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ФХД'!$H$94:$J$94</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ФХД'!$95:$103</definedName>
    <definedName name="BLOCK_POK_FHD_COLDVSNA_P2">'Показатели ФХД'!$128:$132</definedName>
    <definedName name="BLOCK_POK_FHD_HEAT_P1">'Показатели ФХД'!$33:$46</definedName>
    <definedName name="BLOCK_POK_FHD_HEAT_P2">'Показатели ФХД'!$85:$85</definedName>
    <definedName name="BLOCK_POK_FHD_HEAT_P3">'Показатели ФХД'!$112:$124</definedName>
    <definedName name="BLOCK_POK_FHD_HEAT_P4">'Показатели ФХД'!$126:$126</definedName>
    <definedName name="BLOCK_POK_FHD_HEAT_P5">'Показатели ФХД'!$133:$143</definedName>
    <definedName name="BLOCK_POK_FHD_HEAT_P6">'Показатели ФХД'!$53:$53</definedName>
    <definedName name="BLOCK_POK_FHD_HOTVSNA_P1">'Показатели ФХД'!$47:$49</definedName>
    <definedName name="BLOCK_POK_FHD_HOTVSNA_P2">'Показатели ФХД'!$104:$108</definedName>
    <definedName name="BLOCK_POK_FHD_NOT_HEAT_P1">'Показатели ФХД'!$73:$74</definedName>
    <definedName name="BLOCK_POK_FHD_NOT_HEAT_P2">'Показатели ФХД'!$93:$93</definedName>
    <definedName name="BLOCK_POK_FHD_NOT_HOTVSNA">'Показатели ФХД'!$54:$54</definedName>
    <definedName name="BLOCK_POK_FHD_VOTV_P1">'Показатели ФХД'!$109:$111</definedName>
    <definedName name="BLOCK_POK_FHD_VSNA">'Показатели ФХД'!$127:$127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ФХД'!$F$84</definedName>
    <definedName name="pIns_B_FHD_3">'Показатели ФХД'!$F$114</definedName>
    <definedName name="pIns_B_FHD_4">'Показатели ФХД'!$F$132</definedName>
    <definedName name="pIns_B_FHD_5">'Показатели ФХД'!$F$135</definedName>
    <definedName name="pIns_B_FHD_6">'Показатели ФХД'!$F$138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<sst xmlns="http://schemas.openxmlformats.org/spreadsheetml/2006/main" count="10234" uniqueCount="2896">
  <si>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</si>
  <si>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</si>
  <si>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</si>
  <si>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</si>
  <si>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</si>
  <si>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</si>
  <si>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</si>
  <si>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</si>
  <si>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</si>
  <si>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</si>
  <si>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</si>
  <si>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</si>
  <si>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</si>
  <si>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</si>
  <si>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Калмыкия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</si>
  <si>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</si>
  <si>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</si>
  <si>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</si>
  <si>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</si>
  <si>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</si>
  <si>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</si>
  <si>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</si>
  <si>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</si>
  <si>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</si>
  <si>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</si>
  <si>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</si>
  <si>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</si>
  <si>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</si>
  <si>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</si>
  <si>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</si>
  <si>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</si>
  <si>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</si>
  <si>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</si>
  <si>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</si>
  <si>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</si>
  <si>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</si>
  <si>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</si>
  <si>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</si>
  <si>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</si>
  <si>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</si>
  <si>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</si>
  <si>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</si>
  <si>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</si>
  <si>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</si>
  <si>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</si>
  <si>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</si>
  <si>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</si>
  <si>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</si>
  <si>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</si>
  <si>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</si>
  <si>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</si>
  <si>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</si>
  <si>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</si>
  <si>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</si>
  <si>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</si>
  <si>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</si>
  <si>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</si>
  <si>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</si>
  <si>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</si>
  <si>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</si>
  <si>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</si>
  <si>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</si>
  <si>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</si>
  <si>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</si>
  <si>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</si>
  <si>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</si>
  <si>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</si>
  <si>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</si>
  <si>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</si>
  <si>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</si>
  <si>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</si>
  <si>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</si>
  <si>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</si>
  <si>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</si>
  <si>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</si>
  <si>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</si>
  <si>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Огинский Иван Петрович</t>
  </si>
  <si>
    <t>Должность</t>
  </si>
  <si>
    <t>Ведущий экономист, начальник отдела</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</si>
  <si>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</si>
  <si>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</si>
  <si>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</si>
  <si>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</si>
  <si>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</si>
  <si>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</si>
  <si>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</si>
  <si>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</si>
  <si>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</si>
  <si>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</si>
  <si>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</si>
  <si>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</si>
  <si>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</si>
  <si>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</si>
  <si>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</si>
  <si>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</si>
  <si>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</si>
  <si>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</si>
  <si>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</si>
  <si>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</si>
  <si>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</si>
  <si>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Элиста</t>
  </si>
  <si>
    <t>85701000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</si>
  <si>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</si>
  <si>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</si>
  <si>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</si>
  <si>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</si>
  <si>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</si>
  <si>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</si>
  <si>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</si>
  <si>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</si>
  <si>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</si>
  <si>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</si>
  <si>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</si>
  <si>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</si>
  <si>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</si>
  <si>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</si>
  <si>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</si>
  <si>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</si>
  <si>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</si>
  <si>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</si>
  <si>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</si>
  <si>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</si>
  <si>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</si>
  <si>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</si>
  <si>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</si>
  <si>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</si>
  <si>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</si>
  <si>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</si>
  <si>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</si>
  <si>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</si>
  <si>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</si>
  <si>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</si>
  <si>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</si>
  <si>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</si>
  <si>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</si>
  <si>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</si>
  <si>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</si>
  <si>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</si>
  <si>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</si>
  <si>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</si>
  <si>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</si>
  <si>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</si>
  <si>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</si>
  <si>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</si>
  <si>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</si>
  <si>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</si>
  <si>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</si>
  <si>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</si>
  <si>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</si>
  <si>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</si>
  <si>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</si>
  <si>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</si>
  <si>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</si>
  <si>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</si>
  <si>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</si>
  <si>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</si>
  <si>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</si>
  <si>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</si>
  <si>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</si>
  <si>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</si>
  <si>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</si>
  <si>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</si>
  <si>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</si>
  <si>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</si>
  <si>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</si>
  <si>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</si>
  <si>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</si>
  <si>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</si>
  <si>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</si>
  <si>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</si>
  <si>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</si>
  <si>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</si>
  <si>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</si>
  <si>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</si>
  <si>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</si>
  <si>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</si>
  <si>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</si>
  <si>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</si>
  <si>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</si>
  <si>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</si>
  <si>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</si>
  <si>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</si>
  <si>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</si>
  <si>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</si>
  <si>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</si>
  <si>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</si>
  <si>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</si>
  <si>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</si>
  <si>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</si>
  <si>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</si>
  <si>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</si>
  <si>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</si>
  <si>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</si>
  <si>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</si>
  <si>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</si>
  <si>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</si>
  <si>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</si>
  <si>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</si>
  <si>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</si>
  <si>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</si>
  <si>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</si>
  <si>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</si>
  <si>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</si>
  <si>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</si>
  <si>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</si>
  <si>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</si>
  <si>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</si>
  <si>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</si>
  <si>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</si>
  <si>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</si>
  <si>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</si>
  <si>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</si>
  <si>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</si>
  <si>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</si>
  <si>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</si>
  <si>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</si>
  <si>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</si>
  <si>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</si>
  <si>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</si>
  <si>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</si>
  <si>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</si>
  <si>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</si>
  <si>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</si>
  <si>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</si>
  <si>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</si>
  <si>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</si>
  <si>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</si>
  <si>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</si>
  <si>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</si>
  <si>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</si>
  <si>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</si>
  <si>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</si>
  <si>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</si>
  <si>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</si>
  <si>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</si>
  <si>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</si>
  <si>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</si>
  <si>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</si>
  <si>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</si>
  <si>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</si>
  <si>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</si>
  <si>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</si>
  <si>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</si>
  <si>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</si>
  <si>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</si>
  <si>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</si>
  <si>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</si>
  <si>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</si>
  <si>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</si>
  <si>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</si>
  <si>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</si>
  <si>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</si>
  <si>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</si>
  <si>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</si>
  <si>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</si>
  <si>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</si>
  <si>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</si>
  <si>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</si>
  <si>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</si>
  <si>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</si>
  <si>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</si>
  <si>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</si>
  <si>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</si>
  <si>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</si>
  <si>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</si>
  <si>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</si>
  <si>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</si>
  <si>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</si>
  <si>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</si>
  <si>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</si>
  <si>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</si>
  <si>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</si>
  <si>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</si>
  <si>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</si>
  <si>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</si>
  <si>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</si>
  <si>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</si>
  <si>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</si>
  <si>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</si>
  <si>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</si>
  <si>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</si>
  <si>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</si>
  <si>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</si>
  <si>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</si>
  <si>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</si>
  <si>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</si>
  <si>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</si>
  <si>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</si>
  <si>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</si>
  <si>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</si>
  <si>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</si>
  <si>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</si>
  <si>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</si>
  <si>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</si>
  <si>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</si>
  <si>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</si>
  <si>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</si>
  <si>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</si>
  <si>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</si>
  <si>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</si>
  <si>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</si>
  <si>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</si>
  <si>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</si>
  <si>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</si>
  <si>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</si>
  <si>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</si>
  <si>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</si>
  <si>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</si>
  <si>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</si>
  <si>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</si>
  <si>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</si>
  <si>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</si>
  <si>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</si>
  <si>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</si>
  <si>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</si>
  <si>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</si>
  <si>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</si>
  <si>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</si>
  <si>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</si>
  <si>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</si>
  <si>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</si>
  <si>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</si>
  <si>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</si>
  <si>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</si>
  <si>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</si>
  <si>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</si>
  <si>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</si>
  <si>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</si>
  <si>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</si>
  <si>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</si>
  <si>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</si>
  <si>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</si>
  <si>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</si>
  <si>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</si>
  <si>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</si>
  <si>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</si>
  <si>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</si>
  <si>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</si>
  <si>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</si>
  <si>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</si>
  <si>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</si>
  <si>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</si>
  <si>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</si>
  <si>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</si>
  <si>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</si>
  <si>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</si>
  <si>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</si>
  <si>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</si>
  <si>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</si>
  <si>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</si>
  <si>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</si>
  <si>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</si>
  <si>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</si>
  <si>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</si>
  <si>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</si>
  <si>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</si>
  <si>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</si>
  <si>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</si>
  <si>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</si>
  <si>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</si>
  <si>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</si>
  <si>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</si>
  <si>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</si>
  <si>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</si>
  <si>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</si>
  <si>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</si>
  <si>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</si>
  <si>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</si>
  <si>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</si>
  <si>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</si>
  <si>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</si>
  <si>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</si>
  <si>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</si>
  <si>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</si>
  <si>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</si>
  <si>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</si>
  <si>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</si>
  <si>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</si>
  <si>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</si>
  <si>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</si>
  <si>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</si>
  <si>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</si>
  <si>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</si>
  <si>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</si>
  <si>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</si>
  <si>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</si>
  <si>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</si>
  <si>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</si>
  <si>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</si>
  <si>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</si>
  <si>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</si>
  <si>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</si>
  <si>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</si>
  <si>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</si>
  <si>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</si>
  <si>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</si>
  <si>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</si>
  <si>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</si>
  <si>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</si>
  <si>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</si>
  <si>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</si>
  <si>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</si>
  <si>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</si>
  <si>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</si>
  <si>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</si>
  <si>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</si>
  <si>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</si>
  <si>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</si>
  <si>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</si>
  <si>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</si>
  <si>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</si>
  <si>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</si>
  <si>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</si>
  <si>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</si>
  <si>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</si>
  <si>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</si>
  <si>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</si>
  <si>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</si>
  <si>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</si>
  <si>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</si>
  <si>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</si>
  <si>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</si>
  <si>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</si>
  <si>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</si>
  <si>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</si>
  <si>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</si>
  <si>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</si>
  <si>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</si>
  <si>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</si>
  <si>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</si>
  <si>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</si>
  <si>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</si>
  <si>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</si>
  <si>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</si>
  <si>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</si>
  <si>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</si>
  <si>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</si>
  <si>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</si>
  <si>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</si>
  <si>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</si>
  <si>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</si>
  <si>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</si>
  <si>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</si>
  <si>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</si>
  <si>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</si>
  <si>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</si>
  <si>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</si>
  <si>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</si>
  <si>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</si>
  <si>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</si>
  <si>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</si>
  <si>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</si>
  <si>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</si>
  <si>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</si>
  <si>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</si>
  <si>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</si>
  <si>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</si>
  <si>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</si>
  <si>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</si>
  <si>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</si>
  <si>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</si>
  <si>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</si>
  <si>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</si>
  <si>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</si>
  <si>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</si>
  <si>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</si>
  <si>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</si>
  <si>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</si>
  <si>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</si>
  <si>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</si>
  <si>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</si>
  <si>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</si>
  <si>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</si>
  <si>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</si>
  <si>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</si>
  <si>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</si>
  <si>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</si>
  <si>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</si>
  <si>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</si>
  <si>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</si>
  <si>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</si>
  <si>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</si>
  <si>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</si>
  <si>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</si>
  <si>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</si>
  <si>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</si>
  <si>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</si>
  <si>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</si>
  <si>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</si>
  <si>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</si>
  <si>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</si>
  <si>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</si>
  <si>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</si>
  <si>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</si>
  <si>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</si>
  <si>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</si>
  <si>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</si>
  <si>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</si>
  <si>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</si>
  <si>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</si>
  <si>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</si>
  <si>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</si>
  <si>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</si>
  <si>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</si>
  <si>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</si>
  <si>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</si>
  <si>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</si>
  <si>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</si>
  <si>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</si>
  <si>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</si>
  <si>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</si>
  <si>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</si>
  <si>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</si>
  <si>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</si>
  <si>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</si>
  <si>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</si>
  <si>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</si>
  <si>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</si>
  <si>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</si>
  <si>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</si>
  <si>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</si>
  <si>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</si>
  <si>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</si>
  <si>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</si>
  <si>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</si>
  <si>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</si>
  <si>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</si>
  <si>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</si>
  <si>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</si>
  <si>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</si>
  <si>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</si>
  <si>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</si>
  <si>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</si>
  <si>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</si>
  <si>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</si>
  <si>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</si>
  <si>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</si>
  <si>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</si>
  <si>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</si>
  <si>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</si>
  <si>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</si>
  <si>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</si>
  <si>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</si>
  <si>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</si>
  <si>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</si>
  <si>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</si>
  <si>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</si>
  <si>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</si>
  <si>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</si>
  <si>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</si>
  <si>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</si>
  <si>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</si>
  <si>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</si>
  <si>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</si>
  <si>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</si>
  <si>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</si>
  <si>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</si>
  <si>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</si>
  <si>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</si>
  <si>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</si>
  <si>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</si>
  <si>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</si>
  <si>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</si>
  <si>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</si>
  <si>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</si>
  <si>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</si>
  <si>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</si>
  <si>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</si>
  <si>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</si>
  <si>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</si>
  <si>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</si>
  <si>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</si>
  <si>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</si>
  <si>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</si>
  <si>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</si>
  <si>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</si>
  <si>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</si>
  <si>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</si>
  <si>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</si>
  <si>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</si>
  <si>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</si>
  <si>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</si>
  <si>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</si>
  <si>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</si>
  <si>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</si>
  <si>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</si>
  <si>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</si>
  <si>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</si>
  <si>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</si>
  <si>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</si>
  <si>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</si>
  <si>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</si>
  <si>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</si>
  <si>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</si>
  <si>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</si>
  <si>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</si>
  <si>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</si>
  <si>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</si>
  <si>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</si>
  <si>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</si>
  <si>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</si>
  <si>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</si>
  <si>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</si>
  <si>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</si>
  <si>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</si>
  <si>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</si>
  <si>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</si>
  <si>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</si>
  <si>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</si>
  <si>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</si>
  <si>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</si>
  <si>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</si>
  <si>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</si>
  <si>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</si>
  <si>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</si>
  <si>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</si>
  <si>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</si>
  <si>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</si>
  <si>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</si>
  <si>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</si>
  <si>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</si>
  <si>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</si>
  <si>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</si>
  <si>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</si>
  <si>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</si>
  <si>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</si>
  <si>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</si>
  <si>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</si>
  <si>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</si>
  <si>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</si>
  <si>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</si>
  <si>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</si>
  <si>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</si>
  <si>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</si>
  <si>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</si>
  <si>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</si>
  <si>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</si>
  <si>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</si>
  <si>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</si>
  <si>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</si>
  <si>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</si>
  <si>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</si>
  <si>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</si>
  <si>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</si>
  <si>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</si>
  <si>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</si>
  <si>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</si>
  <si>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</si>
  <si>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</si>
  <si>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</si>
  <si>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</si>
  <si>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</si>
  <si>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</si>
  <si>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</si>
  <si>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</si>
  <si>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</si>
  <si>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</si>
  <si>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</si>
  <si>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</si>
  <si>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</si>
  <si>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</si>
  <si>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</si>
  <si>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</si>
  <si>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</si>
  <si>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</si>
  <si>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</si>
  <si>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</si>
  <si>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</si>
  <si>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</si>
  <si>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</si>
  <si>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</si>
  <si>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</si>
  <si>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</si>
  <si>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</si>
  <si>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</si>
  <si>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</si>
  <si>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</si>
  <si>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</si>
  <si>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</si>
  <si>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</si>
  <si>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</si>
  <si>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</si>
  <si>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</si>
  <si>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</si>
  <si>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</si>
  <si>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</si>
  <si>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</si>
  <si>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</si>
  <si>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</si>
  <si>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</si>
  <si>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</si>
  <si>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</si>
  <si>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</si>
  <si>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</si>
  <si>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</si>
  <si>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</si>
  <si>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</si>
  <si>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</si>
  <si>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</si>
  <si>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</si>
  <si>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</si>
  <si>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</si>
  <si>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</si>
  <si>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</si>
  <si>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</si>
  <si>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</si>
  <si>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</si>
  <si>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</si>
  <si>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</si>
  <si>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</si>
  <si>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</si>
  <si>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</si>
  <si>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</si>
  <si>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</si>
  <si>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</si>
  <si>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</si>
  <si>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</si>
  <si>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</si>
  <si>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</si>
  <si>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</si>
  <si>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</si>
  <si>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</si>
  <si>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</si>
  <si>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</si>
  <si>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</si>
  <si>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</si>
  <si>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</si>
  <si>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</si>
  <si>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</si>
  <si>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</si>
  <si>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</si>
  <si>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</si>
  <si>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</si>
  <si>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</si>
  <si>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</si>
  <si>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</si>
  <si>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</si>
  <si>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</si>
  <si>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</si>
  <si>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</si>
  <si>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</si>
  <si>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</si>
  <si>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</si>
  <si>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</si>
  <si>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</si>
  <si>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</si>
  <si>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</si>
  <si>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</si>
  <si>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</si>
  <si>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</si>
  <si>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</si>
  <si>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</si>
  <si>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</si>
  <si>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</si>
  <si>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</si>
  <si>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</si>
  <si>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</si>
  <si>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</si>
  <si>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</si>
  <si>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</si>
  <si>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</si>
  <si>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</si>
  <si>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</si>
  <si>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</si>
  <si>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</si>
  <si>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</si>
  <si>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</si>
  <si>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</si>
  <si>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</si>
  <si>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</si>
  <si>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</si>
  <si>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</si>
  <si>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</si>
  <si>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</si>
  <si>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</si>
  <si>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</si>
  <si>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</si>
  <si>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</si>
  <si>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</si>
  <si>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</si>
  <si>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</si>
  <si>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</si>
  <si>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</si>
  <si>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</si>
  <si>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</si>
  <si>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</si>
  <si>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</si>
  <si>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</si>
  <si>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</si>
  <si>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</si>
  <si>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</si>
  <si>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</si>
  <si>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</si>
  <si>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</si>
  <si>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</si>
  <si>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</si>
  <si>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</si>
  <si>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</si>
  <si>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</si>
  <si>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</si>
  <si>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</si>
  <si>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</si>
  <si>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</si>
  <si>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</si>
  <si>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</si>
  <si>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</si>
  <si>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</si>
  <si>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</si>
  <si>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</si>
  <si>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</si>
  <si>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</si>
  <si>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</si>
  <si>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</si>
  <si>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</si>
  <si>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</si>
  <si>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</si>
  <si>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</si>
  <si>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</si>
  <si>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</si>
  <si>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</si>
  <si>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</si>
  <si>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</si>
  <si>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</si>
  <si>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</si>
  <si>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</si>
  <si>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</si>
  <si>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</si>
  <si>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</si>
  <si>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</si>
  <si>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</si>
  <si>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</si>
  <si>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</si>
  <si>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</si>
  <si>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</si>
  <si>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</si>
  <si>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</si>
  <si>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</si>
  <si>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</si>
  <si>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</si>
  <si>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</si>
  <si>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</si>
  <si>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</si>
  <si>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</si>
  <si>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</si>
  <si>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</si>
  <si>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</si>
  <si>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</si>
  <si>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</si>
  <si>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</si>
  <si>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</si>
  <si>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</si>
  <si>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</si>
  <si>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</si>
  <si>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</si>
  <si>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</si>
  <si>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</si>
  <si>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</si>
  <si>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</si>
  <si>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</si>
  <si>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</si>
  <si>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</si>
  <si>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</si>
  <si>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</si>
  <si>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</si>
  <si>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</si>
  <si>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</si>
  <si>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</si>
  <si>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</si>
  <si>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</si>
  <si>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</si>
  <si>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</si>
  <si>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</si>
  <si>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</si>
  <si>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</si>
  <si>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</si>
  <si>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</si>
  <si>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</si>
  <si>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</si>
  <si>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</si>
  <si>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</si>
  <si>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</si>
  <si>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</si>
  <si>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</si>
  <si>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</si>
  <si>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</si>
  <si>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</si>
  <si>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</si>
  <si>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</si>
  <si>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</si>
  <si>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</si>
  <si>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</si>
  <si>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</si>
  <si>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</si>
  <si>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</si>
  <si>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</si>
  <si>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</si>
  <si>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</si>
  <si>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</si>
  <si>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</si>
  <si>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</si>
  <si>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</si>
  <si>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</si>
  <si>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</si>
  <si>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</si>
  <si>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</si>
  <si>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</si>
  <si>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</si>
  <si>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</si>
  <si>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</si>
  <si>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</si>
  <si>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</si>
  <si>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</si>
  <si>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</si>
  <si>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</si>
  <si>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</si>
  <si>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</si>
  <si>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</si>
  <si>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</si>
  <si>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</si>
  <si>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</si>
  <si>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</si>
  <si>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</si>
  <si>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</si>
  <si>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</si>
  <si>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</si>
  <si>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</si>
  <si>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</si>
  <si>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</si>
  <si>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</si>
  <si>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</si>
  <si>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</si>
  <si>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</si>
  <si>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</si>
  <si>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</si>
  <si>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</si>
  <si>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</si>
  <si>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</si>
  <si>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</si>
  <si>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</si>
  <si>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</si>
  <si>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</si>
  <si>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</si>
  <si>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</si>
  <si>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</si>
  <si>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</si>
  <si>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</si>
  <si>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</si>
  <si>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</si>
  <si>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</si>
  <si>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</si>
  <si>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</si>
  <si>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</si>
  <si>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</si>
  <si>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</si>
  <si>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</si>
  <si>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</si>
  <si>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</si>
  <si>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</si>
  <si>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</si>
  <si>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</si>
  <si>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</si>
  <si>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</si>
  <si>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</si>
  <si>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</si>
  <si>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</si>
  <si>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</si>
  <si>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</si>
  <si>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</si>
  <si>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</si>
  <si>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</si>
  <si>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</si>
  <si>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</si>
  <si>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</si>
  <si>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</si>
  <si>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</si>
  <si>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</si>
  <si>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</si>
  <si>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</si>
  <si>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</si>
  <si>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</si>
  <si>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</si>
  <si>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</si>
  <si>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</si>
  <si>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</si>
  <si>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</si>
  <si>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</si>
  <si>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</si>
  <si>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</si>
  <si>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</si>
  <si>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</si>
  <si>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</si>
  <si>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</si>
  <si>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</si>
  <si>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</si>
  <si>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</si>
  <si>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</si>
  <si>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</si>
  <si>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</si>
  <si>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</si>
  <si>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</si>
  <si>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</si>
  <si>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</si>
  <si>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</si>
  <si>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</si>
  <si>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</si>
  <si>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</si>
  <si>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</si>
  <si>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</si>
  <si>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</si>
  <si>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</si>
  <si>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</si>
  <si>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</si>
  <si>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</si>
  <si>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</si>
  <si>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</si>
  <si>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</si>
  <si>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</si>
  <si>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</si>
  <si>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</si>
  <si>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</si>
  <si>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</si>
  <si>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</si>
  <si>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</si>
  <si>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</si>
  <si>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</si>
  <si>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</si>
  <si>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</si>
  <si>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</si>
  <si>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</si>
  <si>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</si>
  <si>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</si>
  <si>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</si>
  <si>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</si>
  <si>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</si>
  <si>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</si>
  <si>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</si>
  <si>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</si>
  <si>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</si>
  <si>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</si>
  <si>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</si>
  <si>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</si>
  <si>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</si>
  <si>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</si>
  <si>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</si>
  <si>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</si>
  <si>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</si>
  <si>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</si>
  <si>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</si>
  <si>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</si>
  <si>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</si>
  <si>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</si>
  <si>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</si>
  <si>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</si>
  <si>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</si>
  <si>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</si>
  <si>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</si>
  <si>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</si>
  <si>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</si>
  <si>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</si>
  <si>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</si>
  <si>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</si>
  <si>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</si>
  <si>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</si>
  <si>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</si>
  <si>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</si>
  <si>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</si>
  <si>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</si>
  <si>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</si>
  <si>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</si>
  <si>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</si>
  <si>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</si>
  <si>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</si>
  <si>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</si>
  <si>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</si>
  <si>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</si>
  <si>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</si>
  <si>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</si>
  <si>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</si>
  <si>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</si>
  <si>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</si>
  <si>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</si>
  <si>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</si>
  <si>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</si>
  <si>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</si>
  <si>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</si>
  <si>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</si>
  <si>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</si>
  <si>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</si>
  <si>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</si>
  <si>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</si>
  <si>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</si>
  <si>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</si>
  <si>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</si>
  <si>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</si>
  <si>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</si>
  <si>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</si>
  <si>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</si>
  <si>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</si>
  <si>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</si>
  <si>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</si>
  <si>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</si>
  <si>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</si>
  <si>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</si>
  <si>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</si>
  <si>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</si>
  <si>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</si>
  <si>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</si>
  <si>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</si>
  <si>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</si>
  <si>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</si>
  <si>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</si>
  <si>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</si>
  <si>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</si>
  <si>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</si>
  <si>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</si>
  <si>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</si>
  <si>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</si>
  <si>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</si>
  <si>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</si>
  <si>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</si>
  <si>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</si>
  <si>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</si>
  <si>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</si>
  <si>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</si>
  <si>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</si>
  <si>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</si>
  <si>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</si>
  <si>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</si>
  <si>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</si>
  <si>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</si>
  <si>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</si>
  <si>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</si>
  <si>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</si>
  <si>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</si>
  <si>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</si>
  <si>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</si>
  <si>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</si>
  <si>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</si>
  <si>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</si>
  <si>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</si>
  <si>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</si>
  <si>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</si>
  <si>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</si>
  <si>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</si>
  <si>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</si>
  <si>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</si>
  <si>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</si>
  <si>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</si>
  <si>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</si>
  <si>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</si>
  <si>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</si>
  <si>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</si>
  <si>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</si>
  <si>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</si>
  <si>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</si>
  <si>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</si>
  <si>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</si>
  <si>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</si>
  <si>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</si>
  <si>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</si>
  <si>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</si>
  <si>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</si>
  <si>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</si>
  <si>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</si>
  <si>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</si>
  <si>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</si>
  <si>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</si>
  <si>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</si>
  <si>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</si>
  <si>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</si>
  <si>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</si>
  <si>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</si>
  <si>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</si>
  <si>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</si>
  <si>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</si>
  <si>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</si>
  <si>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</si>
  <si>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</si>
  <si>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</si>
  <si>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</si>
  <si>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</si>
  <si>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</si>
  <si>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</si>
  <si>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</si>
  <si>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</si>
  <si>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</si>
  <si>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</si>
  <si>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</si>
  <si>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</si>
  <si>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</si>
  <si>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</si>
  <si>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</si>
  <si>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</si>
  <si>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</si>
  <si>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</si>
  <si>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</si>
  <si>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</si>
  <si>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</si>
  <si>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</si>
  <si>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</si>
  <si>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</si>
  <si>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</si>
  <si>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</si>
  <si>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</si>
  <si>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</si>
  <si>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</si>
  <si>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</si>
  <si>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</si>
  <si>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</si>
  <si>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</si>
  <si>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</si>
  <si>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</si>
  <si>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</si>
  <si>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</si>
  <si>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</si>
  <si>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</si>
  <si>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</si>
  <si>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</si>
  <si>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</si>
  <si>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</si>
  <si>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</si>
  <si>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</si>
  <si>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</si>
  <si>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</si>
  <si>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</si>
  <si>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</si>
  <si>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</si>
  <si>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</si>
  <si>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</si>
  <si>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</si>
  <si>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</si>
  <si>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</si>
  <si>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</si>
  <si>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</si>
  <si>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</si>
  <si>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</si>
  <si>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</si>
  <si>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</si>
  <si>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</si>
  <si>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</si>
  <si>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</si>
  <si>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</si>
  <si>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</si>
  <si>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</si>
  <si>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</si>
  <si>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</si>
  <si>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</si>
  <si>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</si>
  <si>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</si>
  <si>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</si>
  <si>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</si>
  <si>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</si>
  <si>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</si>
  <si>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</si>
  <si>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</si>
  <si>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</si>
  <si>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</si>
  <si>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</si>
  <si>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</si>
  <si>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</si>
  <si>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</si>
  <si>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</si>
  <si>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</si>
  <si>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</si>
  <si>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</si>
  <si>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</si>
  <si>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</si>
  <si>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</si>
  <si>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</si>
  <si>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</si>
  <si>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</si>
  <si>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</si>
  <si>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</si>
  <si>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</si>
  <si>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</si>
  <si>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</si>
  <si>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</si>
  <si>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</si>
  <si>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</si>
  <si>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</si>
  <si>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</si>
  <si>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</si>
  <si>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</si>
  <si>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</si>
  <si>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</si>
  <si>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</si>
  <si>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</si>
  <si>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</si>
  <si>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</si>
  <si>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</si>
  <si>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</si>
  <si>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</si>
  <si>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</si>
  <si>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</si>
  <si>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</si>
  <si>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</si>
  <si>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</si>
  <si>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</si>
  <si>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</si>
  <si>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</si>
  <si>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</si>
  <si>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</si>
  <si>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</si>
  <si>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</si>
  <si>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</si>
  <si>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</si>
  <si>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</si>
  <si>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</si>
  <si>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</si>
  <si>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</si>
  <si>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</si>
  <si>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</si>
  <si>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</si>
  <si>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</si>
  <si>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</si>
  <si>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</si>
  <si>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</si>
  <si>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</si>
  <si>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</si>
  <si>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</si>
  <si>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</si>
  <si>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</si>
  <si>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</si>
  <si>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</si>
  <si>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</si>
  <si>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</si>
  <si>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</si>
  <si>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</si>
  <si>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</si>
  <si>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</si>
  <si>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</si>
  <si>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</si>
  <si>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</si>
  <si>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</si>
  <si>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</si>
  <si>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</si>
  <si>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</si>
  <si>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</si>
  <si>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</si>
  <si>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</si>
  <si>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</si>
  <si>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</si>
  <si>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</si>
  <si>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</si>
  <si>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</si>
  <si>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</si>
  <si>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</si>
  <si>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</si>
  <si>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</si>
  <si>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</si>
  <si>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</si>
  <si>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</si>
  <si>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</si>
  <si>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</si>
  <si>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</si>
  <si>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</si>
  <si>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</si>
  <si>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</si>
  <si>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</si>
  <si>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</si>
  <si>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</si>
  <si>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</si>
  <si>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</si>
  <si>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</si>
  <si>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</si>
  <si>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</si>
  <si>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</si>
  <si>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</si>
  <si>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</si>
  <si>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</si>
  <si>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</si>
  <si>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</si>
  <si>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</si>
  <si>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</si>
  <si>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</si>
  <si>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</si>
  <si>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</si>
  <si>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</si>
  <si>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</si>
  <si>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</si>
  <si>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</si>
  <si>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</si>
  <si>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</si>
  <si>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</si>
  <si>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</si>
  <si>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</si>
  <si>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</si>
  <si>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</si>
  <si>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</si>
  <si>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</si>
  <si>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</si>
  <si>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</si>
  <si>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</si>
  <si>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</si>
  <si>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</si>
  <si>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</si>
  <si>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</si>
  <si>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</si>
  <si>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</si>
  <si>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</si>
  <si>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</si>
  <si>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</si>
  <si>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</si>
  <si>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</si>
  <si>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</si>
  <si>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</si>
  <si>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</si>
  <si>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</si>
  <si>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</si>
  <si>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</si>
  <si>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</si>
  <si>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</si>
  <si>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</si>
  <si>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</si>
  <si>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</si>
  <si>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</si>
  <si>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</si>
  <si>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</si>
  <si>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</si>
  <si>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</si>
  <si>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</si>
  <si>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</si>
  <si>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</si>
  <si>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</si>
  <si>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</si>
  <si>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</si>
  <si>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</si>
  <si>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</si>
  <si>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</si>
  <si>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</si>
  <si>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</si>
  <si>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</si>
  <si>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</si>
  <si>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</si>
  <si>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</si>
  <si>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</si>
  <si>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</si>
  <si>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</si>
  <si>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</si>
  <si>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</si>
  <si>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</si>
  <si>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</si>
  <si>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</si>
  <si>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</si>
  <si>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</si>
  <si>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</si>
  <si>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</si>
  <si>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</si>
  <si>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</si>
  <si>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</si>
  <si>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</si>
  <si>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</si>
  <si>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</si>
  <si>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</si>
  <si>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</si>
  <si>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</si>
  <si>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</si>
  <si>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</si>
  <si>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</si>
  <si>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</si>
  <si>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</si>
  <si>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</si>
  <si>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</si>
  <si>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</si>
  <si>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</si>
  <si>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</si>
  <si>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</si>
  <si>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</si>
  <si>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</si>
  <si>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</si>
  <si>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</si>
  <si>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</si>
  <si>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</si>
  <si>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</si>
  <si>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</si>
  <si>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</si>
  <si>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</si>
  <si>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</si>
  <si>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</si>
  <si>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</si>
  <si>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</si>
  <si>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</si>
  <si>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</si>
  <si>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</si>
  <si>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</si>
  <si>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</si>
  <si>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</si>
  <si>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</si>
  <si>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</si>
  <si>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</si>
  <si>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</si>
  <si>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</si>
  <si>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</si>
  <si>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</si>
  <si>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</si>
  <si>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</si>
  <si>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</si>
  <si>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</si>
  <si>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</si>
  <si>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</si>
  <si>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</si>
  <si>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</si>
  <si>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</si>
  <si>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</si>
  <si>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</si>
  <si>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</si>
  <si>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</si>
  <si>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</si>
  <si>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</si>
  <si>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</si>
  <si>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</si>
  <si>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</si>
  <si>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</si>
  <si>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</si>
  <si>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</si>
  <si>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</si>
  <si>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</si>
  <si>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</si>
  <si>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</si>
  <si>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</si>
  <si>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</si>
  <si>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</si>
  <si>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</si>
  <si>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</si>
  <si>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</si>
  <si>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</si>
  <si>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</si>
  <si>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</si>
  <si>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</si>
  <si>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</si>
  <si>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</si>
  <si>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</si>
  <si>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</si>
  <si>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</si>
  <si>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</si>
  <si>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</si>
  <si>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</si>
  <si>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</si>
  <si>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</si>
  <si>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</si>
  <si>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</si>
  <si>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</si>
  <si>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</si>
  <si>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</si>
  <si>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</si>
  <si>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</si>
  <si>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</si>
  <si>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</si>
  <si>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</si>
  <si>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</si>
  <si>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</si>
  <si>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</si>
  <si>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</si>
  <si>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</si>
  <si>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</si>
  <si>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</si>
  <si>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</si>
  <si>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</si>
  <si>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</si>
  <si>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</si>
  <si>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</si>
  <si>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</si>
  <si>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</si>
  <si>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</si>
  <si>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</si>
  <si>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</si>
  <si>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</si>
  <si>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</si>
  <si>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</si>
  <si>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</si>
  <si>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</si>
  <si>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</si>
  <si>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</si>
  <si>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</si>
  <si>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</si>
  <si>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</si>
  <si>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</si>
  <si>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</si>
  <si>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</si>
  <si>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</si>
  <si>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</si>
  <si>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</si>
  <si>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</si>
  <si>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</si>
  <si>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</si>
  <si>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</si>
  <si>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</si>
  <si>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</si>
  <si>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</si>
  <si>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</si>
  <si>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</si>
  <si>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</si>
  <si>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</si>
  <si>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</si>
  <si>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</si>
  <si>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</si>
  <si>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</si>
  <si>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</si>
  <si>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</si>
  <si>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</si>
  <si>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</si>
  <si>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</si>
  <si>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</si>
  <si>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</si>
  <si>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</si>
  <si>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</si>
  <si>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</si>
  <si>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</si>
  <si>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</si>
  <si>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</si>
  <si>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</si>
  <si>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</si>
  <si>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</si>
  <si>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</si>
  <si>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</si>
  <si>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</si>
  <si>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</si>
  <si>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</si>
  <si>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</si>
  <si>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</si>
  <si>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</si>
  <si>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</si>
  <si>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</si>
  <si>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</si>
  <si>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</si>
  <si>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</si>
  <si>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</si>
  <si>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</si>
  <si>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</si>
  <si>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</si>
  <si>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</si>
  <si>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</si>
  <si>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</si>
  <si>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</si>
  <si>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</si>
  <si>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</si>
  <si>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</si>
  <si>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</si>
  <si>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</si>
  <si>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</si>
  <si>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</si>
  <si>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</si>
  <si>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</si>
  <si>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</si>
  <si>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</si>
  <si>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</si>
  <si>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</si>
  <si>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</si>
  <si>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</si>
  <si>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</si>
  <si>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</si>
  <si>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</si>
  <si>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</si>
  <si>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</si>
  <si>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</si>
  <si>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</si>
  <si>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</si>
  <si>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</si>
  <si>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</si>
  <si>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</si>
  <si>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</si>
  <si>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</si>
  <si>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</si>
  <si>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</si>
  <si>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</si>
  <si>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</si>
  <si>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</si>
  <si>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</si>
  <si>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</si>
  <si>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</si>
  <si>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</si>
  <si>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</si>
  <si>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</si>
  <si>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</si>
  <si>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</si>
  <si>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</si>
  <si>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</si>
  <si>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</si>
  <si>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</si>
  <si>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</si>
  <si>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</si>
  <si>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</si>
  <si>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</si>
  <si>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</si>
  <si>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</si>
  <si>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</si>
  <si>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</si>
  <si>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</si>
  <si>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</si>
  <si>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</si>
  <si>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</si>
  <si>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</si>
  <si>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</si>
  <si>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</si>
  <si>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</si>
  <si>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</si>
  <si>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</si>
  <si>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</si>
  <si>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</si>
  <si>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</si>
  <si>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</si>
  <si>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</si>
  <si>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</si>
  <si>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</si>
  <si>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</si>
  <si>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</si>
  <si>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</si>
  <si>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</si>
  <si>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</si>
  <si>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</si>
  <si>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</si>
  <si>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</si>
  <si>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</si>
  <si>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</si>
  <si>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</si>
  <si>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</si>
  <si>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</si>
  <si>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</si>
  <si>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</si>
  <si>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</si>
  <si>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</si>
  <si>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</si>
  <si>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</si>
  <si>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</si>
  <si>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</si>
  <si>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</si>
  <si>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</si>
  <si>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</si>
  <si>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</si>
  <si>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</si>
  <si>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</si>
  <si>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</si>
  <si>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</si>
  <si>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</si>
  <si>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</si>
  <si>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</si>
  <si>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</si>
  <si>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Расходы на материалы</t>
  </si>
  <si>
    <t>Стоки</t>
  </si>
  <si>
    <t>Налог на имущество</t>
  </si>
  <si>
    <t>Плата за предельно допустимые выбросы</t>
  </si>
  <si>
    <t>Расходы на обязательное страхование</t>
  </si>
  <si>
    <t>Расходы на оплату труда ремонтного персонала</t>
  </si>
  <si>
    <t>Отчисления на социальные нужды ремонтного персонала</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</si>
  <si>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</si>
  <si>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</si>
  <si>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</si>
  <si>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</si>
  <si>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</si>
  <si>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</si>
  <si>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</si>
  <si>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</si>
  <si>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</si>
  <si>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</si>
  <si>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</si>
  <si>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</si>
  <si>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</si>
  <si>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</si>
  <si>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</si>
  <si>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</si>
  <si>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</si>
  <si>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</si>
  <si>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</si>
  <si>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</si>
  <si>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</si>
  <si>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</si>
  <si>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</si>
  <si>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</si>
  <si>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</si>
  <si>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</si>
  <si>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</si>
  <si>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</si>
  <si>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</si>
  <si>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</si>
  <si>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</si>
  <si>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</si>
  <si>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</si>
  <si>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</si>
  <si>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</si>
  <si>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</si>
  <si>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</si>
  <si>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</si>
  <si>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</si>
  <si>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</si>
  <si>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</si>
  <si>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</si>
  <si>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</si>
  <si>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</si>
  <si>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</si>
  <si>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</si>
  <si>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</si>
  <si>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</si>
  <si>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</si>
  <si>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</si>
  <si>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</si>
  <si>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</si>
  <si>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</si>
  <si>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</si>
  <si>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</si>
  <si>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</si>
  <si>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</si>
  <si>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</si>
  <si>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</si>
  <si>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</si>
  <si>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</si>
  <si>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</si>
  <si>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</si>
  <si>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</si>
  <si>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</si>
  <si>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</si>
  <si>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</si>
  <si>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</si>
  <si>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</si>
  <si>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</si>
  <si>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</si>
  <si>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</si>
  <si>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</si>
  <si>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</si>
  <si>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</si>
  <si>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</si>
  <si>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</si>
  <si>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</si>
  <si>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</si>
  <si>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</si>
  <si>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</si>
  <si>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</si>
  <si>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</si>
  <si>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</si>
  <si>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</si>
  <si>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</si>
  <si>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</si>
  <si>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</si>
  <si>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</si>
  <si>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</si>
  <si>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</si>
  <si>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</si>
  <si>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</si>
  <si>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</si>
  <si>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</si>
  <si>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</si>
  <si>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</si>
  <si>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</si>
  <si>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</si>
  <si>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</si>
  <si>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</si>
  <si>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</si>
  <si>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</si>
  <si>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</si>
  <si>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</si>
  <si>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</si>
  <si>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</si>
  <si>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</si>
  <si>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</si>
  <si>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</si>
  <si>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</si>
  <si>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</si>
  <si>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</si>
  <si>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</si>
  <si>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</si>
  <si>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</si>
  <si>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</si>
  <si>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</si>
  <si>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</si>
  <si>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</si>
  <si>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</si>
  <si>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</si>
  <si>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</si>
  <si>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</si>
  <si>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</si>
  <si>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</si>
  <si>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</si>
  <si>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</si>
  <si>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</si>
  <si>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</si>
  <si>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</si>
  <si>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</si>
  <si>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</si>
  <si>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</si>
  <si>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</si>
  <si>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</si>
  <si>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</si>
  <si>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</si>
  <si>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</si>
  <si>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</si>
  <si>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</si>
  <si>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</si>
  <si>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</si>
  <si>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</si>
  <si>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</si>
  <si>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</si>
  <si>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</si>
  <si>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</si>
  <si>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</si>
  <si>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</si>
  <si>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</si>
  <si>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</si>
  <si>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</si>
  <si>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</si>
  <si>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</si>
  <si>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</si>
  <si>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</si>
  <si>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</si>
  <si>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</si>
  <si>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</si>
  <si>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</si>
  <si>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</si>
  <si>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</si>
  <si>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</si>
  <si>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</si>
  <si>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</si>
  <si>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</si>
  <si>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</si>
  <si>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</si>
  <si>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</si>
  <si>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</si>
  <si>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</si>
  <si>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</si>
  <si>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</si>
  <si>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</si>
  <si>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</si>
  <si>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</si>
  <si>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</si>
  <si>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</si>
  <si>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</si>
  <si>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</si>
  <si>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</si>
  <si>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</si>
  <si>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</si>
  <si>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</si>
  <si>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</si>
  <si>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</si>
  <si>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</si>
  <si>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</si>
  <si>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</si>
  <si>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</si>
  <si>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</si>
  <si>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</si>
  <si>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</si>
  <si>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</si>
  <si>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</si>
  <si>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</si>
  <si>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</si>
  <si>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</si>
  <si>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</si>
  <si>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</si>
  <si>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</si>
  <si>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</si>
  <si>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</si>
  <si>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</si>
  <si>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</si>
  <si>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</si>
  <si>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</si>
  <si>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</si>
  <si>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</si>
  <si>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</si>
  <si>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</si>
  <si>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</si>
  <si>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</si>
  <si>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</si>
  <si>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</si>
  <si>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</si>
  <si>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</si>
  <si>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</si>
  <si>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</si>
  <si>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</si>
  <si>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</si>
  <si>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</si>
  <si>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</si>
  <si>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</si>
  <si>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</si>
  <si>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</si>
  <si>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</si>
  <si>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</si>
  <si>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</si>
  <si>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</si>
  <si>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</si>
  <si>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</si>
  <si>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</si>
  <si>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</si>
  <si>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</si>
  <si>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</si>
  <si>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</si>
  <si>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</si>
  <si>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</si>
  <si>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</si>
  <si>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</si>
  <si>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</si>
  <si>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</si>
  <si>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</si>
  <si>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</si>
  <si>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</si>
  <si>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</si>
  <si>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</si>
  <si>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</si>
  <si>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</si>
  <si>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</si>
  <si>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</si>
  <si>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</si>
  <si>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</si>
  <si>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</si>
  <si>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</si>
  <si>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</si>
  <si>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</si>
  <si>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</si>
  <si>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</si>
  <si>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</si>
  <si>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</si>
  <si>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</si>
  <si>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</si>
  <si>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</si>
  <si>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</si>
  <si>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</si>
  <si>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</si>
  <si>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</si>
  <si>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</si>
  <si>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</si>
  <si>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</si>
  <si>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</si>
  <si>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</si>
  <si>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</si>
  <si>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</si>
  <si>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</si>
  <si>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</si>
  <si>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</si>
  <si>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</si>
  <si>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</si>
  <si>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</si>
  <si>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</si>
  <si>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</si>
  <si>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</si>
  <si>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</si>
  <si>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</si>
  <si>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</si>
  <si>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</si>
  <si>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</si>
  <si>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</si>
  <si>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</si>
  <si>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</si>
  <si>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</si>
  <si>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</si>
  <si>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</si>
  <si>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</si>
  <si>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</si>
  <si>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</si>
  <si>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</si>
  <si>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</si>
  <si>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</si>
  <si>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</si>
  <si>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</si>
  <si>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</si>
  <si>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</si>
  <si>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</si>
  <si>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</si>
  <si>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</si>
  <si>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</si>
  <si>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</si>
  <si>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</si>
  <si>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</si>
  <si>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</si>
  <si>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</si>
  <si>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</si>
  <si>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</si>
  <si>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</si>
  <si>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</si>
  <si>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</si>
  <si>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</si>
  <si>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</si>
  <si>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</si>
  <si>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</si>
  <si>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</si>
  <si>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</si>
  <si>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</si>
  <si>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</si>
  <si>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</si>
  <si>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</si>
  <si>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</si>
  <si>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</si>
  <si>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</si>
  <si>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</si>
  <si>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</si>
  <si>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</si>
  <si>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</si>
  <si>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</si>
  <si>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</si>
  <si>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</si>
  <si>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</si>
  <si>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</si>
  <si>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</si>
  <si>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</si>
  <si>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</si>
  <si>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</si>
  <si>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</si>
  <si>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</si>
  <si>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</si>
  <si>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</si>
  <si>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</si>
  <si>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</si>
  <si>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</si>
  <si>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</si>
  <si>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</si>
  <si>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</si>
  <si>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</si>
  <si>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</si>
  <si>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</si>
  <si>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</si>
  <si>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</si>
  <si>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</si>
  <si>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</si>
  <si>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</si>
  <si>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</si>
  <si>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</si>
  <si>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</si>
  <si>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</si>
  <si>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</si>
  <si>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</si>
  <si>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</si>
  <si>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</si>
  <si>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</si>
  <si>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</si>
  <si>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</si>
  <si>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</si>
  <si>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</si>
  <si>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</si>
  <si>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</si>
  <si>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</si>
  <si>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</si>
  <si>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</si>
  <si>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</si>
  <si>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</si>
  <si>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</si>
  <si>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</si>
  <si>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</si>
  <si>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</si>
  <si>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</si>
  <si>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</si>
  <si>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</si>
  <si>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</si>
  <si>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</si>
  <si>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</si>
  <si>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</si>
  <si>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</si>
  <si>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</si>
  <si>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</si>
  <si>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</si>
  <si>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</si>
  <si>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</si>
  <si>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</si>
  <si>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</si>
  <si>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</si>
  <si>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</si>
  <si>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</si>
  <si>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</si>
  <si>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</si>
  <si>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</si>
  <si>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</si>
  <si>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</si>
  <si>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</si>
  <si>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</si>
  <si>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</si>
  <si>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</si>
  <si>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</si>
  <si>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</si>
  <si>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</si>
  <si>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</si>
  <si>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</si>
  <si>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</si>
  <si>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</si>
  <si>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</si>
  <si>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</si>
  <si>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</si>
  <si>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</si>
  <si>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</si>
  <si>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</si>
  <si>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</si>
  <si>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</si>
  <si>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</si>
  <si>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</si>
  <si>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</si>
  <si>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</si>
  <si>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</si>
  <si>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</si>
  <si>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</si>
  <si>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</si>
  <si>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</si>
  <si>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</si>
  <si>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</si>
  <si>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</si>
  <si>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</si>
  <si>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</si>
  <si>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</si>
  <si>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</si>
  <si>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</si>
  <si>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</si>
  <si>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</si>
  <si>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</si>
  <si>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2619</t>
  </si>
  <si>
    <t>28796046</t>
  </si>
  <si>
    <t>АО "ГТ Энерго"</t>
  </si>
  <si>
    <t>7703806647</t>
  </si>
  <si>
    <t>772801001</t>
  </si>
  <si>
    <t>01-01-2018 00:00:00</t>
  </si>
  <si>
    <t>Комбинированная выработка</t>
  </si>
  <si>
    <t>/Тепловая энергия/Производство/Комбинированная выработка</t>
  </si>
  <si>
    <t>26413074</t>
  </si>
  <si>
    <t>АО "Энергосервис"</t>
  </si>
  <si>
    <t>0816008251</t>
  </si>
  <si>
    <t>081601001</t>
  </si>
  <si>
    <t>08-04-2009 00:00:00</t>
  </si>
  <si>
    <t>24-11-2009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</si>
  <si>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</si>
  <si>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</si>
  <si>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26816056</t>
  </si>
  <si>
    <t>27-12-2016 00:00:00</t>
  </si>
  <si>
    <t>Оказание услуг в сфере горячего водоснабжения</t>
  </si>
  <si>
    <t>Сбыт :: Производство :: Транспортировка</t>
  </si>
  <si>
    <t>/ГВС/Сбыт :: /ГВС/Производство :: /ГВС/Транспортировка</t>
  </si>
  <si>
    <t>31573096</t>
  </si>
  <si>
    <t>МАУ "СпецЖКХ Октябрьский"</t>
  </si>
  <si>
    <t>0800001780</t>
  </si>
  <si>
    <t>080001001</t>
  </si>
  <si>
    <t>21-12-2021 00:00:00</t>
  </si>
  <si>
    <t>25-03-2022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</si>
  <si>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</si>
  <si>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</si>
  <si>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</si>
  <si>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</si>
  <si>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31191124</t>
  </si>
  <si>
    <t>МАУ "УКХБ Яшалтинского района"</t>
  </si>
  <si>
    <t>0801006685</t>
  </si>
  <si>
    <t>080101001</t>
  </si>
  <si>
    <t>30-11-2017 00:00:00</t>
  </si>
  <si>
    <t>31-07-2018 00:00:00</t>
  </si>
  <si>
    <t>Техническая :: Техническая :: Техническая</t>
  </si>
  <si>
    <t>/ХВС/Сбыт/Техническая :: /ХВС/Транспортировка/Техническая :: /ХВС/Производство/Техническая</t>
  </si>
  <si>
    <t>02-12-2021 00:00:00</t>
  </si>
  <si>
    <t>31567689</t>
  </si>
  <si>
    <t>МАУ "Яшкульская КС"</t>
  </si>
  <si>
    <t>0813007203</t>
  </si>
  <si>
    <t>081301001</t>
  </si>
  <si>
    <t>07-04-2021 00:00:00</t>
  </si>
  <si>
    <t>01-03-2022 00:00:00</t>
  </si>
  <si>
    <t>Техническая :: Техническая :: Техническая :: Питьевая :: Очистка</t>
  </si>
  <si>
    <t>/ХВС/Сбыт/Техническая :: /ХВС/Транспортировка/Техническая :: /ХВС/Производство/Техническая :: /ХВС/Производство/Питьевая :: /ХВС/Очистка</t>
  </si>
  <si>
    <t>31680396</t>
  </si>
  <si>
    <t>МБУ "Садовод" Сарпинского РМО РК</t>
  </si>
  <si>
    <t>0800004075</t>
  </si>
  <si>
    <t>02-08-2022 00:00:00</t>
  </si>
  <si>
    <t>12-10-2023 00:00:00</t>
  </si>
  <si>
    <t>Питьевая :: Питьевая :: Питьевая</t>
  </si>
  <si>
    <t>/ХВС/Сбыт/Питьевая :: /ХВС/Транспортировка/Питьевая :: /ХВС/Производство/Питьевая</t>
  </si>
  <si>
    <t>27994740</t>
  </si>
  <si>
    <t>МООО "Комсомольские коммунальные сети"</t>
  </si>
  <si>
    <t>0813005598</t>
  </si>
  <si>
    <t>081001001</t>
  </si>
  <si>
    <t>10-07-2012 00:00:00</t>
  </si>
  <si>
    <t>30-11-2022 00:00:00</t>
  </si>
  <si>
    <t>26641613</t>
  </si>
  <si>
    <t>МУП "Водоканал" ВСМО</t>
  </si>
  <si>
    <t>0801005917</t>
  </si>
  <si>
    <t>22-01-2010 00:00:00</t>
  </si>
  <si>
    <t>23-12-2010 00:00:00</t>
  </si>
  <si>
    <t>30940677</t>
  </si>
  <si>
    <t>МУП "Кетченеровский Водоканал"</t>
  </si>
  <si>
    <t>0817002051</t>
  </si>
  <si>
    <t>081701001</t>
  </si>
  <si>
    <t>09-12-2016 00:00:00</t>
  </si>
  <si>
    <t>04-08-2017 00:00:00</t>
  </si>
  <si>
    <t>31416406</t>
  </si>
  <si>
    <t>МУП "Сельдорсервис Ики-Бурульского РМО РК"</t>
  </si>
  <si>
    <t>0802002877</t>
  </si>
  <si>
    <t>080201001</t>
  </si>
  <si>
    <t>25-01-2006 00:00:00</t>
  </si>
  <si>
    <t>15-12-2022 00:00:00</t>
  </si>
  <si>
    <t>Подвоз воды</t>
  </si>
  <si>
    <t>/ХВС/Подвоз воды</t>
  </si>
  <si>
    <t>28820069</t>
  </si>
  <si>
    <t>МУП "Тепловик" ЮРМО РК</t>
  </si>
  <si>
    <t>0813005703</t>
  </si>
  <si>
    <t>081101001</t>
  </si>
  <si>
    <t>23-01-2013 00:00:00</t>
  </si>
  <si>
    <t>Очистка</t>
  </si>
  <si>
    <t>/ХВС/Очистка</t>
  </si>
  <si>
    <t>31191139</t>
  </si>
  <si>
    <t>МУП "Чапаевский Водоканал" ПСМО РК</t>
  </si>
  <si>
    <t>0801006269</t>
  </si>
  <si>
    <t>29-06-2012 00:00:00</t>
  </si>
  <si>
    <t>25-08-2018 00:00:00</t>
  </si>
  <si>
    <t>26825426</t>
  </si>
  <si>
    <t>МУП "Элиставодоканал"</t>
  </si>
  <si>
    <t>0816016069</t>
  </si>
  <si>
    <t>25-03-2011 00:00:00</t>
  </si>
  <si>
    <t>16-05-2011 00:00:00</t>
  </si>
  <si>
    <t>31601207</t>
  </si>
  <si>
    <t>МУП БЧСМО РК "Бага-Чоносовский коммунальник"</t>
  </si>
  <si>
    <t>0817000696</t>
  </si>
  <si>
    <t>080901001</t>
  </si>
  <si>
    <t>24-05-2011 00:00:00</t>
  </si>
  <si>
    <t>30-07-2022 00:00:00</t>
  </si>
  <si>
    <t>31598254</t>
  </si>
  <si>
    <t>МУП ВСМО РК "Вознесеновка-Водоканал"</t>
  </si>
  <si>
    <t>0800000994</t>
  </si>
  <si>
    <t>18-10-2021 00:00:00</t>
  </si>
  <si>
    <t>12-07-2022 00:00:00</t>
  </si>
  <si>
    <t>Питьевая :: Питьевая</t>
  </si>
  <si>
    <t>/ХВС/Сбыт/Питьевая :: /ХВС/Транспортировка/Питьевая</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</si>
  <si>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</si>
  <si>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</si>
  <si>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</si>
  <si>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</si>
  <si>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</si>
  <si>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</si>
  <si>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</si>
  <si>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</si>
  <si>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</si>
  <si>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</si>
  <si>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</si>
  <si>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</si>
  <si>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</si>
  <si>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</si>
  <si>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31449939</t>
  </si>
  <si>
    <t>ООО "Водоканал Лагань"</t>
  </si>
  <si>
    <t>0813007059</t>
  </si>
  <si>
    <t>19-05-2020 00:00:00</t>
  </si>
  <si>
    <t>14-09-2023 00:00:00</t>
  </si>
  <si>
    <t>01-01-2024 00:00:00</t>
  </si>
  <si>
    <t>31469292</t>
  </si>
  <si>
    <t>ООО "Коммунальные сети" МРМО РК</t>
  </si>
  <si>
    <t>0817002950</t>
  </si>
  <si>
    <t>29-09-2020 00:00:00</t>
  </si>
  <si>
    <t>28-01-2021 00:00:00</t>
  </si>
  <si>
    <t>28981650</t>
  </si>
  <si>
    <t>ООО "Комсомолец"</t>
  </si>
  <si>
    <t>0801001694</t>
  </si>
  <si>
    <t>25-02-2015 00:00:00</t>
  </si>
  <si>
    <t>18-05-2015 00:00:00</t>
  </si>
  <si>
    <t>30857922</t>
  </si>
  <si>
    <t>ООО "Троицкий групповой водопровод"</t>
  </si>
  <si>
    <t>0817001876</t>
  </si>
  <si>
    <t>13-01-2016 00:00:00</t>
  </si>
  <si>
    <t>01-04-2019 00:00:00</t>
  </si>
  <si>
    <t>11-01-2022 00:00:00</t>
  </si>
  <si>
    <t>30858128</t>
  </si>
  <si>
    <t>Филиал ФГУП "РТРС" "РТПЦ Республики Калмыкия"</t>
  </si>
  <si>
    <t>7717127211</t>
  </si>
  <si>
    <t>081602001</t>
  </si>
  <si>
    <t>23-11-2001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</si>
  <si>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</si>
  <si>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</si>
  <si>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</si>
  <si>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</si>
  <si>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</si>
  <si>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</si>
  <si>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27050271</t>
  </si>
  <si>
    <t>ООО "Спецавтохозяйство"</t>
  </si>
  <si>
    <t>0816016559</t>
  </si>
  <si>
    <t>05-05-2011 00:00:00</t>
  </si>
  <si>
    <t>01-01-2017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</si>
  <si>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</si>
  <si>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</si>
  <si>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01-10-2018 00:00:00</t>
  </si>
  <si>
    <t>/ТКО/Оказание услуги по обращению с твердыми коммунальными отходами региональным оператором</t>
  </si>
  <si>
    <t>01-11-2018 00:00:00</t>
  </si>
  <si>
    <t>01-01-2020 00:00:00</t>
  </si>
  <si>
    <t>NSRF</t>
  </si>
  <si>
    <t>MR_NAME</t>
  </si>
  <si>
    <t>OKTMO_MR_NAME</t>
  </si>
  <si>
    <t>MO_NAME</t>
  </si>
  <si>
    <t>OKTMO_NAME</t>
  </si>
  <si>
    <t>TYPE</t>
  </si>
  <si>
    <t>MR_ID</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</si>
  <si>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</si>
  <si>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</si>
  <si>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</si>
  <si>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</si>
  <si>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</si>
  <si>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</si>
  <si>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</si>
  <si>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</si>
  <si>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</si>
  <si>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</si>
  <si>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</si>
  <si>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</si>
  <si>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</si>
  <si>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</si>
  <si>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</si>
  <si>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</si>
  <si>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</si>
  <si>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</si>
  <si>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</si>
  <si>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</si>
  <si>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</si>
  <si>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</si>
  <si>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</si>
  <si>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</si>
  <si>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</si>
  <si>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</si>
  <si>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</si>
  <si>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</si>
  <si>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</si>
  <si>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</si>
  <si>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</si>
  <si>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</si>
  <si>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</si>
  <si>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</si>
  <si>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</si>
  <si>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</si>
  <si>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</si>
  <si>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</si>
  <si>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</si>
  <si>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</si>
  <si>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</si>
  <si>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</si>
  <si>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</si>
  <si>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</si>
  <si>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</si>
  <si>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</si>
  <si>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</si>
  <si>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</si>
  <si>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</si>
  <si>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</si>
  <si>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</si>
  <si>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</si>
  <si>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</si>
  <si>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</si>
  <si>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</si>
  <si>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</si>
  <si>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</si>
  <si>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</si>
  <si>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</si>
  <si>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</si>
  <si>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</si>
  <si>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</si>
  <si>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</si>
  <si>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</si>
  <si>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</si>
  <si>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</si>
  <si>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</si>
  <si>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</si>
  <si>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</si>
  <si>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</si>
  <si>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</si>
  <si>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</si>
  <si>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</si>
  <si>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</si>
  <si>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</si>
  <si>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</si>
  <si>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</si>
  <si>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</si>
  <si>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</si>
  <si>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</si>
  <si>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</si>
  <si>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</si>
  <si>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</si>
  <si>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</si>
  <si>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</si>
  <si>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</si>
  <si>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</si>
  <si>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</si>
  <si>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</si>
  <si>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</si>
  <si>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</si>
  <si>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</si>
  <si>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</si>
  <si>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</si>
  <si>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</si>
  <si>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</si>
  <si>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</si>
  <si>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</si>
  <si>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</si>
  <si>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</si>
  <si>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</si>
  <si>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</si>
  <si>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</si>
  <si>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</si>
  <si>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</si>
  <si>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</si>
  <si>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</si>
  <si>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</si>
  <si>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</si>
  <si>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</si>
  <si>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</si>
  <si>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</si>
  <si>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</si>
  <si>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</si>
  <si>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</si>
  <si>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</si>
  <si>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</si>
  <si>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</si>
  <si>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</si>
  <si>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</si>
  <si>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</si>
  <si>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</si>
  <si>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</si>
  <si>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</si>
  <si>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</si>
  <si>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</si>
  <si>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</si>
  <si>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</si>
  <si>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</si>
  <si>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</si>
  <si>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</si>
  <si>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</si>
  <si>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</si>
  <si>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</si>
  <si>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</si>
  <si>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</si>
  <si>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</si>
  <si>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</si>
  <si>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</si>
  <si>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</si>
  <si>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</si>
  <si>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</si>
  <si>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</si>
  <si>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</si>
  <si>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</si>
  <si>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</si>
  <si>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</si>
  <si>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</si>
  <si>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</si>
  <si>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</si>
  <si>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</si>
  <si>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</si>
  <si>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</si>
  <si>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</si>
  <si>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</si>
  <si>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</si>
  <si>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</si>
  <si>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</si>
  <si>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</si>
  <si>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</si>
  <si>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</si>
  <si>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</si>
  <si>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</si>
  <si>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</si>
  <si>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</si>
  <si>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</si>
  <si>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</si>
  <si>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</si>
  <si>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</si>
  <si>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</si>
  <si>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</si>
  <si>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</si>
  <si>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</si>
  <si>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</si>
  <si>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</si>
  <si>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</si>
  <si>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</si>
  <si>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</si>
  <si>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</si>
  <si>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</si>
  <si>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</si>
  <si>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</si>
  <si>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</si>
  <si>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</si>
  <si>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</si>
  <si>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</si>
  <si>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</si>
  <si>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</si>
  <si>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</si>
  <si>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</si>
  <si>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</si>
  <si>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</si>
  <si>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</si>
  <si>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</si>
  <si>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</si>
  <si>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</si>
  <si>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Черноземельский муниципальный район</t>
  </si>
  <si>
    <t>85642000</t>
  </si>
  <si>
    <t>Адыковское</t>
  </si>
  <si>
    <t>85642405</t>
  </si>
  <si>
    <t>86</t>
  </si>
  <si>
    <t>Артезианское</t>
  </si>
  <si>
    <t>85642410</t>
  </si>
  <si>
    <t>87</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</si>
  <si>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</si>
  <si>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</si>
  <si>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</si>
  <si>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</si>
  <si>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</si>
  <si>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</si>
  <si>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</si>
  <si>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</si>
  <si>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</si>
  <si>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</si>
  <si>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</si>
  <si>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</si>
  <si>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</si>
  <si>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</si>
  <si>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</si>
  <si>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</si>
  <si>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</si>
  <si>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</si>
  <si>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</si>
  <si>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</si>
  <si>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</si>
  <si>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</si>
  <si>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</si>
  <si>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</si>
  <si>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</si>
  <si>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</si>
  <si>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</si>
  <si>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</si>
  <si>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</si>
  <si>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</si>
  <si>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</si>
  <si>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</si>
  <si>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</si>
  <si>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</si>
  <si>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</si>
  <si>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</si>
  <si>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</si>
  <si>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</si>
  <si>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</si>
  <si>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</si>
  <si>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</si>
  <si>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</si>
  <si>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</si>
  <si>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</si>
  <si>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</si>
  <si>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</si>
  <si>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</si>
  <si>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</si>
  <si>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</si>
  <si>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</si>
  <si>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</si>
  <si>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</si>
  <si>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</si>
  <si>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</si>
  <si>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</si>
  <si>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</si>
  <si>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</si>
  <si>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</si>
  <si>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</si>
  <si>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</si>
  <si>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</si>
  <si>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</si>
  <si>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</si>
  <si>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</si>
  <si>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</si>
  <si>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</si>
  <si>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</si>
  <si>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</si>
  <si>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</si>
  <si>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</si>
  <si>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</si>
  <si>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</si>
  <si>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</si>
  <si>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</si>
  <si>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</si>
  <si>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</si>
  <si>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</si>
  <si>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</si>
  <si>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</si>
  <si>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</si>
  <si>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</si>
  <si>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</si>
  <si>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</si>
  <si>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</si>
  <si>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</si>
  <si>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</si>
  <si>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</si>
  <si>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</si>
  <si>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</si>
  <si>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</si>
  <si>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</si>
  <si>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</si>
  <si>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</si>
  <si>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</si>
  <si>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</si>
  <si>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</si>
  <si>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</si>
  <si>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</si>
  <si>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</si>
  <si>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</si>
  <si>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</si>
  <si>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</si>
  <si>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</si>
  <si>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</si>
  <si>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</si>
  <si>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</si>
  <si>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</si>
  <si>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</si>
  <si>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</si>
  <si>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</si>
  <si>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</si>
  <si>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</si>
  <si>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</si>
  <si>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</si>
  <si>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</si>
  <si>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</si>
  <si>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</si>
  <si>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L_NAME</t>
  </si>
  <si>
    <t>L_START_DATE</t>
  </si>
  <si>
    <t>L_END_DATE</t>
  </si>
  <si>
    <t>Инвестиционная программа № 139-п от 30.10.2018 АО "Энергосервис" в сфере теплоснабжения в отношении котельных и тепловых сетей, на территории городского округа Элиста на 2019-2023 годы</t>
  </si>
  <si>
    <t>01.01.2019</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</si>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</sst>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AE562-062C-691F-2257-1E877CFE03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57" width="5.421875" customWidth="1"/>
    <col min="2" max="2" style="10457" width="9.140625" customWidth="1"/>
    <col min="3" max="3" style="10457" width="16.421875" customWidth="1"/>
    <col min="4" max="25" style="10457" width="6.28125" customWidth="1"/>
    <col min="26" max="28" style="10457"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76" t="s">
        <v>1</v>
      </c>
      <c r="C2" s="2176"/>
      <c r="D2" s="2176"/>
      <c r="E2" s="2176"/>
      <c r="F2" s="2176"/>
      <c r="G2" s="2176"/>
      <c r="H2" s="2176"/>
      <c r="I2" s="2176"/>
      <c r="J2" s="2176"/>
      <c r="K2" s="2176"/>
      <c r="L2" s="2176"/>
      <c r="M2" s="2176"/>
      <c r="N2" s="2176"/>
      <c r="O2" s="2176"/>
      <c r="P2" s="2176"/>
      <c r="Q2" s="2083"/>
      <c r="R2" s="2083"/>
      <c r="S2" s="2083"/>
      <c r="T2" s="2083"/>
      <c r="U2" s="2083"/>
      <c r="V2" s="2084"/>
      <c r="W2" s="2083"/>
      <c r="X2" s="2083"/>
      <c r="Y2" s="2080"/>
      <c r="Z2" s="2079"/>
      <c r="AA2" s="2081"/>
      <c r="AB2" s="2079"/>
    </row>
    <row customHeight="1" ht="15.75">
      <c r="A3" s="2079"/>
      <c r="B3" s="2177" t="s">
        <v>2</v>
      </c>
      <c r="C3" s="2177"/>
      <c r="D3" s="2177"/>
      <c r="E3" s="2177"/>
      <c r="F3" s="2177"/>
      <c r="G3" s="2177"/>
      <c r="H3" s="2177"/>
      <c r="I3" s="2177"/>
      <c r="J3" s="2177"/>
      <c r="K3" s="2177"/>
      <c r="L3" s="2177"/>
      <c r="M3" s="2177"/>
      <c r="N3" s="2177"/>
      <c r="O3" s="2177"/>
      <c r="P3" s="2177"/>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7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2086"/>
      <c r="AA5" s="2081"/>
      <c r="AB5" s="2086"/>
    </row>
    <row customHeight="1" ht="15">
      <c r="A6" s="2087"/>
      <c r="B6" s="2181" t="s">
        <v>3</v>
      </c>
      <c r="C6" s="2182"/>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1"/>
      <c r="C7" s="2182"/>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1"/>
      <c r="C8" s="2182"/>
      <c r="D8" s="2093"/>
      <c r="E8" s="2094" t="s">
        <v>4</v>
      </c>
      <c r="F8" s="2184" t="s">
        <v>5</v>
      </c>
      <c r="G8" s="2185"/>
      <c r="H8" s="2185"/>
      <c r="I8" s="2185"/>
      <c r="J8" s="2185"/>
      <c r="K8" s="2185"/>
      <c r="L8" s="2185"/>
      <c r="M8" s="2185"/>
      <c r="N8" s="2093"/>
      <c r="O8" s="2095" t="s">
        <v>4</v>
      </c>
      <c r="P8" s="2186" t="s">
        <v>6</v>
      </c>
      <c r="Q8" s="2187"/>
      <c r="R8" s="2187"/>
      <c r="S8" s="2187"/>
      <c r="T8" s="2187"/>
      <c r="U8" s="2187"/>
      <c r="V8" s="2187"/>
      <c r="W8" s="2187"/>
      <c r="X8" s="2187"/>
      <c r="Y8" s="2089"/>
      <c r="Z8" s="2090"/>
      <c r="AA8" s="2091"/>
      <c r="AB8" s="2091"/>
    </row>
    <row customHeight="1" ht="15">
      <c r="A9" s="2087"/>
      <c r="B9" s="2181"/>
      <c r="C9" s="2182"/>
      <c r="D9" s="2093"/>
      <c r="E9" s="2096" t="s">
        <v>4</v>
      </c>
      <c r="F9" s="2184" t="s">
        <v>7</v>
      </c>
      <c r="G9" s="2185"/>
      <c r="H9" s="2185"/>
      <c r="I9" s="2185"/>
      <c r="J9" s="2185"/>
      <c r="K9" s="2185"/>
      <c r="L9" s="2185"/>
      <c r="M9" s="2185"/>
      <c r="N9" s="2093"/>
      <c r="O9" s="2097" t="s">
        <v>4</v>
      </c>
      <c r="P9" s="2186" t="s">
        <v>8</v>
      </c>
      <c r="Q9" s="2187"/>
      <c r="R9" s="2187"/>
      <c r="S9" s="2187"/>
      <c r="T9" s="2187"/>
      <c r="U9" s="2187"/>
      <c r="V9" s="2187"/>
      <c r="W9" s="2187"/>
      <c r="X9" s="2187"/>
      <c r="Y9" s="2089"/>
      <c r="Z9" s="2090"/>
      <c r="AA9" s="2091"/>
      <c r="AB9" s="2091"/>
    </row>
    <row customHeight="1" ht="30">
      <c r="A10" s="2087"/>
      <c r="B10" s="2181"/>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8" t="s">
        <v>9</v>
      </c>
      <c r="C11" s="2189"/>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1"/>
      <c r="C12" s="2183"/>
      <c r="D12" s="210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2089"/>
      <c r="Z12" s="2090"/>
      <c r="AA12" s="2091"/>
      <c r="AB12" s="2091"/>
    </row>
    <row customHeight="1" ht="15">
      <c r="A13" s="2087"/>
      <c r="B13" s="2188" t="s">
        <v>11</v>
      </c>
      <c r="C13" s="2189"/>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1"/>
      <c r="C14" s="2182"/>
      <c r="D14" s="2093"/>
      <c r="E14" s="2192" t="s">
        <v>12</v>
      </c>
      <c r="F14" s="2192"/>
      <c r="G14" s="2192"/>
      <c r="H14" s="2192"/>
      <c r="I14" s="2192"/>
      <c r="J14" s="2192"/>
      <c r="K14" s="2192"/>
      <c r="L14" s="2192"/>
      <c r="M14" s="2192"/>
      <c r="N14" s="2192"/>
      <c r="O14" s="2192"/>
      <c r="P14" s="2192"/>
      <c r="Q14" s="2192"/>
      <c r="R14" s="2192"/>
      <c r="S14" s="2192"/>
      <c r="T14" s="2192"/>
      <c r="U14" s="2192"/>
      <c r="V14" s="2192"/>
      <c r="W14" s="2192"/>
      <c r="X14" s="2192"/>
      <c r="Y14" s="2089"/>
      <c r="Z14" s="2090"/>
      <c r="AA14" s="2091"/>
      <c r="AB14" s="2091"/>
    </row>
    <row customHeight="1" ht="16.5">
      <c r="A15" s="2087"/>
      <c r="B15" s="2190"/>
      <c r="C15" s="2191"/>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93"/>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B9E646-B949-DEB2-0752-ADA9A9FA9D31}" mc:Ignorable="x14ac xr xr2 xr3">
  <sheetPr>
    <tabColor rgb="FFCCCCFF"/>
  </sheetPr>
  <dimension ref="A1:Q82"/>
  <sheetViews>
    <sheetView topLeftCell="A1" showGridLines="0" zoomScale="90" workbookViewId="0">
      <selection activeCell="K49" sqref="K49"/>
    </sheetView>
  </sheetViews>
  <sheetFormatPr defaultColWidth="9.140625" customHeight="1" defaultRowHeight="11.25"/>
  <cols>
    <col min="1" max="1" style="10566" width="10.7109375" hidden="1" customWidth="1"/>
    <col min="2" max="2" style="10567" width="10.7109375" hidden="1" customWidth="1"/>
    <col min="3" max="3" style="10568" width="3.7109375" customWidth="1"/>
    <col min="4" max="4" style="10569" width="1.7109375" customWidth="1"/>
    <col min="5" max="5" style="10569" width="55.28125" customWidth="1"/>
    <col min="6" max="6" style="10569" width="50.7109375" customWidth="1"/>
    <col min="7" max="7" style="10570" width="1.7109375" customWidth="1"/>
    <col min="8" max="8" style="10505" width="18.00390625" hidden="1" customWidth="1"/>
    <col min="9" max="9" style="10571" width="9.57421875" customWidth="1"/>
    <col min="10" max="10" style="10572" width="52.140625" hidden="1" customWidth="1"/>
    <col min="11" max="11" style="10569" width="9.140625"/>
    <col min="12" max="12" style="10569" width="78.00390625" customWidth="1"/>
    <col min="13" max="16" style="10569" width="9.140625"/>
  </cols>
  <sheetData>
    <row s="10458" customFormat="1" customHeight="1" ht="3">
      <c r="A1" s="1088"/>
      <c r="B1" s="514"/>
      <c r="F1" s="515">
        <v>26354809</v>
      </c>
      <c r="G1" s="712"/>
      <c r="H1" s="337"/>
      <c r="I1" s="712"/>
      <c r="J1" s="1183"/>
    </row>
    <row s="10465" customFormat="1" customHeight="1" ht="14.25">
      <c r="A2" s="1088"/>
      <c r="B2" s="367"/>
      <c r="E2" s="2123" t="str">
        <f>code</f>
        <v>Код отчёта: PP110.OPEN.INFO.BALANCE.HEAT.EIAS</v>
      </c>
      <c r="F2" s="542"/>
      <c r="G2" s="2850"/>
      <c r="H2" s="2850"/>
      <c r="I2" s="2850"/>
      <c r="J2" s="2851"/>
      <c r="K2" s="2850"/>
    </row>
    <row customHeight="1" ht="14.25">
      <c r="E3" s="519" t="str">
        <f>version</f>
        <v>Версия отчёта: 1.0.0</v>
      </c>
      <c r="F3" s="542"/>
      <c r="G3" s="1074"/>
      <c r="H3" s="1074"/>
      <c r="I3" s="1074"/>
      <c r="J3" s="1185"/>
      <c r="K3" s="355"/>
    </row>
    <row s="10475" customFormat="1" customHeight="1" ht="6">
      <c r="A4" s="1089"/>
      <c r="B4" s="505"/>
      <c r="C4" s="506"/>
      <c r="D4" s="507"/>
      <c r="E4" s="516"/>
      <c r="F4" s="517"/>
      <c r="G4" s="1075"/>
      <c r="H4" s="710"/>
      <c r="I4" s="712"/>
      <c r="J4" s="1186"/>
    </row>
    <row customHeight="1" ht="37.5">
      <c r="D5" s="341"/>
      <c r="E5" s="219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96"/>
      <c r="G5" s="1076"/>
      <c r="J5" s="1187"/>
    </row>
    <row s="10475" customFormat="1" customHeight="1" ht="6">
      <c r="A6" s="1089"/>
      <c r="B6" s="505"/>
      <c r="C6" s="506"/>
      <c r="D6" s="507"/>
      <c r="E6" s="510"/>
      <c r="F6" s="511"/>
      <c r="G6" s="1076"/>
      <c r="H6" s="710"/>
      <c r="I6" s="712"/>
      <c r="J6" s="1186"/>
    </row>
    <row customHeight="1" ht="19.5">
      <c r="D7" s="341"/>
      <c r="E7" s="688" t="s">
        <v>13</v>
      </c>
      <c r="F7" s="488" t="s">
        <v>14</v>
      </c>
      <c r="G7" s="1076"/>
    </row>
    <row s="10475" customFormat="1" customHeight="1" ht="6">
      <c r="A8" s="1090"/>
      <c r="B8" s="505"/>
      <c r="C8" s="506"/>
      <c r="D8" s="512"/>
      <c r="E8" s="510"/>
      <c r="F8" s="513"/>
      <c r="G8" s="343"/>
      <c r="H8" s="710"/>
      <c r="I8" s="712"/>
      <c r="J8" s="1189"/>
    </row>
    <row customHeight="1" ht="22.5" hidden="1">
      <c r="A9" s="2198" t="s">
        <v>15</v>
      </c>
      <c r="D9" s="341"/>
      <c r="E9" s="2792" t="s">
        <v>16</v>
      </c>
      <c r="F9" s="2790" t="s">
        <v>17</v>
      </c>
      <c r="G9" s="343"/>
      <c r="H9" s="1077" t="s">
        <v>18</v>
      </c>
      <c r="J9" s="1188" t="s">
        <v>19</v>
      </c>
    </row>
    <row customHeight="1" ht="22.5" hidden="1">
      <c r="A10" s="2198"/>
      <c r="D10" s="341"/>
      <c r="E10" s="2792" t="s">
        <v>20</v>
      </c>
      <c r="F10" s="2790"/>
      <c r="G10" s="339"/>
      <c r="J10" s="1188" t="s">
        <v>21</v>
      </c>
    </row>
    <row s="10505" customFormat="1" customHeight="1" ht="22.5" hidden="1">
      <c r="A11" s="1093" t="s">
        <v>22</v>
      </c>
      <c r="B11" s="367"/>
      <c r="C11" s="709"/>
      <c r="D11" s="711"/>
      <c r="E11" s="2792" t="s">
        <v>23</v>
      </c>
      <c r="F11" s="2790" t="s">
        <v>17</v>
      </c>
      <c r="G11" s="343"/>
      <c r="H11" s="1074"/>
      <c r="I11" s="712"/>
      <c r="J11" s="1188" t="s">
        <v>24</v>
      </c>
    </row>
    <row s="10505" customFormat="1" customHeight="1" ht="27">
      <c r="A12" s="1093" t="s">
        <v>25</v>
      </c>
      <c r="B12" s="367"/>
      <c r="C12" s="709"/>
      <c r="D12" s="711"/>
      <c r="E12" s="2792" t="s">
        <v>26</v>
      </c>
      <c r="F12" s="5355">
        <v>2023</v>
      </c>
      <c r="G12" s="343"/>
      <c r="H12" s="1074"/>
      <c r="I12" s="712"/>
      <c r="J12" s="1188" t="s">
        <v>27</v>
      </c>
    </row>
    <row s="10505" customFormat="1" customHeight="1" ht="19.5" hidden="1">
      <c r="A13" s="1093" t="s">
        <v>28</v>
      </c>
      <c r="B13" s="367"/>
      <c r="C13" s="709"/>
      <c r="D13" s="711"/>
      <c r="E13" s="2792" t="s">
        <v>29</v>
      </c>
      <c r="F13" s="2791"/>
      <c r="G13" s="343"/>
      <c r="H13" s="1074"/>
      <c r="I13" s="712"/>
      <c r="J13" s="1188" t="s">
        <v>30</v>
      </c>
    </row>
    <row s="10475" customFormat="1" customHeight="1" ht="6">
      <c r="A14" s="1090"/>
      <c r="B14" s="505"/>
      <c r="C14" s="506"/>
      <c r="D14" s="512"/>
      <c r="E14" s="510"/>
      <c r="F14" s="513"/>
      <c r="G14" s="343"/>
      <c r="H14" s="710"/>
      <c r="I14" s="712"/>
      <c r="J14" s="1186"/>
    </row>
    <row customHeight="1" ht="19.5">
      <c r="D15" s="341"/>
      <c r="E15" s="688" t="s">
        <v>31</v>
      </c>
      <c r="F15" s="489" t="s">
        <v>32</v>
      </c>
      <c r="G15" s="339"/>
      <c r="H15" s="1077" t="s">
        <v>18</v>
      </c>
    </row>
    <row customHeight="1" ht="22.5" hidden="1">
      <c r="D16" s="341"/>
      <c r="E16" s="688" t="s">
        <v>33</v>
      </c>
      <c r="F16" s="2113" t="s">
        <v>34</v>
      </c>
      <c r="G16" s="339"/>
      <c r="I16" s="1078"/>
      <c r="J16" s="2197" t="s">
        <v>35</v>
      </c>
    </row>
    <row customHeight="1" ht="22.5" hidden="1">
      <c r="D17" s="341"/>
      <c r="E17" s="688" t="s">
        <v>36</v>
      </c>
      <c r="F17" s="2113"/>
      <c r="G17" s="339"/>
      <c r="I17" s="1078"/>
      <c r="J17" s="2197"/>
    </row>
    <row customHeight="1" ht="22.5" hidden="1">
      <c r="D18" s="341"/>
      <c r="E18" s="342"/>
      <c r="F18" s="543" t="str">
        <f>"Первичное "&amp;IF(TEMPLATE_GROUP="P","установление тарифов","предложение по тарифам")</f>
        <v>Первичное предложение по тарифам</v>
      </c>
      <c r="G18" s="339"/>
      <c r="I18" s="691"/>
      <c r="J18" s="1187" t="s">
        <v>37</v>
      </c>
    </row>
    <row customHeight="1" ht="19.5" hidden="1">
      <c r="D19" s="341"/>
      <c r="E19" s="688" t="str">
        <f>"Дата "&amp;IF(TEMPLATE_GROUP="P","документа","подачи заявления")&amp;" об "&amp;IF(TITLE_DATE_PR_CHANGE="","утверждении","изменении")&amp;" тарифов"</f>
        <v>Дата подачи заявления об утверждении тарифов</v>
      </c>
      <c r="F19" s="2112" t="s">
        <v>17</v>
      </c>
      <c r="G19" s="339"/>
      <c r="I19" s="1079"/>
    </row>
    <row customHeight="1" ht="19.5" hidden="1">
      <c r="D20" s="341"/>
      <c r="E20"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89"/>
      <c r="G20" s="339"/>
      <c r="I20" s="1079"/>
    </row>
    <row customHeight="1" ht="22.5" hidden="1">
      <c r="D21" s="341"/>
      <c r="E21" s="688" t="s">
        <v>38</v>
      </c>
      <c r="F21" s="489"/>
      <c r="G21" s="339"/>
    </row>
    <row customHeight="1" ht="19.5" hidden="1">
      <c r="D22" s="341"/>
      <c r="E22" s="688" t="s">
        <v>39</v>
      </c>
      <c r="F22" s="489"/>
      <c r="G22" s="339"/>
    </row>
    <row customHeight="1" ht="22.5" hidden="1">
      <c r="D23" s="341"/>
      <c r="E23" s="342"/>
      <c r="F23" s="543" t="str">
        <f>"Изменение "&amp;IF(TEMPLATE_GROUP="P","тарифов","предложения по тарифам")</f>
        <v>Изменение предложения по тарифам</v>
      </c>
      <c r="G23" s="339"/>
      <c r="J23" s="1187" t="s">
        <v>40</v>
      </c>
    </row>
    <row customHeight="1" ht="22.5" hidden="1">
      <c r="D24" s="341"/>
      <c r="E24" s="688" t="s">
        <v>41</v>
      </c>
      <c r="F24" s="491"/>
      <c r="G24" s="339"/>
    </row>
    <row customHeight="1" ht="19.5" hidden="1">
      <c r="D25" s="341"/>
      <c r="E25" s="688" t="s">
        <v>42</v>
      </c>
      <c r="F25" s="2113"/>
      <c r="G25" s="339"/>
    </row>
    <row customHeight="1" ht="19.5" hidden="1">
      <c r="D26" s="341"/>
      <c r="E26" s="688" t="s">
        <v>43</v>
      </c>
      <c r="F26" s="491"/>
      <c r="G26" s="339"/>
    </row>
    <row customHeight="1" ht="19.5" hidden="1">
      <c r="D27" s="341"/>
      <c r="E27" s="688" t="s">
        <v>39</v>
      </c>
      <c r="F27" s="491"/>
      <c r="G27" s="339"/>
    </row>
    <row s="10475" customFormat="1" customHeight="1" ht="6">
      <c r="A28" s="1090"/>
      <c r="B28" s="505"/>
      <c r="C28" s="506"/>
      <c r="D28" s="512"/>
      <c r="E28" s="510"/>
      <c r="F28" s="513"/>
      <c r="G28" s="343"/>
      <c r="H28" s="710"/>
      <c r="I28" s="712"/>
      <c r="J28" s="1186"/>
    </row>
    <row customHeight="1" ht="37.5">
      <c r="C29" s="344"/>
      <c r="D29" s="345"/>
      <c r="E29" s="688" t="s">
        <v>44</v>
      </c>
      <c r="F29" s="490" t="s">
        <v>45</v>
      </c>
      <c r="G29" s="1080"/>
    </row>
    <row customHeight="1" ht="19.5" hidden="1">
      <c r="C30" s="344"/>
      <c r="D30" s="345"/>
      <c r="E30" s="689" t="s">
        <v>46</v>
      </c>
      <c r="F30" s="2793"/>
      <c r="G30" s="1080"/>
    </row>
    <row customHeight="1" ht="19.5">
      <c r="C31" s="344"/>
      <c r="D31" s="345"/>
      <c r="E31" s="688" t="s">
        <v>47</v>
      </c>
      <c r="F31" s="490" t="s">
        <v>48</v>
      </c>
      <c r="G31" s="1080"/>
    </row>
    <row customHeight="1" ht="19.5">
      <c r="C32" s="344"/>
      <c r="D32" s="345"/>
      <c r="E32" s="688" t="s">
        <v>49</v>
      </c>
      <c r="F32" s="490" t="s">
        <v>50</v>
      </c>
      <c r="G32" s="1080"/>
      <c r="H32" s="346"/>
    </row>
    <row s="10475" customFormat="1" customHeight="1" ht="11.25">
      <c r="A33" s="1090"/>
      <c r="B33" s="505"/>
      <c r="C33" s="506"/>
      <c r="D33" s="512"/>
      <c r="E33" s="510"/>
      <c r="F33" s="513"/>
      <c r="G33" s="343"/>
      <c r="H33" s="710"/>
      <c r="I33" s="712"/>
      <c r="J33" s="1186"/>
    </row>
    <row customHeight="1" ht="19.5">
      <c r="A34" s="1191"/>
      <c r="D34" s="345"/>
      <c r="E34" s="688" t="s">
        <v>51</v>
      </c>
      <c r="F34" s="5375" t="s">
        <v>52</v>
      </c>
      <c r="G34" s="343"/>
    </row>
    <row customHeight="1" ht="19.5">
      <c r="A35" s="1191"/>
      <c r="D35" s="345"/>
      <c r="E35" s="688" t="s">
        <v>53</v>
      </c>
      <c r="F35" s="5375" t="s">
        <v>54</v>
      </c>
      <c r="G35" s="343"/>
    </row>
    <row s="10475" customFormat="1" customHeight="1" ht="6">
      <c r="A36" s="1090"/>
      <c r="B36" s="505"/>
      <c r="C36" s="506"/>
      <c r="D36" s="507"/>
      <c r="E36" s="508"/>
      <c r="F36" s="1377"/>
      <c r="G36" s="339"/>
      <c r="H36" s="710"/>
      <c r="I36" s="712"/>
      <c r="J36" s="1188"/>
    </row>
    <row customHeight="1" ht="22.5">
      <c r="A37" s="1090"/>
      <c r="D37" s="341"/>
      <c r="E37" s="688" t="s">
        <v>55</v>
      </c>
      <c r="F37" s="1012" t="s">
        <v>56</v>
      </c>
      <c r="G37" s="339"/>
      <c r="H37" s="1077" t="s">
        <v>18</v>
      </c>
    </row>
    <row s="10533" customFormat="1" customHeight="1" ht="6" hidden="1">
      <c r="A38" s="1089"/>
      <c r="B38" s="727"/>
      <c r="C38" s="728"/>
      <c r="D38" s="729"/>
      <c r="E38" s="730"/>
      <c r="F38" s="1377"/>
      <c r="G38" s="339"/>
      <c r="H38" s="710"/>
      <c r="I38" s="712"/>
      <c r="J38" s="1188"/>
    </row>
    <row s="10505" customFormat="1" customHeight="1" ht="19.5" hidden="1">
      <c r="A39" s="1093" t="s">
        <v>22</v>
      </c>
      <c r="B39" s="714"/>
      <c r="C39" s="709"/>
      <c r="D39" s="711"/>
      <c r="E39"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12" t="s">
        <v>56</v>
      </c>
      <c r="G39" s="339"/>
      <c r="I39" s="712"/>
      <c r="J39" s="1188"/>
    </row>
    <row s="10533" customFormat="1" customHeight="1" ht="6" hidden="1">
      <c r="A40" s="1089"/>
      <c r="B40" s="727"/>
      <c r="C40" s="728"/>
      <c r="D40" s="729"/>
      <c r="E40" s="730"/>
      <c r="F40" s="1377"/>
      <c r="G40" s="339"/>
      <c r="H40" s="710"/>
      <c r="I40" s="712"/>
      <c r="J40" s="1186"/>
    </row>
    <row s="10505" customFormat="1" customHeight="1" ht="22.5" hidden="1">
      <c r="A41" s="1089"/>
      <c r="B41" s="714"/>
      <c r="C41" s="709"/>
      <c r="D41" s="711"/>
      <c r="E41" s="688" t="s">
        <v>57</v>
      </c>
      <c r="F41" s="1012"/>
      <c r="G41" s="339"/>
      <c r="I41" s="712"/>
      <c r="J41" s="1188"/>
    </row>
    <row s="10505" customFormat="1" customHeight="1" ht="22.5" hidden="1">
      <c r="A42" s="1089"/>
      <c r="B42" s="714"/>
      <c r="C42" s="709"/>
      <c r="D42" s="711"/>
      <c r="E42" s="1491" t="s">
        <v>58</v>
      </c>
      <c r="F42" s="1055"/>
      <c r="G42" s="339"/>
      <c r="I42" s="712"/>
      <c r="J42" s="1188"/>
    </row>
    <row s="10533" customFormat="1" customHeight="1" ht="6" hidden="1">
      <c r="A43" s="1089"/>
      <c r="B43" s="727"/>
      <c r="C43" s="728"/>
      <c r="D43" s="729"/>
      <c r="E43" s="730"/>
      <c r="F43" s="1377"/>
      <c r="G43" s="339"/>
      <c r="H43" s="710"/>
      <c r="I43" s="712"/>
      <c r="J43" s="1188"/>
    </row>
    <row s="10533" customFormat="1" customHeight="1" ht="22.5" hidden="1">
      <c r="A44" s="1089"/>
      <c r="B44" s="727"/>
      <c r="C44" s="728"/>
      <c r="D44" s="729"/>
      <c r="E44" s="1491" t="s">
        <v>59</v>
      </c>
      <c r="F44" s="1012" t="s">
        <v>56</v>
      </c>
      <c r="G44" s="339"/>
      <c r="H44" s="710"/>
      <c r="I44" s="712"/>
      <c r="J44" s="1188"/>
    </row>
    <row s="10505" customFormat="1" customHeight="1" ht="22.5" hidden="1">
      <c r="A45" s="1089"/>
      <c r="B45" s="714"/>
      <c r="C45" s="709"/>
      <c r="D45" s="711"/>
      <c r="E45" s="1491" t="s">
        <v>60</v>
      </c>
      <c r="F45" s="1012" t="s">
        <v>56</v>
      </c>
      <c r="G45" s="339"/>
      <c r="I45" s="712"/>
      <c r="J45" s="1188"/>
    </row>
    <row s="10475" customFormat="1" customHeight="1" ht="6" hidden="1">
      <c r="A46" s="1089"/>
      <c r="B46" s="505"/>
      <c r="C46" s="506"/>
      <c r="D46" s="507"/>
      <c r="E46" s="508"/>
      <c r="F46" s="1377"/>
      <c r="G46" s="339"/>
      <c r="H46" s="710"/>
      <c r="I46" s="712"/>
      <c r="J46" s="1188"/>
    </row>
    <row customHeight="1" ht="19.5" hidden="1">
      <c r="B47" s="419"/>
      <c r="D47" s="341"/>
      <c r="E47"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12"/>
      <c r="G47" s="339"/>
    </row>
    <row s="10533" customFormat="1" customHeight="1" ht="6">
      <c r="A48" s="1090"/>
      <c r="B48" s="727"/>
      <c r="C48" s="728"/>
      <c r="D48" s="512"/>
      <c r="E48" s="510"/>
      <c r="F48" s="513"/>
      <c r="G48" s="343"/>
      <c r="H48" s="710"/>
      <c r="I48" s="712"/>
      <c r="J48" s="1188"/>
    </row>
    <row s="10542" customFormat="1" customHeight="1" ht="22.5">
      <c r="A49" s="1091"/>
      <c r="B49" s="714"/>
      <c r="C49" s="832"/>
      <c r="D49" s="833"/>
      <c r="E49" s="688" t="s">
        <v>61</v>
      </c>
      <c r="F49" s="1012" t="s">
        <v>56</v>
      </c>
      <c r="G49" s="834"/>
      <c r="I49" s="836"/>
      <c r="J49" s="1190"/>
      <c r="P49" s="837"/>
    </row>
    <row s="10533" customFormat="1" customHeight="1" ht="6">
      <c r="A50" s="1090"/>
      <c r="B50" s="727"/>
      <c r="C50" s="728"/>
      <c r="D50" s="512"/>
      <c r="E50" s="510"/>
      <c r="F50" s="513"/>
      <c r="G50" s="343"/>
      <c r="H50" s="710"/>
      <c r="I50" s="712"/>
      <c r="J50" s="1186"/>
    </row>
    <row s="10542" customFormat="1" customHeight="1" ht="22.5">
      <c r="A51" s="1091"/>
      <c r="B51" s="714"/>
      <c r="C51" s="832"/>
      <c r="D51" s="833"/>
      <c r="E51" s="688" t="s">
        <v>62</v>
      </c>
      <c r="F51" s="1372" t="s">
        <v>63</v>
      </c>
      <c r="G51" s="834"/>
      <c r="I51" s="836"/>
      <c r="J51" s="1190"/>
      <c r="P51" s="837"/>
    </row>
    <row s="10542" customFormat="1" customHeight="1" ht="22.5">
      <c r="A52" s="1091"/>
      <c r="B52" s="714"/>
      <c r="C52" s="832"/>
      <c r="D52" s="833"/>
      <c r="E52" s="688" t="s">
        <v>64</v>
      </c>
      <c r="F52" s="5397" t="s">
        <v>65</v>
      </c>
      <c r="G52" s="834"/>
      <c r="I52" s="836"/>
      <c r="J52" s="1190"/>
      <c r="P52" s="837"/>
    </row>
    <row s="10533" customFormat="1" customHeight="1" ht="6">
      <c r="A53" s="1090"/>
      <c r="B53" s="727"/>
      <c r="C53" s="728"/>
      <c r="D53" s="512"/>
      <c r="E53" s="510"/>
      <c r="F53" s="513"/>
      <c r="G53" s="343"/>
      <c r="H53" s="710"/>
      <c r="I53" s="712"/>
      <c r="J53" s="1186"/>
    </row>
    <row s="10542" customFormat="1" customHeight="1" ht="22.5">
      <c r="A54" s="1091"/>
      <c r="B54" s="714"/>
      <c r="C54" s="832"/>
      <c r="D54" s="833"/>
      <c r="E54" s="688" t="s">
        <v>66</v>
      </c>
      <c r="F54" s="1372" t="s">
        <v>56</v>
      </c>
      <c r="G54" s="834"/>
      <c r="I54" s="836"/>
      <c r="J54" s="1190"/>
      <c r="P54" s="837"/>
    </row>
    <row s="10533" customFormat="1" customHeight="1" ht="6">
      <c r="A55" s="1090"/>
      <c r="B55" s="727"/>
      <c r="C55" s="728"/>
      <c r="D55" s="512"/>
      <c r="E55" s="510"/>
      <c r="F55" s="513"/>
      <c r="G55" s="343"/>
      <c r="H55" s="710"/>
      <c r="I55" s="712"/>
      <c r="J55" s="1186"/>
    </row>
    <row s="10542" customFormat="1" customHeight="1" ht="15">
      <c r="A56" s="1091"/>
      <c r="B56" s="714"/>
      <c r="C56" s="832"/>
      <c r="D56" s="833"/>
      <c r="E56" s="688" t="s">
        <v>67</v>
      </c>
      <c r="F56" s="1372" t="s">
        <v>56</v>
      </c>
      <c r="G56" s="834"/>
      <c r="I56" s="836"/>
      <c r="J56" s="1190"/>
      <c r="P56" s="837"/>
    </row>
    <row s="10542" customFormat="1" customHeight="1" ht="15" hidden="1">
      <c r="A57" s="1091"/>
      <c r="B57" s="714"/>
      <c r="C57" s="832"/>
      <c r="D57" s="833"/>
      <c r="E57"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19" t="str">
        <f>F56</f>
        <v>нет</v>
      </c>
      <c r="G57" s="834"/>
      <c r="I57" s="836"/>
      <c r="J57" s="1190"/>
      <c r="P57" s="837"/>
    </row>
    <row s="10542" customFormat="1" customHeight="1" ht="15" hidden="1">
      <c r="A58" s="1091"/>
      <c r="B58" s="714"/>
      <c r="C58" s="832"/>
      <c r="D58" s="833"/>
      <c r="E58" s="1491" t="s">
        <v>68</v>
      </c>
      <c r="F58" s="5399" t="str">
        <f>F57</f>
        <v>нет</v>
      </c>
      <c r="G58" s="834"/>
      <c r="I58" s="836"/>
      <c r="J58" s="1190"/>
      <c r="P58" s="837"/>
    </row>
    <row s="10533" customFormat="1" customHeight="1" ht="6" hidden="1">
      <c r="A59" s="1090"/>
      <c r="B59" s="727"/>
      <c r="C59" s="728"/>
      <c r="D59" s="729"/>
      <c r="E59" s="730"/>
      <c r="F59" s="1377"/>
      <c r="G59" s="339"/>
      <c r="H59" s="710"/>
      <c r="I59" s="712"/>
      <c r="J59" s="1188"/>
    </row>
    <row s="10505" customFormat="1" customHeight="1" ht="33.75" hidden="1">
      <c r="A60" s="1090"/>
      <c r="B60" s="367"/>
      <c r="C60" s="709"/>
      <c r="D60" s="711"/>
      <c r="E60" s="1491" t="s">
        <v>69</v>
      </c>
      <c r="F60" s="2049" t="s">
        <v>63</v>
      </c>
      <c r="G60" s="339"/>
      <c r="H60" s="1077" t="s">
        <v>18</v>
      </c>
      <c r="I60" s="712"/>
      <c r="J60" s="1188"/>
    </row>
    <row s="10475" customFormat="1" customHeight="1" ht="6">
      <c r="A61" s="1090"/>
      <c r="B61" s="505"/>
      <c r="C61" s="506"/>
      <c r="D61" s="512"/>
      <c r="E61" s="510"/>
      <c r="F61" s="513"/>
      <c r="G61" s="343"/>
      <c r="H61" s="710"/>
      <c r="I61" s="712"/>
      <c r="J61" s="1186"/>
    </row>
    <row customHeight="1" ht="19.5">
      <c r="A62" s="1092"/>
      <c r="B62" s="368"/>
      <c r="D62" s="348"/>
      <c r="E62" s="688" t="s">
        <v>70</v>
      </c>
      <c r="F62" s="489" t="s">
        <v>71</v>
      </c>
      <c r="G62" s="343"/>
    </row>
    <row customHeight="1" ht="19.5">
      <c r="A63" s="1092"/>
      <c r="B63" s="368"/>
      <c r="D63" s="348"/>
      <c r="E63" s="688" t="s">
        <v>72</v>
      </c>
      <c r="F63" s="489" t="s">
        <v>73</v>
      </c>
      <c r="G63" s="343"/>
    </row>
    <row customHeight="1" ht="35.25">
      <c r="D64" s="341"/>
      <c r="E64" s="690" t="s">
        <v>74</v>
      </c>
      <c r="F64" s="1379"/>
      <c r="G64" s="339"/>
    </row>
    <row customHeight="1" ht="19.5">
      <c r="A65" s="1092"/>
      <c r="D65" s="711"/>
      <c r="E65" s="688" t="s">
        <v>75</v>
      </c>
      <c r="F65" s="544" t="s">
        <v>76</v>
      </c>
      <c r="G65" s="343"/>
    </row>
    <row customHeight="1" ht="19.5">
      <c r="A66" s="1092"/>
      <c r="B66" s="368"/>
      <c r="D66" s="348"/>
      <c r="E66" s="688" t="s">
        <v>77</v>
      </c>
      <c r="F66" s="544" t="s">
        <v>78</v>
      </c>
      <c r="G66" s="343"/>
    </row>
    <row customHeight="1" ht="19.5">
      <c r="A67" s="1092"/>
      <c r="B67" s="368"/>
      <c r="D67" s="348"/>
      <c r="E67" s="688" t="s">
        <v>79</v>
      </c>
      <c r="F67" s="544" t="s">
        <v>80</v>
      </c>
      <c r="G67" s="343"/>
    </row>
    <row customHeight="1" ht="19.5">
      <c r="D68" s="711"/>
      <c r="E68" s="688" t="s">
        <v>81</v>
      </c>
      <c r="F68" s="544" t="s">
        <v>82</v>
      </c>
      <c r="G68" s="339"/>
    </row>
    <row customHeight="1" ht="20.25">
      <c r="A69" s="1092"/>
      <c r="D69" s="339"/>
      <c r="F69" s="404"/>
      <c r="G69" s="343"/>
    </row>
    <row customHeight="1" ht="19.5">
      <c r="A70" s="1092"/>
      <c r="B70" s="368"/>
      <c r="D70" s="348"/>
      <c r="E70" s="347"/>
      <c r="F70" s="405"/>
      <c r="G70" s="343"/>
    </row>
    <row customHeight="1" ht="19.5">
      <c r="A71" s="1092"/>
      <c r="B71" s="368"/>
      <c r="D71" s="348"/>
      <c r="E71" s="347"/>
      <c r="F71" s="405"/>
      <c r="G71" s="343"/>
    </row>
    <row customHeight="1" ht="19.5">
      <c r="A72" s="1092"/>
      <c r="B72" s="368"/>
      <c r="D72" s="348"/>
      <c r="E72" s="353"/>
      <c r="F72" s="405"/>
      <c r="G72" s="343"/>
    </row>
    <row customHeight="1" ht="19.5">
      <c r="A73" s="1092"/>
      <c r="B73" s="368"/>
      <c r="D73" s="348"/>
      <c r="E73" s="347"/>
      <c r="F73" s="405"/>
      <c r="G73" s="343"/>
    </row>
    <row r="76" customHeight="1" ht="11.25">
      <c r="E76" s="687"/>
      <c r="F76" s="687"/>
      <c r="G76" s="687"/>
      <c r="H76" s="687"/>
      <c r="I76" s="68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7BE29BDD-E22D-E3FC-7915-8E639C7C90FB}"/>
    <hyperlink ref="H15" location="Титульный!H9" display="Как заполнить?" tooltip="Помощь по работе с полями отчётной формы" xr:uid="{934E5DB4-CECD-824E-5592-193811D3E7C8}"/>
    <hyperlink ref="H37" location="Титульный!H9" display="Как заполнить?" tooltip="Помощь по работе с полями отчётной формы" xr:uid="{DC38F774-81DC-46DF-5674-0B9BB883F745}"/>
    <hyperlink ref="H60" location="Титульный!H9" display="Как заполнить?" tooltip="Помощь по работе с полями отчётной формы" xr:uid="{2A014B27-5DB4-D701-B304-14FE3AD68D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500A5-B51F-989B-1178-1AEA6619D7C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656" width="8.00390625" hidden="1" customWidth="1"/>
    <col min="2" max="2" style="10657" width="6.00390625" hidden="1" customWidth="1"/>
    <col min="3" max="3" style="10656" width="3.7109375" customWidth="1"/>
    <col min="4" max="4" style="10658" width="3.7109375" customWidth="1"/>
    <col min="5" max="5" style="10659" width="6.28125" customWidth="1"/>
    <col min="6" max="6" style="10656" width="2.7109375" hidden="1" customWidth="1"/>
    <col min="7" max="7" style="10659" width="46.7109375" customWidth="1"/>
    <col min="8" max="8" style="10659" width="43.140625" customWidth="1"/>
    <col min="9" max="9" style="10659" width="14.8515625" customWidth="1"/>
    <col min="10" max="10" style="10660" width="3.7109375" customWidth="1"/>
    <col min="11" max="13" style="10660" width="9.140625" hidden="1"/>
    <col min="14" max="14" style="10661" width="25.7109375" hidden="1" customWidth="1"/>
    <col min="15" max="15" style="10660" width="14.421875" hidden="1" customWidth="1"/>
    <col min="16" max="19" style="10662" width="9.140625" hidden="1"/>
    <col min="20" max="27" style="10659" width="9.140625" hidden="1"/>
    <col min="28" max="28" style="10659" width="9.140625"/>
  </cols>
  <sheetData>
    <row s="10573" customFormat="1" customHeight="1" ht="5.25" hidden="1">
      <c r="A1" s="798"/>
      <c r="B1" s="813"/>
      <c r="C1" s="813"/>
      <c r="D1" s="494"/>
      <c r="F1" s="813"/>
      <c r="G1" s="520" t="s">
        <v>83</v>
      </c>
      <c r="H1" s="796" t="s">
        <v>84</v>
      </c>
      <c r="I1" s="500" t="s">
        <v>85</v>
      </c>
      <c r="J1" s="520" t="s">
        <v>83</v>
      </c>
      <c r="K1" s="520"/>
      <c r="L1" s="520"/>
      <c r="M1" s="520"/>
      <c r="N1" s="521"/>
      <c r="O1" s="520"/>
      <c r="P1" s="520"/>
      <c r="Q1" s="520"/>
      <c r="R1" s="520"/>
      <c r="S1" s="520"/>
      <c r="T1" s="500"/>
      <c r="U1" s="500"/>
      <c r="V1" s="500"/>
      <c r="W1" s="500"/>
      <c r="X1" s="500"/>
      <c r="Y1" s="500"/>
      <c r="Z1" s="500"/>
      <c r="AA1" s="500"/>
      <c r="AB1" s="500"/>
    </row>
    <row s="10581"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586" customFormat="1" customHeight="1" ht="3">
      <c r="A3" s="1062"/>
      <c r="B3" s="718"/>
      <c r="C3" s="1062"/>
      <c r="D3" s="437"/>
      <c r="E3" s="373"/>
      <c r="F3" s="811"/>
      <c r="G3" s="373"/>
      <c r="H3" s="373"/>
      <c r="I3" s="439"/>
      <c r="J3" s="520"/>
      <c r="K3" s="428"/>
      <c r="L3" s="428"/>
      <c r="M3" s="428"/>
      <c r="N3" s="499"/>
      <c r="O3" s="428"/>
      <c r="P3" s="498"/>
      <c r="Q3" s="498"/>
      <c r="R3" s="498"/>
      <c r="S3" s="498"/>
    </row>
    <row s="10586" customFormat="1" customHeight="1" ht="25.5">
      <c r="A4" s="1062"/>
      <c r="B4" s="718"/>
      <c r="C4" s="1062"/>
      <c r="D4" s="437"/>
      <c r="E4" s="2200" t="str">
        <f>NameTemplatesInListMO</f>
        <v>Перечень муниципальных районов и муниципальных образований (территорий оказания услуг)</v>
      </c>
      <c r="F4" s="2200"/>
      <c r="G4" s="2200"/>
      <c r="H4" s="2200"/>
      <c r="I4" s="2200"/>
      <c r="J4" s="520"/>
      <c r="K4" s="428"/>
      <c r="L4" s="428"/>
      <c r="M4" s="428"/>
      <c r="N4" s="499"/>
      <c r="O4" s="428"/>
      <c r="P4" s="498"/>
      <c r="Q4" s="498"/>
      <c r="R4" s="498"/>
      <c r="S4" s="498"/>
    </row>
    <row s="10586" customFormat="1" customHeight="1" ht="3">
      <c r="A5" s="1062"/>
      <c r="B5" s="718"/>
      <c r="C5" s="1062"/>
      <c r="D5" s="437"/>
      <c r="E5" s="373"/>
      <c r="F5" s="811"/>
      <c r="G5" s="440"/>
      <c r="H5" s="440"/>
      <c r="I5" s="441"/>
      <c r="J5" s="428"/>
      <c r="K5" s="428"/>
      <c r="L5" s="428"/>
      <c r="M5" s="428"/>
      <c r="N5" s="499"/>
      <c r="O5" s="428"/>
      <c r="P5" s="498"/>
      <c r="Q5" s="498"/>
      <c r="R5" s="498"/>
      <c r="S5" s="498"/>
    </row>
    <row s="10586"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586" customFormat="1" customHeight="1" ht="14.25">
      <c r="A8" s="1062"/>
      <c r="B8" s="718"/>
      <c r="C8" s="1062"/>
      <c r="D8" s="437"/>
      <c r="E8" s="2201" t="s">
        <v>86</v>
      </c>
      <c r="F8" s="2202"/>
      <c r="G8" s="2203"/>
      <c r="H8" s="2204" t="s">
        <v>87</v>
      </c>
      <c r="I8" s="2204"/>
      <c r="J8" s="428"/>
      <c r="K8" s="428"/>
      <c r="L8" s="428"/>
      <c r="M8" s="428"/>
      <c r="N8" s="499"/>
      <c r="O8" s="428"/>
      <c r="P8" s="498"/>
      <c r="Q8" s="498"/>
      <c r="R8" s="498"/>
      <c r="S8" s="498"/>
    </row>
    <row s="10586" customFormat="1" customHeight="1" ht="20.25">
      <c r="A9" s="1062"/>
      <c r="B9" s="718"/>
      <c r="C9" s="1062"/>
      <c r="D9" s="437"/>
      <c r="E9" s="1081" t="s">
        <v>88</v>
      </c>
      <c r="F9" s="1081"/>
      <c r="G9" s="445" t="s">
        <v>89</v>
      </c>
      <c r="H9" s="445" t="s">
        <v>89</v>
      </c>
      <c r="I9" s="445" t="s">
        <v>85</v>
      </c>
      <c r="J9" s="428"/>
      <c r="K9" s="428"/>
      <c r="L9" s="428"/>
      <c r="M9" s="428"/>
      <c r="N9" s="499"/>
      <c r="O9" s="428"/>
      <c r="P9" s="498"/>
      <c r="Q9" s="498"/>
      <c r="R9" s="498"/>
      <c r="S9" s="498"/>
    </row>
    <row customHeight="1" ht="11.25">
      <c r="D10" s="449"/>
      <c r="E10" s="1082" t="s">
        <v>90</v>
      </c>
      <c r="F10" s="1082"/>
      <c r="G10" s="496" t="s">
        <v>91</v>
      </c>
      <c r="H10" s="496" t="s">
        <v>92</v>
      </c>
      <c r="I10" s="496" t="s">
        <v>93</v>
      </c>
      <c r="J10" s="458"/>
      <c r="K10" s="458"/>
      <c r="L10" s="458"/>
      <c r="M10" s="458"/>
      <c r="N10" s="444"/>
      <c r="O10" s="458"/>
      <c r="P10" s="497"/>
      <c r="Q10" s="497"/>
      <c r="R10" s="497"/>
      <c r="S10" s="497"/>
    </row>
    <row s="10586" customFormat="1" customHeight="1" ht="0.75">
      <c r="A11" s="1062"/>
      <c r="B11" s="718"/>
      <c r="C11" s="1062"/>
      <c r="D11" s="437"/>
      <c r="E11" s="1095"/>
      <c r="F11" s="1095"/>
      <c r="G11" s="446"/>
      <c r="H11" s="446"/>
      <c r="I11" s="448"/>
      <c r="J11" s="522" t="s">
        <v>94</v>
      </c>
      <c r="K11" s="428"/>
      <c r="L11" s="428"/>
      <c r="M11" s="428" t="s">
        <v>95</v>
      </c>
      <c r="N11" s="499" t="s">
        <v>96</v>
      </c>
      <c r="O11" s="428" t="s">
        <v>97</v>
      </c>
      <c r="P11" s="498"/>
      <c r="Q11" s="498"/>
      <c r="R11" s="498"/>
      <c r="S11" s="498"/>
    </row>
    <row s="10620" customFormat="1" customHeight="1" ht="14.25">
      <c r="A12" s="2199">
        <v>1</v>
      </c>
      <c r="B12" s="718"/>
      <c r="C12" s="1062"/>
      <c r="D12" s="1087"/>
      <c r="E12" s="492">
        <f>A12</f>
        <v>1</v>
      </c>
      <c r="F12" s="1107" t="s">
        <v>98</v>
      </c>
      <c r="G12" s="842" t="str">
        <f>"Территория "&amp;E12</f>
        <v>Территория 1</v>
      </c>
      <c r="H12" s="1097"/>
      <c r="I12" s="1097"/>
      <c r="J12" s="1094"/>
      <c r="K12" s="802"/>
      <c r="L12" s="802"/>
      <c r="M12" s="802"/>
      <c r="N12" s="499"/>
      <c r="O12" s="802"/>
      <c r="P12" s="498"/>
      <c r="Q12" s="498"/>
      <c r="R12" s="498"/>
      <c r="S12" s="498"/>
    </row>
    <row s="10629" customFormat="1" customHeight="1" ht="15">
      <c r="A13" s="2199"/>
      <c r="B13" s="718">
        <v>1</v>
      </c>
      <c r="C13" s="718"/>
      <c r="D13" s="1105"/>
      <c r="E13" s="1084" t="str">
        <f>A12&amp;"."&amp;B13</f>
        <v>1.1</v>
      </c>
      <c r="F13" s="1100" t="s">
        <v>99</v>
      </c>
      <c r="G13" s="1098" t="s">
        <v>100</v>
      </c>
      <c r="H13" s="1098" t="s">
        <v>100</v>
      </c>
      <c r="I13" s="1096" t="s">
        <v>101</v>
      </c>
      <c r="J13" s="802">
        <f>MERGEVALUE(G13)</f>
      </c>
      <c r="K13" s="813"/>
      <c r="L13" s="813"/>
      <c r="M13" s="802" t="str">
        <f t="array" ref="M13:M13">IF(ISERROR(MATCH(MID(N13,1,250),MID(note_ter,1,250),0)),"n","y")</f>
        <v>n</v>
      </c>
      <c r="N13" s="813"/>
      <c r="O13" s="802" t="str">
        <f>H13&amp;"("&amp;I13&amp;")"</f>
        <v>Город Элиста(85701000)</v>
      </c>
      <c r="P13" s="718"/>
      <c r="Q13" s="718"/>
      <c r="R13" s="721"/>
      <c r="S13" s="718"/>
      <c r="T13" s="718"/>
      <c r="U13" s="718"/>
      <c r="V13" s="723"/>
      <c r="W13" s="723"/>
      <c r="X13" s="720"/>
      <c r="Y13" s="720"/>
      <c r="Z13" s="720"/>
      <c r="AA13" s="720"/>
      <c r="AB13" s="720"/>
    </row>
    <row s="10629" customFormat="1" customHeight="1" ht="15">
      <c r="A14" s="2199"/>
      <c r="B14" s="718"/>
      <c r="C14" s="713"/>
      <c r="D14" s="1106"/>
      <c r="E14" s="722"/>
      <c r="F14" s="450"/>
      <c r="G14" s="716" t="s">
        <v>102</v>
      </c>
      <c r="H14" s="459"/>
      <c r="I14" s="725"/>
      <c r="J14" s="813"/>
      <c r="K14" s="813"/>
      <c r="L14" s="813"/>
      <c r="M14" s="813"/>
      <c r="N14" s="802"/>
      <c r="O14" s="813"/>
      <c r="P14" s="718"/>
      <c r="Q14" s="718"/>
      <c r="R14" s="721"/>
      <c r="S14" s="718"/>
      <c r="T14" s="718"/>
      <c r="U14" s="718"/>
      <c r="V14" s="723"/>
      <c r="W14" s="723"/>
      <c r="X14" s="720"/>
      <c r="Y14" s="720"/>
      <c r="Z14" s="720"/>
      <c r="AA14" s="720"/>
      <c r="AB14" s="720"/>
    </row>
    <row s="10586" customFormat="1" customHeight="1" ht="14.25">
      <c r="A15" s="1062"/>
      <c r="B15" s="718"/>
      <c r="C15" s="1062"/>
      <c r="D15" s="1087"/>
      <c r="E15" s="1099"/>
      <c r="F15" s="451"/>
      <c r="G15" s="717" t="s">
        <v>103</v>
      </c>
      <c r="H15" s="451"/>
      <c r="I15" s="452"/>
      <c r="J15" s="522"/>
      <c r="K15" s="428"/>
      <c r="L15" s="428"/>
      <c r="M15" s="428"/>
      <c r="N15" s="499" t="s">
        <v>104</v>
      </c>
      <c r="O15" s="428"/>
      <c r="P15" s="498"/>
      <c r="Q15" s="498"/>
      <c r="R15" s="498"/>
      <c r="S15" s="498"/>
    </row>
    <row s="10586" customFormat="1" customHeight="1" ht="21">
      <c r="A16" s="1062"/>
      <c r="B16" s="718"/>
      <c r="C16" s="1062"/>
      <c r="D16" s="438"/>
      <c r="E16" s="453"/>
      <c r="F16" s="453"/>
      <c r="G16" s="453"/>
      <c r="H16" s="453"/>
      <c r="I16" s="453"/>
      <c r="J16" s="428"/>
      <c r="K16" s="428"/>
      <c r="L16" s="428"/>
      <c r="M16" s="428"/>
      <c r="N16" s="499"/>
      <c r="O16" s="428"/>
      <c r="P16" s="498"/>
      <c r="Q16" s="498"/>
      <c r="R16" s="498"/>
      <c r="S16" s="498"/>
    </row>
    <row s="10586" customFormat="1" customHeight="1" ht="14.25">
      <c r="A17" s="1062"/>
      <c r="B17" s="718"/>
      <c r="C17" s="1062"/>
      <c r="D17" s="438"/>
      <c r="E17" s="350"/>
      <c r="F17" s="1062"/>
      <c r="G17" s="350"/>
      <c r="H17" s="350"/>
      <c r="I17" s="350"/>
      <c r="J17" s="428"/>
      <c r="K17" s="428"/>
      <c r="L17" s="428"/>
      <c r="M17" s="428"/>
      <c r="N17" s="499"/>
      <c r="O17" s="428"/>
      <c r="P17" s="498"/>
      <c r="Q17" s="498"/>
      <c r="R17" s="498"/>
      <c r="S17" s="498"/>
    </row>
    <row s="10586" customFormat="1" customHeight="1" ht="0.75">
      <c r="A18" s="1062"/>
      <c r="B18" s="718"/>
      <c r="C18" s="1062"/>
      <c r="D18" s="438"/>
      <c r="E18" s="350"/>
      <c r="F18" s="1062"/>
      <c r="G18" s="350"/>
      <c r="H18" s="350"/>
      <c r="I18" s="350"/>
      <c r="J18" s="428"/>
      <c r="K18" s="428"/>
      <c r="L18" s="428"/>
      <c r="M18" s="428"/>
      <c r="N18" s="499"/>
      <c r="O18" s="428"/>
      <c r="P18" s="498"/>
      <c r="Q18" s="498"/>
      <c r="R18" s="498"/>
      <c r="S18" s="498"/>
    </row>
    <row s="10652" customFormat="1" customHeight="1" ht="10.5">
      <c r="B19" s="1144"/>
      <c r="D19" s="455"/>
      <c r="J19" s="428"/>
      <c r="K19" s="428"/>
      <c r="L19" s="428"/>
      <c r="M19" s="428"/>
      <c r="N19" s="499"/>
      <c r="O19" s="428"/>
      <c r="P19" s="498"/>
      <c r="Q19" s="498"/>
      <c r="R19" s="498"/>
      <c r="S19" s="498"/>
    </row>
    <row s="10652"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D54DD-1C42-DF5E-F201-C0E889211F55}"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0746" width="6.421875" hidden="1" customWidth="1"/>
    <col min="2" max="2" style="10746" width="2.00390625" hidden="1" customWidth="1"/>
    <col min="3" max="3" style="10746" width="3.7109375" customWidth="1"/>
    <col min="4" max="4" style="10746" width="4.28125" customWidth="1"/>
    <col min="5" max="5" style="10746" width="45.00390625" customWidth="1"/>
    <col min="6" max="6" style="10746" width="6.421875" customWidth="1"/>
    <col min="7" max="7" style="10746" width="4.421875" customWidth="1"/>
    <col min="8" max="8" style="10746" width="5.57421875" customWidth="1"/>
    <col min="9" max="9" style="10746" width="52.8515625" customWidth="1"/>
    <col min="10" max="10" style="10746" width="7.00390625" customWidth="1"/>
    <col min="11" max="11" style="10746" width="3.7109375" customWidth="1"/>
    <col min="12" max="12" style="10746" width="6.28125" customWidth="1"/>
    <col min="13" max="13" style="10746" width="56.28125" customWidth="1"/>
    <col min="14" max="14" style="10747" width="9.140625"/>
    <col min="15" max="20" style="10748" width="9.140625" hidden="1"/>
    <col min="21" max="24" style="10749" width="9.140625" hidden="1"/>
    <col min="25" max="37" style="10747" width="9.140625" hidden="1"/>
    <col min="38" max="38" style="10747" width="9.140625"/>
  </cols>
  <sheetData>
    <row customHeight="1" ht="11.25" hidden="1"/>
    <row customHeight="1" ht="11.25" hidden="1"/>
    <row r="4" customHeight="1" ht="34.5">
      <c r="A4" s="887"/>
      <c r="B4" s="887"/>
      <c r="D4" s="221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0"/>
      <c r="F4" s="2220"/>
      <c r="G4" s="2220"/>
      <c r="H4" s="2220"/>
      <c r="I4" s="2221"/>
      <c r="J4" s="886"/>
      <c r="K4" s="886"/>
      <c r="L4" s="886"/>
      <c r="M4" s="886"/>
    </row>
    <row s="10668" customFormat="1" customHeight="1" ht="15">
      <c r="A5" s="887"/>
      <c r="B5" s="887"/>
      <c r="C5" s="887"/>
      <c r="D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3"/>
      <c r="F5" s="2223"/>
      <c r="G5" s="2223"/>
      <c r="H5" s="2223"/>
      <c r="I5" s="2224"/>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675" customFormat="1" customHeight="1" ht="6">
      <c r="A6" s="2225"/>
      <c r="B6" s="2225"/>
      <c r="C6" s="2225"/>
      <c r="D6" s="2225"/>
      <c r="E6" s="2225"/>
      <c r="F6" s="2225"/>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1"/>
      <c r="G7" s="2231"/>
      <c r="H7" s="2231"/>
      <c r="I7" s="2231"/>
      <c r="J7" s="2231"/>
      <c r="K7" s="2231"/>
      <c r="L7" s="2231"/>
      <c r="M7" s="2231"/>
    </row>
    <row s="10668"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6"/>
      <c r="B9" s="608"/>
      <c r="C9" s="608"/>
      <c r="D9" s="2227" t="s">
        <v>105</v>
      </c>
      <c r="E9" s="2227"/>
      <c r="F9" s="2228" t="s">
        <v>106</v>
      </c>
      <c r="G9" s="2229"/>
      <c r="H9" s="2229"/>
      <c r="I9" s="2229"/>
      <c r="J9" s="2232" t="s">
        <v>107</v>
      </c>
      <c r="K9" s="2232"/>
      <c r="L9" s="2232"/>
      <c r="M9" s="2232"/>
    </row>
    <row customHeight="1" ht="22.5">
      <c r="A10" s="2226"/>
      <c r="B10" s="894"/>
      <c r="C10" s="827"/>
      <c r="D10" s="825" t="s">
        <v>88</v>
      </c>
      <c r="E10" s="825" t="s">
        <v>89</v>
      </c>
      <c r="F10" s="825" t="s">
        <v>108</v>
      </c>
      <c r="G10" s="2233" t="s">
        <v>88</v>
      </c>
      <c r="H10" s="2234"/>
      <c r="I10" s="825" t="s">
        <v>89</v>
      </c>
      <c r="J10" s="825" t="s">
        <v>108</v>
      </c>
      <c r="K10" s="2233" t="s">
        <v>88</v>
      </c>
      <c r="L10" s="2234"/>
      <c r="M10" s="825" t="s">
        <v>89</v>
      </c>
      <c r="N10" s="2005"/>
    </row>
    <row s="10697" customFormat="1" customHeight="1" ht="11.25" hidden="1">
      <c r="A11" s="895"/>
      <c r="B11" s="895"/>
      <c r="C11" s="895"/>
      <c r="D11" s="896" t="s">
        <v>99</v>
      </c>
      <c r="E11" s="896" t="s">
        <v>109</v>
      </c>
      <c r="F11" s="896" t="s">
        <v>90</v>
      </c>
      <c r="G11" s="2215" t="s">
        <v>91</v>
      </c>
      <c r="H11" s="2216"/>
      <c r="I11" s="896" t="s">
        <v>110</v>
      </c>
      <c r="J11" s="896" t="s">
        <v>92</v>
      </c>
      <c r="K11" s="2217" t="s">
        <v>93</v>
      </c>
      <c r="L11" s="2218"/>
      <c r="M11" s="896" t="s">
        <v>111</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112</v>
      </c>
      <c r="P12" s="1775" t="s">
        <v>113</v>
      </c>
      <c r="Q12" s="1775" t="s">
        <v>114</v>
      </c>
      <c r="R12" s="1775" t="s">
        <v>115</v>
      </c>
    </row>
    <row s="10717" customFormat="1" customHeight="1" ht="15">
      <c r="A13" s="568"/>
      <c r="B13" s="568"/>
      <c r="C13" s="828"/>
      <c r="D13" s="2208" t="s">
        <v>99</v>
      </c>
      <c r="E13" s="22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12" t="s">
        <v>63</v>
      </c>
      <c r="G13" s="2213"/>
      <c r="H13" s="2214">
        <v>1</v>
      </c>
      <c r="I13" s="2205" t="str">
        <f>IF(U13="","",INDEX(TERRITORY_MR_LIST,MATCH(U13,TERRITORY_LIST_ID,0)))</f>
        <v>Территория 1</v>
      </c>
      <c r="J13" s="2207" t="s">
        <v>56</v>
      </c>
      <c r="K13" s="904"/>
      <c r="L13" s="829" t="s">
        <v>99</v>
      </c>
      <c r="M13" s="905" t="s">
        <v>17</v>
      </c>
      <c r="N13" s="1120"/>
      <c r="O13" s="1778" t="s">
        <v>116</v>
      </c>
      <c r="P13" s="1775" t="str">
        <f>$E$13</f>
        <v>Производство тепловой энергии. Некомбинированная выработка; Передача. Тепловая энергия; Сбыт. Тепловая энергия</v>
      </c>
      <c r="Q13" s="1775" t="str">
        <f>IF($F$13="нет","без дифференциации",$I$13)</f>
        <v>Территория 1</v>
      </c>
      <c r="R13" s="1775" t="str">
        <f>IF($J$13="нет","без дифференциации",M13)</f>
        <v>без дифференциации</v>
      </c>
      <c r="S13" s="1778"/>
      <c r="T13" s="1778"/>
      <c r="U13" s="1620" t="s">
        <v>98</v>
      </c>
      <c r="V13" s="1620" t="s">
        <v>117</v>
      </c>
      <c r="W13" s="1620"/>
      <c r="X13" s="1620"/>
      <c r="Y13" s="906" t="s">
        <v>118</v>
      </c>
      <c r="Z13" s="906">
        <v>1705000</v>
      </c>
      <c r="AA13" s="906"/>
      <c r="AB13" s="906"/>
      <c r="AC13" s="906"/>
      <c r="AD13" s="906"/>
      <c r="AE13" s="906"/>
      <c r="AF13" s="906"/>
      <c r="AG13" s="906"/>
      <c r="AH13" s="906"/>
      <c r="AI13" s="906"/>
      <c r="AJ13" s="906"/>
      <c r="AK13" s="906"/>
      <c r="AL13" s="906"/>
    </row>
    <row s="10717" customFormat="1" customHeight="1" ht="15">
      <c r="A14" s="568"/>
      <c r="B14" s="568"/>
      <c r="C14" s="449"/>
      <c r="D14" s="2208"/>
      <c r="E14" s="2210"/>
      <c r="F14" s="2207"/>
      <c r="G14" s="2213"/>
      <c r="H14" s="2214"/>
      <c r="I14" s="2206"/>
      <c r="J14" s="2207"/>
      <c r="K14" s="722"/>
      <c r="L14" s="450"/>
      <c r="M14" s="909" t="s">
        <v>119</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717" customFormat="1" customHeight="1" ht="15">
      <c r="A15" s="568"/>
      <c r="B15" s="568"/>
      <c r="C15" s="449"/>
      <c r="D15" s="2208"/>
      <c r="E15" s="2211"/>
      <c r="F15" s="2207"/>
      <c r="G15" s="1385"/>
      <c r="H15" s="1386"/>
      <c r="I15" s="882" t="s">
        <v>120</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121</v>
      </c>
      <c r="F16" s="450"/>
      <c r="G16" s="450"/>
      <c r="H16" s="450"/>
      <c r="I16" s="450"/>
      <c r="J16" s="450"/>
      <c r="K16" s="450" t="s">
        <v>17</v>
      </c>
      <c r="L16" s="450"/>
      <c r="M16" s="910"/>
      <c r="N16" s="200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5D59-4648-0CBB-1507-9B7939622F6C}"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0864" width="3.7109375" hidden="1" customWidth="1"/>
    <col min="3" max="3" style="10865" width="3.7109375" customWidth="1"/>
    <col min="4" max="4" style="10865" width="6.140625" customWidth="1"/>
    <col min="5" max="5" style="10865" width="43.140625" customWidth="1"/>
    <col min="6" max="6" style="10835" width="15.00390625" customWidth="1"/>
    <col min="7" max="7" style="10865" width="43.140625" customWidth="1"/>
    <col min="8" max="8" style="10865" width="3.7109375" customWidth="1"/>
    <col min="9" max="9" style="10865" width="5.421875" customWidth="1"/>
    <col min="10" max="10" style="10865" width="47.8515625" customWidth="1"/>
    <col min="11" max="12" style="10865" width="3.7109375" customWidth="1"/>
    <col min="13" max="13" style="10865" width="5.7109375" customWidth="1"/>
    <col min="14" max="14" style="10865" width="28.140625" customWidth="1"/>
    <col min="15" max="16" style="10865" width="3.7109375" customWidth="1"/>
    <col min="17" max="17" style="10865" width="5.7109375" customWidth="1"/>
    <col min="18" max="18" style="10865" width="34.421875" customWidth="1"/>
    <col min="19" max="20" style="10866" width="3.7109375" customWidth="1"/>
    <col min="21" max="21" style="10866" width="5.7109375" customWidth="1"/>
    <col min="22" max="22" style="10866" width="34.421875" customWidth="1"/>
    <col min="23" max="23" style="10865" width="30.7109375" customWidth="1"/>
    <col min="24" max="24" style="10865" width="3.7109375" customWidth="1"/>
    <col min="25" max="28" style="10867" width="9.8515625" hidden="1" customWidth="1"/>
    <col min="29" max="29" style="10778" width="16.8515625" hidden="1" customWidth="1"/>
    <col min="30" max="30" style="10778" width="10.57421875" hidden="1" customWidth="1"/>
    <col min="31" max="31" style="10778" width="10.7109375" hidden="1" customWidth="1"/>
    <col min="32" max="32" style="10778" width="10.00390625" hidden="1" customWidth="1"/>
    <col min="33" max="33" style="10778" width="12.8515625" hidden="1" customWidth="1"/>
    <col min="34" max="34" style="10778" width="10.28125" hidden="1" customWidth="1"/>
    <col min="35" max="35" style="10778" width="15.8515625" hidden="1" customWidth="1"/>
    <col min="36" max="36" style="10778" width="19.421875" hidden="1" customWidth="1"/>
    <col min="37" max="37" style="10778" width="11.00390625" hidden="1" customWidth="1"/>
    <col min="38" max="38" style="10778" width="23.57421875" hidden="1" customWidth="1"/>
    <col min="39" max="39" style="10778" width="23.8515625" hidden="1" customWidth="1"/>
    <col min="40" max="40" style="10778" width="25.28125" hidden="1" customWidth="1"/>
    <col min="41" max="41" style="10778" width="16.8515625" hidden="1" customWidth="1"/>
    <col min="42" max="42" style="10778" width="29.57421875" hidden="1" customWidth="1"/>
    <col min="43" max="43" style="10778" width="29.8515625" hidden="1" customWidth="1"/>
  </cols>
  <sheetData>
    <row customHeight="1" ht="11.25" hidden="1">
      <c r="A1" s="429"/>
    </row>
    <row customHeight="1" ht="11.25" hidden="1"/>
    <row customHeight="1" ht="11.25" hidden="1"/>
    <row customHeight="1" ht="3"/>
    <row s="10751" customFormat="1" customHeight="1" ht="39">
      <c r="A5" s="427"/>
      <c r="B5" s="427"/>
      <c r="D5" s="22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2"/>
      <c r="F5" s="2262"/>
      <c r="G5" s="2262"/>
      <c r="H5" s="2262"/>
      <c r="I5" s="2262"/>
      <c r="J5" s="226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668" customFormat="1" customHeight="1" ht="15">
      <c r="A6" s="887"/>
      <c r="B6" s="887"/>
      <c r="C6" s="887"/>
      <c r="D6" s="22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67"/>
      <c r="F6" s="2267"/>
      <c r="G6" s="2267"/>
      <c r="H6" s="2267"/>
      <c r="I6" s="2267"/>
      <c r="J6" s="226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761" customFormat="1" customHeight="1" ht="11.25">
      <c r="A7" s="484"/>
      <c r="B7" s="484"/>
      <c r="D7" s="2264"/>
      <c r="E7" s="2265"/>
      <c r="F7" s="2265"/>
      <c r="G7" s="2265"/>
      <c r="H7" s="2265"/>
      <c r="I7" s="2265"/>
      <c r="J7" s="226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751"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7" t="s">
        <v>88</v>
      </c>
      <c r="E9" s="2268" t="s">
        <v>122</v>
      </c>
      <c r="F9" s="2269"/>
      <c r="G9" s="2227" t="s">
        <v>105</v>
      </c>
      <c r="H9" s="2227" t="s">
        <v>88</v>
      </c>
      <c r="I9" s="2227"/>
      <c r="J9" s="2227" t="s">
        <v>123</v>
      </c>
      <c r="K9" s="2259" t="s">
        <v>124</v>
      </c>
      <c r="L9" s="2259"/>
      <c r="M9" s="2259"/>
      <c r="N9" s="2259"/>
      <c r="O9" s="2259" t="s">
        <v>125</v>
      </c>
      <c r="P9" s="2259"/>
      <c r="Q9" s="2259"/>
      <c r="R9" s="2259"/>
      <c r="S9" s="2259" t="s">
        <v>126</v>
      </c>
      <c r="T9" s="2259"/>
      <c r="U9" s="2259"/>
      <c r="V9" s="2259"/>
      <c r="W9" s="2227" t="s">
        <v>127</v>
      </c>
      <c r="Z9" s="1731"/>
      <c r="AA9" s="1731"/>
      <c r="AB9" s="1731"/>
    </row>
    <row customHeight="1" ht="30">
      <c r="D10" s="2227"/>
      <c r="E10" s="1639" t="s">
        <v>89</v>
      </c>
      <c r="F10" s="1639" t="s">
        <v>128</v>
      </c>
      <c r="G10" s="2227"/>
      <c r="H10" s="2227"/>
      <c r="I10" s="2227"/>
      <c r="J10" s="2227"/>
      <c r="K10" s="380" t="s">
        <v>108</v>
      </c>
      <c r="L10" s="2227" t="s">
        <v>88</v>
      </c>
      <c r="M10" s="2227"/>
      <c r="N10" s="380" t="s">
        <v>129</v>
      </c>
      <c r="O10" s="380" t="s">
        <v>108</v>
      </c>
      <c r="P10" s="2227" t="s">
        <v>88</v>
      </c>
      <c r="Q10" s="2227"/>
      <c r="R10" s="380" t="s">
        <v>129</v>
      </c>
      <c r="S10" s="558" t="s">
        <v>108</v>
      </c>
      <c r="T10" s="2227" t="s">
        <v>88</v>
      </c>
      <c r="U10" s="2227"/>
      <c r="V10" s="558" t="s">
        <v>89</v>
      </c>
      <c r="W10" s="2227"/>
      <c r="Z10" s="1731" t="s">
        <v>130</v>
      </c>
      <c r="AA10" s="1731" t="s">
        <v>131</v>
      </c>
      <c r="AB10" s="1731" t="s">
        <v>132</v>
      </c>
      <c r="AC10" s="550" t="s">
        <v>133</v>
      </c>
      <c r="AD10" s="550" t="s">
        <v>134</v>
      </c>
      <c r="AE10" s="550" t="s">
        <v>135</v>
      </c>
      <c r="AF10" s="550" t="s">
        <v>136</v>
      </c>
      <c r="AG10" s="550" t="s">
        <v>137</v>
      </c>
      <c r="AH10" s="550" t="s">
        <v>138</v>
      </c>
      <c r="AI10" s="550" t="s">
        <v>139</v>
      </c>
      <c r="AJ10" s="550" t="s">
        <v>140</v>
      </c>
      <c r="AK10" s="550" t="s">
        <v>141</v>
      </c>
      <c r="AL10" s="550" t="s">
        <v>142</v>
      </c>
      <c r="AM10" s="550" t="s">
        <v>143</v>
      </c>
      <c r="AN10" s="550" t="s">
        <v>144</v>
      </c>
      <c r="AO10" s="550" t="s">
        <v>145</v>
      </c>
      <c r="AP10" s="550" t="s">
        <v>146</v>
      </c>
      <c r="AQ10" s="550" t="s">
        <v>147</v>
      </c>
    </row>
    <row s="10778" customFormat="1" customHeight="1" ht="12" hidden="1">
      <c r="D11" s="1593" t="s">
        <v>99</v>
      </c>
      <c r="E11" s="1593" t="s">
        <v>109</v>
      </c>
      <c r="F11" s="1593"/>
      <c r="G11" s="1593" t="s">
        <v>90</v>
      </c>
      <c r="H11" s="2260" t="s">
        <v>110</v>
      </c>
      <c r="I11" s="2260"/>
      <c r="J11" s="1593" t="s">
        <v>92</v>
      </c>
      <c r="K11" s="1593" t="s">
        <v>93</v>
      </c>
      <c r="L11" s="2260" t="s">
        <v>111</v>
      </c>
      <c r="M11" s="2260"/>
      <c r="N11" s="1593" t="s">
        <v>148</v>
      </c>
      <c r="O11" s="1593" t="s">
        <v>149</v>
      </c>
      <c r="P11" s="2260" t="s">
        <v>150</v>
      </c>
      <c r="Q11" s="2260"/>
      <c r="R11" s="1593" t="s">
        <v>151</v>
      </c>
      <c r="S11" s="1593" t="s">
        <v>150</v>
      </c>
      <c r="T11" s="2260" t="s">
        <v>151</v>
      </c>
      <c r="U11" s="2260"/>
      <c r="V11" s="1593" t="s">
        <v>152</v>
      </c>
      <c r="W11" s="1593" t="s">
        <v>153</v>
      </c>
    </row>
    <row customHeight="1" ht="14.25" hidden="1">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793" customFormat="1" customHeight="1" ht="17.25" hidden="1">
      <c r="A13" s="604"/>
      <c r="C13" s="482"/>
      <c r="D13" s="2243">
        <v>1</v>
      </c>
      <c r="E13" s="2245" t="s">
        <v>154</v>
      </c>
      <c r="F13" s="2247" t="s">
        <v>56</v>
      </c>
      <c r="G13" s="2250"/>
      <c r="H13" s="2252"/>
      <c r="I13" s="2254"/>
      <c r="J13" s="2256"/>
      <c r="K13" s="2240"/>
      <c r="L13" s="2235"/>
      <c r="M13" s="2235"/>
      <c r="N13" s="2237"/>
      <c r="O13" s="2240"/>
      <c r="P13" s="2235"/>
      <c r="Q13" s="2235"/>
      <c r="R13" s="2242"/>
      <c r="S13" s="2240"/>
      <c r="T13" s="1782"/>
      <c r="U13" s="1782"/>
      <c r="V13" s="1781"/>
      <c r="W13" s="1654"/>
      <c r="Y13" s="1621"/>
      <c r="Z13" s="1621"/>
      <c r="AA13" s="1621"/>
      <c r="AB13" s="1621"/>
      <c r="AC13" s="1703" t="s">
        <v>155</v>
      </c>
      <c r="AD13" s="1703" t="s">
        <v>156</v>
      </c>
      <c r="AE13" s="1703" t="s">
        <v>157</v>
      </c>
      <c r="AF13" s="1703" t="s">
        <v>158</v>
      </c>
      <c r="AG13" s="1703" t="s">
        <v>159</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793" customFormat="1" customHeight="1" ht="17.25" hidden="1">
      <c r="A14" s="604"/>
      <c r="C14" s="603"/>
      <c r="D14" s="2243"/>
      <c r="E14" s="2245"/>
      <c r="F14" s="2248"/>
      <c r="G14" s="2250"/>
      <c r="H14" s="2253"/>
      <c r="I14" s="2255"/>
      <c r="J14" s="2257"/>
      <c r="K14" s="2241"/>
      <c r="L14" s="2236"/>
      <c r="M14" s="2236"/>
      <c r="N14" s="2238"/>
      <c r="O14" s="2241"/>
      <c r="P14" s="2236"/>
      <c r="Q14" s="2236"/>
      <c r="R14" s="2239"/>
      <c r="S14" s="2241"/>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823" customFormat="1" customHeight="1" ht="17.25" hidden="1">
      <c r="A15" s="604"/>
      <c r="C15" s="482"/>
      <c r="D15" s="2243"/>
      <c r="E15" s="2245"/>
      <c r="F15" s="2248"/>
      <c r="G15" s="2250"/>
      <c r="H15" s="2253"/>
      <c r="I15" s="2255"/>
      <c r="J15" s="2258"/>
      <c r="K15" s="2241"/>
      <c r="L15" s="2236"/>
      <c r="M15" s="2236"/>
      <c r="N15" s="2239"/>
      <c r="O15" s="2241"/>
      <c r="P15" s="1780"/>
      <c r="Q15" s="1655"/>
      <c r="R15" s="1655"/>
      <c r="S15" s="615"/>
      <c r="T15" s="615"/>
      <c r="U15" s="615"/>
      <c r="V15" s="615"/>
      <c r="W15" s="1656"/>
      <c r="Y15" s="1621"/>
      <c r="Z15" s="1621"/>
      <c r="AA15" s="1621"/>
      <c r="AB15" s="1621"/>
      <c r="AC15" s="1703" t="s">
        <v>155</v>
      </c>
      <c r="AD15" s="1703" t="s">
        <v>156</v>
      </c>
      <c r="AE15" s="1703" t="s">
        <v>157</v>
      </c>
      <c r="AF15" s="1703" t="s">
        <v>160</v>
      </c>
      <c r="AG15" s="1703" t="s">
        <v>161</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823" customFormat="1" customHeight="1" ht="17.25" hidden="1">
      <c r="A16" s="604"/>
      <c r="C16" s="603"/>
      <c r="D16" s="2243"/>
      <c r="E16" s="2245"/>
      <c r="F16" s="2248"/>
      <c r="G16" s="2250"/>
      <c r="H16" s="2253"/>
      <c r="I16" s="2255"/>
      <c r="J16" s="2258"/>
      <c r="K16" s="2241"/>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793" customFormat="1" customHeight="1" ht="17.25" hidden="1">
      <c r="A17" s="604"/>
      <c r="C17" s="603"/>
      <c r="D17" s="2244"/>
      <c r="E17" s="2246"/>
      <c r="F17" s="2249"/>
      <c r="G17" s="2251"/>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835" customFormat="1" customHeight="1" ht="17.25" hidden="1">
      <c r="A18" s="604"/>
      <c r="C18" s="482"/>
      <c r="D18" s="2243">
        <v>2</v>
      </c>
      <c r="E18" s="2245" t="s">
        <v>162</v>
      </c>
      <c r="F18" s="2247" t="s">
        <v>56</v>
      </c>
      <c r="G18" s="2250"/>
      <c r="H18" s="2252"/>
      <c r="I18" s="2254"/>
      <c r="J18" s="2256"/>
      <c r="K18" s="2240"/>
      <c r="L18" s="2235"/>
      <c r="M18" s="2235"/>
      <c r="N18" s="2237"/>
      <c r="O18" s="2240"/>
      <c r="P18" s="2235"/>
      <c r="Q18" s="2235"/>
      <c r="R18" s="2242"/>
      <c r="S18" s="2240"/>
      <c r="T18" s="1782"/>
      <c r="U18" s="1782"/>
      <c r="V18" s="1781"/>
      <c r="W18" s="1654"/>
      <c r="X18" s="1621"/>
      <c r="Y18" s="1621"/>
      <c r="Z18" s="1621"/>
      <c r="AA18" s="1621"/>
      <c r="AB18" s="1621"/>
      <c r="AC18" s="1703" t="s">
        <v>163</v>
      </c>
      <c r="AD18" s="1703" t="s">
        <v>164</v>
      </c>
      <c r="AE18" s="1703" t="s">
        <v>165</v>
      </c>
      <c r="AF18" s="1703" t="s">
        <v>166</v>
      </c>
      <c r="AG18" s="1703" t="s">
        <v>167</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835" customFormat="1" customHeight="1" ht="17.25" hidden="1">
      <c r="A19" s="604"/>
      <c r="C19" s="603"/>
      <c r="D19" s="2243"/>
      <c r="E19" s="2245"/>
      <c r="F19" s="2248"/>
      <c r="G19" s="2250"/>
      <c r="H19" s="2253"/>
      <c r="I19" s="2255"/>
      <c r="J19" s="2257"/>
      <c r="K19" s="2241"/>
      <c r="L19" s="2236"/>
      <c r="M19" s="2236"/>
      <c r="N19" s="2238"/>
      <c r="O19" s="2241"/>
      <c r="P19" s="2236"/>
      <c r="Q19" s="2236"/>
      <c r="R19" s="2239"/>
      <c r="S19" s="2241"/>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835" customFormat="1" customHeight="1" ht="17.25" hidden="1">
      <c r="A20" s="604"/>
      <c r="C20" s="603"/>
      <c r="D20" s="2244"/>
      <c r="E20" s="2246"/>
      <c r="F20" s="2248"/>
      <c r="G20" s="2251"/>
      <c r="H20" s="2253"/>
      <c r="I20" s="2255"/>
      <c r="J20" s="2258"/>
      <c r="K20" s="2241"/>
      <c r="L20" s="2236"/>
      <c r="M20" s="2236"/>
      <c r="N20" s="2239"/>
      <c r="O20" s="2241"/>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835" customFormat="1" customHeight="1" ht="17.25" hidden="1">
      <c r="A21" s="604"/>
      <c r="C21" s="603"/>
      <c r="D21" s="2244"/>
      <c r="E21" s="2246"/>
      <c r="F21" s="2248"/>
      <c r="G21" s="2251"/>
      <c r="H21" s="2253"/>
      <c r="I21" s="2255"/>
      <c r="J21" s="2258"/>
      <c r="K21" s="2241"/>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835" customFormat="1" customHeight="1" ht="17.25" hidden="1">
      <c r="A22" s="604"/>
      <c r="C22" s="603"/>
      <c r="D22" s="2244"/>
      <c r="E22" s="2246"/>
      <c r="F22" s="2249"/>
      <c r="G22" s="2251"/>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835" customFormat="1" customHeight="1" ht="17.25" hidden="1">
      <c r="A23" s="604"/>
      <c r="C23" s="482"/>
      <c r="D23" s="2243">
        <v>3</v>
      </c>
      <c r="E23" s="2245" t="s">
        <v>168</v>
      </c>
      <c r="F23" s="2247" t="s">
        <v>56</v>
      </c>
      <c r="G23" s="2250"/>
      <c r="H23" s="2252"/>
      <c r="I23" s="2254"/>
      <c r="J23" s="2256"/>
      <c r="K23" s="2240"/>
      <c r="L23" s="2235"/>
      <c r="M23" s="2235"/>
      <c r="N23" s="2237"/>
      <c r="O23" s="2240"/>
      <c r="P23" s="2235"/>
      <c r="Q23" s="2235"/>
      <c r="R23" s="2242"/>
      <c r="S23" s="2240"/>
      <c r="T23" s="1782"/>
      <c r="U23" s="1782"/>
      <c r="V23" s="1781"/>
      <c r="W23" s="1654"/>
      <c r="X23" s="1621"/>
      <c r="Y23" s="1621"/>
      <c r="Z23" s="1621"/>
      <c r="AA23" s="1621"/>
      <c r="AB23" s="1621"/>
      <c r="AC23" s="1703" t="s">
        <v>169</v>
      </c>
      <c r="AD23" s="1703" t="s">
        <v>170</v>
      </c>
      <c r="AE23" s="1703" t="s">
        <v>171</v>
      </c>
      <c r="AF23" s="1703" t="s">
        <v>172</v>
      </c>
      <c r="AG23" s="1703" t="s">
        <v>173</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835" customFormat="1" customHeight="1" ht="17.25" hidden="1">
      <c r="A24" s="604"/>
      <c r="C24" s="603"/>
      <c r="D24" s="2243"/>
      <c r="E24" s="2245"/>
      <c r="F24" s="2248"/>
      <c r="G24" s="2250"/>
      <c r="H24" s="2253"/>
      <c r="I24" s="2255"/>
      <c r="J24" s="2257"/>
      <c r="K24" s="2241"/>
      <c r="L24" s="2236"/>
      <c r="M24" s="2236"/>
      <c r="N24" s="2238"/>
      <c r="O24" s="2241"/>
      <c r="P24" s="2236"/>
      <c r="Q24" s="2236"/>
      <c r="R24" s="2239"/>
      <c r="S24" s="2241"/>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835" customFormat="1" customHeight="1" ht="17.25" hidden="1">
      <c r="A25" s="604"/>
      <c r="C25" s="603"/>
      <c r="D25" s="2244"/>
      <c r="E25" s="2246"/>
      <c r="F25" s="2248"/>
      <c r="G25" s="2251"/>
      <c r="H25" s="2253"/>
      <c r="I25" s="2255"/>
      <c r="J25" s="2258"/>
      <c r="K25" s="2241"/>
      <c r="L25" s="2236"/>
      <c r="M25" s="2236"/>
      <c r="N25" s="2239"/>
      <c r="O25" s="2241"/>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835" customFormat="1" customHeight="1" ht="17.25" hidden="1">
      <c r="A26" s="604"/>
      <c r="C26" s="603"/>
      <c r="D26" s="2244"/>
      <c r="E26" s="2246"/>
      <c r="F26" s="2248"/>
      <c r="G26" s="2251"/>
      <c r="H26" s="2253"/>
      <c r="I26" s="2255"/>
      <c r="J26" s="2258"/>
      <c r="K26" s="2241"/>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835" customFormat="1" customHeight="1" ht="17.25" hidden="1">
      <c r="A27" s="604"/>
      <c r="C27" s="603"/>
      <c r="D27" s="2244"/>
      <c r="E27" s="2246"/>
      <c r="F27" s="2249"/>
      <c r="G27" s="2251"/>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835" customFormat="1" customHeight="1" ht="17.25" hidden="1">
      <c r="A28" s="604"/>
      <c r="C28" s="482"/>
      <c r="D28" s="2243">
        <v>4</v>
      </c>
      <c r="E28" s="2245" t="s">
        <v>174</v>
      </c>
      <c r="F28" s="2247" t="s">
        <v>56</v>
      </c>
      <c r="G28" s="2250"/>
      <c r="H28" s="2252"/>
      <c r="I28" s="2254"/>
      <c r="J28" s="2256"/>
      <c r="K28" s="2240"/>
      <c r="L28" s="2235"/>
      <c r="M28" s="2235"/>
      <c r="N28" s="2237"/>
      <c r="O28" s="2240"/>
      <c r="P28" s="2235"/>
      <c r="Q28" s="2235"/>
      <c r="R28" s="2242"/>
      <c r="S28" s="2240"/>
      <c r="T28" s="1782"/>
      <c r="U28" s="1782"/>
      <c r="V28" s="1781"/>
      <c r="W28" s="1654"/>
      <c r="X28" s="1621"/>
      <c r="Y28" s="1621"/>
      <c r="Z28" s="1621"/>
      <c r="AA28" s="1621"/>
      <c r="AB28" s="1621"/>
      <c r="AC28" s="1703" t="s">
        <v>175</v>
      </c>
      <c r="AD28" s="1703" t="s">
        <v>176</v>
      </c>
      <c r="AE28" s="1703" t="s">
        <v>177</v>
      </c>
      <c r="AF28" s="1703" t="s">
        <v>178</v>
      </c>
      <c r="AG28" s="1703" t="s">
        <v>179</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835" customFormat="1" customHeight="1" ht="17.25" hidden="1">
      <c r="A29" s="604"/>
      <c r="C29" s="603"/>
      <c r="D29" s="2243"/>
      <c r="E29" s="2245"/>
      <c r="F29" s="2248"/>
      <c r="G29" s="2250"/>
      <c r="H29" s="2253"/>
      <c r="I29" s="2255"/>
      <c r="J29" s="2257"/>
      <c r="K29" s="2241"/>
      <c r="L29" s="2236"/>
      <c r="M29" s="2236"/>
      <c r="N29" s="2238"/>
      <c r="O29" s="2241"/>
      <c r="P29" s="2236"/>
      <c r="Q29" s="2236"/>
      <c r="R29" s="2239"/>
      <c r="S29" s="2241"/>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835" customFormat="1" customHeight="1" ht="17.25" hidden="1">
      <c r="A30" s="604"/>
      <c r="C30" s="603"/>
      <c r="D30" s="2244"/>
      <c r="E30" s="2246"/>
      <c r="F30" s="2248"/>
      <c r="G30" s="2251"/>
      <c r="H30" s="2253"/>
      <c r="I30" s="2255"/>
      <c r="J30" s="2258"/>
      <c r="K30" s="2241"/>
      <c r="L30" s="2236"/>
      <c r="M30" s="2236"/>
      <c r="N30" s="2239"/>
      <c r="O30" s="2241"/>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835" customFormat="1" customHeight="1" ht="17.25" hidden="1">
      <c r="A31" s="604"/>
      <c r="C31" s="603"/>
      <c r="D31" s="2244"/>
      <c r="E31" s="2246"/>
      <c r="F31" s="2248"/>
      <c r="G31" s="2251"/>
      <c r="H31" s="2253"/>
      <c r="I31" s="2255"/>
      <c r="J31" s="2258"/>
      <c r="K31" s="2241"/>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835" customFormat="1" customHeight="1" ht="17.25" hidden="1">
      <c r="A32" s="604"/>
      <c r="C32" s="603"/>
      <c r="D32" s="2244"/>
      <c r="E32" s="2246"/>
      <c r="F32" s="2249"/>
      <c r="G32" s="2251"/>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835" customFormat="1" customHeight="1" ht="17.25" hidden="1">
      <c r="A33" s="604"/>
      <c r="C33" s="482"/>
      <c r="D33" s="2243">
        <v>5</v>
      </c>
      <c r="E33" s="2245" t="s">
        <v>180</v>
      </c>
      <c r="F33" s="2247" t="s">
        <v>56</v>
      </c>
      <c r="G33" s="2250"/>
      <c r="H33" s="2252"/>
      <c r="I33" s="2254"/>
      <c r="J33" s="2256"/>
      <c r="K33" s="2240"/>
      <c r="L33" s="2235"/>
      <c r="M33" s="2235"/>
      <c r="N33" s="2237"/>
      <c r="O33" s="2240"/>
      <c r="P33" s="2235"/>
      <c r="Q33" s="2235"/>
      <c r="R33" s="2242"/>
      <c r="S33" s="2240"/>
      <c r="T33" s="1782"/>
      <c r="U33" s="1782"/>
      <c r="V33" s="1781"/>
      <c r="W33" s="1654"/>
      <c r="X33" s="1621"/>
      <c r="Y33" s="1621"/>
      <c r="Z33" s="1621"/>
      <c r="AA33" s="1621"/>
      <c r="AB33" s="1621"/>
      <c r="AC33" s="1703" t="s">
        <v>181</v>
      </c>
      <c r="AD33" s="1703" t="s">
        <v>182</v>
      </c>
      <c r="AE33" s="1703" t="s">
        <v>183</v>
      </c>
      <c r="AF33" s="1703" t="s">
        <v>184</v>
      </c>
      <c r="AG33" s="1703" t="s">
        <v>185</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835" customFormat="1" customHeight="1" ht="17.25" hidden="1">
      <c r="A34" s="604"/>
      <c r="C34" s="603"/>
      <c r="D34" s="2243"/>
      <c r="E34" s="2245"/>
      <c r="F34" s="2248"/>
      <c r="G34" s="2250"/>
      <c r="H34" s="2253"/>
      <c r="I34" s="2255"/>
      <c r="J34" s="2257"/>
      <c r="K34" s="2241"/>
      <c r="L34" s="2236"/>
      <c r="M34" s="2236"/>
      <c r="N34" s="2238"/>
      <c r="O34" s="2241"/>
      <c r="P34" s="2236"/>
      <c r="Q34" s="2236"/>
      <c r="R34" s="2239"/>
      <c r="S34" s="2241"/>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835" customFormat="1" customHeight="1" ht="17.25" hidden="1">
      <c r="A35" s="604"/>
      <c r="C35" s="603"/>
      <c r="D35" s="2244"/>
      <c r="E35" s="2246"/>
      <c r="F35" s="2248"/>
      <c r="G35" s="2251"/>
      <c r="H35" s="2253"/>
      <c r="I35" s="2255"/>
      <c r="J35" s="2258"/>
      <c r="K35" s="2241"/>
      <c r="L35" s="2236"/>
      <c r="M35" s="2236"/>
      <c r="N35" s="2239"/>
      <c r="O35" s="2241"/>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835" customFormat="1" customHeight="1" ht="17.25" hidden="1">
      <c r="A36" s="604"/>
      <c r="C36" s="603"/>
      <c r="D36" s="2244"/>
      <c r="E36" s="2246"/>
      <c r="F36" s="2248"/>
      <c r="G36" s="2251"/>
      <c r="H36" s="2253"/>
      <c r="I36" s="2255"/>
      <c r="J36" s="2258"/>
      <c r="K36" s="2241"/>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835" customFormat="1" customHeight="1" ht="17.25" hidden="1">
      <c r="A37" s="604"/>
      <c r="C37" s="603"/>
      <c r="D37" s="2244"/>
      <c r="E37" s="2246"/>
      <c r="F37" s="2249"/>
      <c r="G37" s="2251"/>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835" customFormat="1" customHeight="1" ht="17.25" hidden="1">
      <c r="A38" s="604"/>
      <c r="C38" s="482"/>
      <c r="D38" s="2243">
        <v>6</v>
      </c>
      <c r="E38" s="2245" t="s">
        <v>186</v>
      </c>
      <c r="F38" s="2247" t="s">
        <v>56</v>
      </c>
      <c r="G38" s="2250"/>
      <c r="H38" s="2252"/>
      <c r="I38" s="2254"/>
      <c r="J38" s="2256"/>
      <c r="K38" s="2240"/>
      <c r="L38" s="2235"/>
      <c r="M38" s="2235"/>
      <c r="N38" s="2237"/>
      <c r="O38" s="2240"/>
      <c r="P38" s="2235"/>
      <c r="Q38" s="2235"/>
      <c r="R38" s="2242"/>
      <c r="S38" s="2240"/>
      <c r="T38" s="1782"/>
      <c r="U38" s="1782"/>
      <c r="V38" s="1781"/>
      <c r="W38" s="1654"/>
      <c r="X38" s="1621"/>
      <c r="Y38" s="1621"/>
      <c r="Z38" s="1621"/>
      <c r="AA38" s="1621"/>
      <c r="AB38" s="1621"/>
      <c r="AC38" s="1703" t="s">
        <v>187</v>
      </c>
      <c r="AD38" s="1703" t="s">
        <v>188</v>
      </c>
      <c r="AE38" s="1703" t="s">
        <v>189</v>
      </c>
      <c r="AF38" s="1703" t="s">
        <v>190</v>
      </c>
      <c r="AG38" s="1703" t="s">
        <v>191</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835" customFormat="1" customHeight="1" ht="17.25" hidden="1">
      <c r="A39" s="604"/>
      <c r="C39" s="603"/>
      <c r="D39" s="2243"/>
      <c r="E39" s="2245"/>
      <c r="F39" s="2248"/>
      <c r="G39" s="2250"/>
      <c r="H39" s="2253"/>
      <c r="I39" s="2255"/>
      <c r="J39" s="2257"/>
      <c r="K39" s="2241"/>
      <c r="L39" s="2236"/>
      <c r="M39" s="2236"/>
      <c r="N39" s="2238"/>
      <c r="O39" s="2241"/>
      <c r="P39" s="2236"/>
      <c r="Q39" s="2236"/>
      <c r="R39" s="2239"/>
      <c r="S39" s="2241"/>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835" customFormat="1" customHeight="1" ht="17.25" hidden="1">
      <c r="A40" s="604"/>
      <c r="C40" s="603"/>
      <c r="D40" s="2244"/>
      <c r="E40" s="2246"/>
      <c r="F40" s="2248"/>
      <c r="G40" s="2251"/>
      <c r="H40" s="2253"/>
      <c r="I40" s="2255"/>
      <c r="J40" s="2258"/>
      <c r="K40" s="2241"/>
      <c r="L40" s="2236"/>
      <c r="M40" s="2236"/>
      <c r="N40" s="2239"/>
      <c r="O40" s="2241"/>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837" customFormat="1" customHeight="1" ht="17.25" hidden="1">
      <c r="A41" s="604"/>
      <c r="C41" s="482"/>
      <c r="D41" s="2244"/>
      <c r="E41" s="2246"/>
      <c r="F41" s="2248"/>
      <c r="G41" s="2251"/>
      <c r="H41" s="2253"/>
      <c r="I41" s="2255"/>
      <c r="J41" s="2258"/>
      <c r="K41" s="2241"/>
      <c r="L41" s="1655"/>
      <c r="M41" s="1655"/>
      <c r="N41" s="1655"/>
      <c r="O41" s="1655"/>
      <c r="P41" s="1655"/>
      <c r="Q41" s="1655"/>
      <c r="R41" s="1655"/>
      <c r="S41" s="615"/>
      <c r="T41" s="615"/>
      <c r="U41" s="615"/>
      <c r="V41" s="615"/>
      <c r="W41" s="1656"/>
      <c r="Y41" s="1621"/>
      <c r="Z41" s="1621"/>
      <c r="AA41" s="1621"/>
      <c r="AB41" s="1621"/>
      <c r="AC41" s="1703" t="s">
        <v>187</v>
      </c>
      <c r="AD41" s="1703" t="s">
        <v>188</v>
      </c>
      <c r="AE41" s="1703" t="s">
        <v>192</v>
      </c>
      <c r="AF41" s="1703" t="s">
        <v>193</v>
      </c>
      <c r="AG41" s="1703" t="s">
        <v>194</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835" customFormat="1" customHeight="1" ht="17.25" hidden="1">
      <c r="A42" s="604"/>
      <c r="C42" s="603"/>
      <c r="D42" s="2244"/>
      <c r="E42" s="2246"/>
      <c r="F42" s="2249"/>
      <c r="G42" s="2251"/>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838" customFormat="1" customHeight="1" ht="17.25" hidden="1">
      <c r="A43" s="604"/>
      <c r="C43" s="482"/>
      <c r="D43" s="2270">
        <v>7</v>
      </c>
      <c r="E43" s="2273" t="s">
        <v>195</v>
      </c>
      <c r="F43" s="2247" t="s">
        <v>56</v>
      </c>
      <c r="G43" s="2276"/>
      <c r="H43" s="2252"/>
      <c r="I43" s="2254"/>
      <c r="J43" s="2256"/>
      <c r="K43" s="2240"/>
      <c r="L43" s="2235"/>
      <c r="M43" s="2235"/>
      <c r="N43" s="2237"/>
      <c r="O43" s="2240"/>
      <c r="P43" s="2235"/>
      <c r="Q43" s="2235"/>
      <c r="R43" s="2242"/>
      <c r="S43" s="2240"/>
      <c r="T43" s="1782"/>
      <c r="U43" s="1782"/>
      <c r="V43" s="1781"/>
      <c r="W43" s="1654"/>
      <c r="X43" s="1621"/>
      <c r="Y43" s="1621"/>
      <c r="Z43" s="1621"/>
      <c r="AA43" s="1621"/>
      <c r="AB43" s="1621"/>
      <c r="AC43" s="1703" t="s">
        <v>196</v>
      </c>
      <c r="AD43" s="1703" t="s">
        <v>197</v>
      </c>
      <c r="AE43" s="1703" t="s">
        <v>198</v>
      </c>
      <c r="AF43" s="1703" t="s">
        <v>199</v>
      </c>
      <c r="AG43" s="1703" t="s">
        <v>200</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838" customFormat="1" customHeight="1" ht="17.25" hidden="1">
      <c r="A44" s="604"/>
      <c r="C44" s="603"/>
      <c r="D44" s="2271"/>
      <c r="E44" s="2274"/>
      <c r="F44" s="2248"/>
      <c r="G44" s="2277"/>
      <c r="H44" s="2253"/>
      <c r="I44" s="2255"/>
      <c r="J44" s="2257"/>
      <c r="K44" s="2241"/>
      <c r="L44" s="2236"/>
      <c r="M44" s="2236"/>
      <c r="N44" s="2238"/>
      <c r="O44" s="2241"/>
      <c r="P44" s="2236"/>
      <c r="Q44" s="2236"/>
      <c r="R44" s="2239"/>
      <c r="S44" s="2241"/>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838" customFormat="1" customHeight="1" ht="17.25" hidden="1">
      <c r="A45" s="604"/>
      <c r="C45" s="603"/>
      <c r="D45" s="2271"/>
      <c r="E45" s="2274"/>
      <c r="F45" s="2248"/>
      <c r="G45" s="2277"/>
      <c r="H45" s="2253"/>
      <c r="I45" s="2255"/>
      <c r="J45" s="2258"/>
      <c r="K45" s="2241"/>
      <c r="L45" s="2236"/>
      <c r="M45" s="2236"/>
      <c r="N45" s="2239"/>
      <c r="O45" s="2241"/>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837" customFormat="1" customHeight="1" ht="17.25" hidden="1">
      <c r="A46" s="604"/>
      <c r="C46" s="482"/>
      <c r="D46" s="2271"/>
      <c r="E46" s="2274"/>
      <c r="F46" s="2248"/>
      <c r="G46" s="2277"/>
      <c r="H46" s="2253"/>
      <c r="I46" s="2255"/>
      <c r="J46" s="2258"/>
      <c r="K46" s="2241"/>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838" customFormat="1" customHeight="1" ht="17.25" hidden="1">
      <c r="A47" s="604"/>
      <c r="C47" s="603"/>
      <c r="D47" s="2272"/>
      <c r="E47" s="2275"/>
      <c r="F47" s="2249"/>
      <c r="G47" s="2278"/>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838" customFormat="1" customHeight="1" ht="17.25" hidden="1">
      <c r="A48" s="604"/>
      <c r="C48" s="482"/>
      <c r="D48" s="2243">
        <v>8</v>
      </c>
      <c r="E48" s="2245" t="s">
        <v>201</v>
      </c>
      <c r="F48" s="2247" t="s">
        <v>56</v>
      </c>
      <c r="G48" s="2250"/>
      <c r="H48" s="2252"/>
      <c r="I48" s="2254"/>
      <c r="J48" s="2256"/>
      <c r="K48" s="2240"/>
      <c r="L48" s="2235"/>
      <c r="M48" s="2235"/>
      <c r="N48" s="2237"/>
      <c r="O48" s="2240"/>
      <c r="P48" s="2235"/>
      <c r="Q48" s="2235"/>
      <c r="R48" s="2242"/>
      <c r="S48" s="2240"/>
      <c r="T48" s="1832"/>
      <c r="U48" s="1832"/>
      <c r="V48" s="1834"/>
      <c r="W48" s="1654"/>
      <c r="X48" s="1621"/>
      <c r="Y48" s="1621"/>
      <c r="Z48" s="1621"/>
      <c r="AA48" s="1621"/>
      <c r="AB48" s="1621"/>
      <c r="AC48" s="1703" t="s">
        <v>202</v>
      </c>
      <c r="AD48" s="1703" t="s">
        <v>203</v>
      </c>
      <c r="AE48" s="1703" t="s">
        <v>204</v>
      </c>
      <c r="AF48" s="1703" t="s">
        <v>205</v>
      </c>
      <c r="AG48" s="1703" t="s">
        <v>206</v>
      </c>
      <c r="AH48" s="1703" t="str">
        <f>IF($E$48=0,"",$E$48)</f>
        <v>Плата за подключение (технологическое присоединение) к системе теплоснабжения</v>
      </c>
      <c r="AI48" s="1703" t="str">
        <f>IF($G$48=0,"",$G$48)</f>
        <v/>
      </c>
      <c r="AJ48" s="1703" t="str">
        <f>IF($J$48=0,"",$J$48)</f>
        <v/>
      </c>
      <c r="AK48" s="1703" t="str">
        <f>IF($K$48="нет","без дифференциации",IF($N$48=0,"",$N$48))</f>
        <v/>
      </c>
      <c r="AL48" s="1703" t="str">
        <f>IF($O$48="нет","без дифференциации",IF($R$48=0,"",$R$48))</f>
        <v/>
      </c>
      <c r="AM48" s="1703" t="str">
        <f>IF($S$48="нет","без дифференциации",IF($V$48=0,"",$V$48))</f>
        <v/>
      </c>
      <c r="AN48" s="1882">
        <f>$I$48</f>
        <v>0</v>
      </c>
      <c r="AO48" s="1703" t="str">
        <f>$I$48&amp;"."&amp;$M$48</f>
        <v>.</v>
      </c>
      <c r="AP48" s="550" t="str">
        <f>$I$48&amp;"."&amp;$M$48&amp;"."&amp;$Q$48</f>
        <v>..</v>
      </c>
      <c r="AQ48" s="550" t="str">
        <f>$I$48&amp;"."&amp;$M$48&amp;"."&amp;$Q$48&amp;"."&amp;$U$48</f>
        <v>...</v>
      </c>
    </row>
    <row s="10838" customFormat="1" customHeight="1" ht="17.25" hidden="1">
      <c r="A49" s="604"/>
      <c r="C49" s="603"/>
      <c r="D49" s="2243"/>
      <c r="E49" s="2245"/>
      <c r="F49" s="2248"/>
      <c r="G49" s="2250"/>
      <c r="H49" s="2253"/>
      <c r="I49" s="2255"/>
      <c r="J49" s="2257"/>
      <c r="K49" s="2241"/>
      <c r="L49" s="2236"/>
      <c r="M49" s="2236"/>
      <c r="N49" s="2238"/>
      <c r="O49" s="2241"/>
      <c r="P49" s="2236"/>
      <c r="Q49" s="2236"/>
      <c r="R49" s="2239"/>
      <c r="S49" s="2241"/>
      <c r="T49" s="1655"/>
      <c r="U49" s="1655"/>
      <c r="V49" s="1655"/>
      <c r="W49" s="1656"/>
      <c r="X49" s="1613"/>
      <c r="Y49" s="1613"/>
      <c r="Z49" s="1613"/>
      <c r="AA49" s="1613"/>
      <c r="AB49" s="1613"/>
      <c r="AC49" s="550"/>
      <c r="AD49" s="550"/>
      <c r="AE49" s="550"/>
      <c r="AF49" s="550"/>
      <c r="AG49" s="550"/>
      <c r="AH49" s="550"/>
      <c r="AI49" s="550"/>
      <c r="AJ49" s="550"/>
      <c r="AK49" s="550"/>
      <c r="AL49" s="550"/>
      <c r="AM49" s="550"/>
      <c r="AN49" s="550"/>
      <c r="AO49" s="550"/>
      <c r="AP49" s="550"/>
      <c r="AQ49" s="550"/>
    </row>
    <row s="10838" customFormat="1" customHeight="1" ht="17.25" hidden="1">
      <c r="A50" s="604"/>
      <c r="C50" s="603"/>
      <c r="D50" s="2244"/>
      <c r="E50" s="2246"/>
      <c r="F50" s="2248"/>
      <c r="G50" s="2251"/>
      <c r="H50" s="2253"/>
      <c r="I50" s="2255"/>
      <c r="J50" s="2258"/>
      <c r="K50" s="2241"/>
      <c r="L50" s="2236"/>
      <c r="M50" s="2236"/>
      <c r="N50" s="2239"/>
      <c r="O50" s="2241"/>
      <c r="P50" s="1833"/>
      <c r="Q50" s="1655"/>
      <c r="R50" s="1655"/>
      <c r="S50" s="615"/>
      <c r="T50" s="615"/>
      <c r="U50" s="615"/>
      <c r="V50" s="615"/>
      <c r="W50" s="1656"/>
      <c r="X50" s="1613"/>
      <c r="Y50" s="1613"/>
      <c r="Z50" s="1613"/>
      <c r="AA50" s="1613"/>
      <c r="AB50" s="1613"/>
      <c r="AC50" s="550"/>
      <c r="AD50" s="550"/>
      <c r="AE50" s="550"/>
      <c r="AF50" s="550"/>
      <c r="AG50" s="550"/>
      <c r="AH50" s="550"/>
      <c r="AI50" s="550"/>
      <c r="AJ50" s="550"/>
      <c r="AK50" s="550"/>
      <c r="AL50" s="550"/>
      <c r="AM50" s="550"/>
      <c r="AN50" s="550"/>
      <c r="AO50" s="550"/>
      <c r="AP50" s="550"/>
      <c r="AQ50" s="550"/>
    </row>
    <row s="10837" customFormat="1" customHeight="1" ht="17.25" hidden="1">
      <c r="A51" s="604"/>
      <c r="C51" s="482"/>
      <c r="D51" s="2244"/>
      <c r="E51" s="2246"/>
      <c r="F51" s="2248"/>
      <c r="G51" s="2251"/>
      <c r="H51" s="2253"/>
      <c r="I51" s="2255"/>
      <c r="J51" s="2258"/>
      <c r="K51" s="2241"/>
      <c r="L51" s="1655"/>
      <c r="M51" s="1655"/>
      <c r="N51" s="1655"/>
      <c r="O51" s="1655"/>
      <c r="P51" s="1655"/>
      <c r="Q51" s="1655"/>
      <c r="R51" s="1655"/>
      <c r="S51" s="615"/>
      <c r="T51" s="615"/>
      <c r="U51" s="615"/>
      <c r="V51" s="615"/>
      <c r="W51" s="1656"/>
      <c r="Y51" s="1621"/>
      <c r="Z51" s="1621"/>
      <c r="AA51" s="1621"/>
      <c r="AB51" s="1621"/>
      <c r="AC51" s="1703"/>
      <c r="AD51" s="1703"/>
      <c r="AE51" s="1703"/>
      <c r="AF51" s="1703"/>
      <c r="AG51" s="1703"/>
      <c r="AH51" s="1703"/>
      <c r="AI51" s="1703"/>
      <c r="AJ51" s="1703"/>
      <c r="AK51" s="1703"/>
      <c r="AL51" s="1703"/>
      <c r="AM51" s="1703"/>
      <c r="AN51" s="1703"/>
      <c r="AO51" s="1703"/>
      <c r="AP51" s="1703"/>
      <c r="AQ51" s="1703"/>
    </row>
    <row s="10838" customFormat="1" customHeight="1" ht="17.25" hidden="1">
      <c r="A52" s="604"/>
      <c r="C52" s="603"/>
      <c r="D52" s="2244"/>
      <c r="E52" s="2246"/>
      <c r="F52" s="2249"/>
      <c r="G52" s="2251"/>
      <c r="H52" s="1658"/>
      <c r="I52" s="1659"/>
      <c r="J52" s="1659"/>
      <c r="K52" s="1659"/>
      <c r="L52" s="1659"/>
      <c r="M52" s="1659"/>
      <c r="N52" s="1659"/>
      <c r="O52" s="1659"/>
      <c r="P52" s="1659"/>
      <c r="Q52" s="1659"/>
      <c r="R52" s="1659"/>
      <c r="S52" s="1660"/>
      <c r="T52" s="1660"/>
      <c r="U52" s="1660"/>
      <c r="V52" s="1660"/>
      <c r="W52" s="1661"/>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hidden="1"/>
    <row customHeight="1" ht="11.25" hidden="1">
      <c r="E54" s="2281" t="s">
        <v>207</v>
      </c>
      <c r="F54" s="2281"/>
      <c r="G54" s="2281"/>
      <c r="H54" s="2281"/>
      <c r="I54" s="2281"/>
      <c r="J54" s="2281"/>
      <c r="K54" s="2281"/>
      <c r="L54" s="2281"/>
      <c r="M54" s="2281"/>
      <c r="N54" s="2281"/>
      <c r="O54" s="2281"/>
      <c r="P54" s="2281"/>
      <c r="Q54" s="2281"/>
      <c r="R54" s="2281"/>
      <c r="S54" s="2281"/>
      <c r="T54" s="2281"/>
      <c r="U54" s="2281"/>
      <c r="V54" s="2281"/>
      <c r="W54" s="2281"/>
    </row>
    <row customHeight="1" ht="36.75" hidden="1">
      <c r="E55" s="2279" t="s">
        <v>208</v>
      </c>
      <c r="F55" s="2279"/>
      <c r="G55" s="2280"/>
      <c r="H55" s="2280"/>
      <c r="I55" s="2280"/>
      <c r="J55" s="2280"/>
      <c r="K55" s="2280"/>
      <c r="L55" s="2280"/>
      <c r="M55" s="2280"/>
      <c r="N55" s="2280"/>
      <c r="O55" s="2280"/>
      <c r="P55" s="2280"/>
      <c r="Q55" s="2280"/>
      <c r="R55" s="2280"/>
      <c r="S55" s="2280"/>
      <c r="T55" s="2280"/>
      <c r="U55" s="2280"/>
      <c r="V55" s="2280"/>
      <c r="W55" s="2280"/>
    </row>
    <row customHeight="1" ht="28.5" hidden="1">
      <c r="E56" s="2279" t="s">
        <v>209</v>
      </c>
      <c r="F56" s="2279"/>
      <c r="G56" s="2280"/>
      <c r="H56" s="2280"/>
      <c r="I56" s="2280"/>
      <c r="J56" s="2280"/>
      <c r="K56" s="2280"/>
      <c r="L56" s="2280"/>
      <c r="M56" s="2280"/>
      <c r="N56" s="2280"/>
      <c r="O56" s="2280"/>
      <c r="P56" s="2280"/>
      <c r="Q56" s="2280"/>
      <c r="R56" s="2280"/>
      <c r="S56" s="2280"/>
      <c r="T56" s="2280"/>
      <c r="U56" s="2280"/>
      <c r="V56" s="2280"/>
      <c r="W56" s="2280"/>
    </row>
    <row customHeight="1" ht="27" hidden="1">
      <c r="E57" s="2279" t="s">
        <v>210</v>
      </c>
      <c r="F57" s="2279"/>
      <c r="G57" s="2280"/>
      <c r="H57" s="2280"/>
      <c r="I57" s="2280"/>
      <c r="J57" s="2280"/>
      <c r="K57" s="2280"/>
      <c r="L57" s="2280"/>
      <c r="M57" s="2280"/>
      <c r="N57" s="2280"/>
      <c r="O57" s="2280"/>
      <c r="P57" s="2280"/>
      <c r="Q57" s="2280"/>
      <c r="R57" s="2280"/>
      <c r="S57" s="2280"/>
      <c r="T57" s="2280"/>
      <c r="U57" s="2280"/>
      <c r="V57" s="2280"/>
      <c r="W57" s="2280"/>
    </row>
    <row customHeight="1" ht="17.25" hidden="1">
      <c r="E58" s="2279" t="s">
        <v>211</v>
      </c>
      <c r="F58" s="2279"/>
      <c r="G58" s="2280"/>
      <c r="H58" s="2280"/>
      <c r="I58" s="2280"/>
      <c r="J58" s="2280"/>
      <c r="K58" s="2280"/>
      <c r="L58" s="2280"/>
      <c r="M58" s="2280"/>
      <c r="N58" s="2280"/>
      <c r="O58" s="2280"/>
      <c r="P58" s="2280"/>
      <c r="Q58" s="2280"/>
      <c r="R58" s="2280"/>
      <c r="S58" s="2280"/>
      <c r="T58" s="2280"/>
      <c r="U58" s="2280"/>
      <c r="V58" s="2280"/>
      <c r="W58" s="2280"/>
    </row>
    <row customHeight="1" ht="15" hidden="1">
      <c r="E59" s="626"/>
      <c r="F59" s="1640"/>
      <c r="G59" s="430"/>
      <c r="H59" s="430"/>
      <c r="I59" s="430"/>
      <c r="J59" s="430"/>
      <c r="K59" s="430"/>
      <c r="L59" s="430"/>
      <c r="M59" s="430"/>
      <c r="N59" s="430"/>
      <c r="O59" s="430"/>
      <c r="P59" s="430"/>
      <c r="Q59" s="430"/>
      <c r="R59" s="430"/>
      <c r="S59" s="430"/>
      <c r="T59" s="430"/>
      <c r="U59" s="430"/>
      <c r="V59" s="430"/>
      <c r="W59" s="430"/>
    </row>
    <row customHeight="1" ht="15" hidden="1">
      <c r="E60" s="2281" t="s">
        <v>212</v>
      </c>
      <c r="F60" s="2281"/>
      <c r="G60" s="2281"/>
      <c r="H60" s="2281"/>
      <c r="I60" s="2281"/>
      <c r="J60" s="2281"/>
      <c r="K60" s="2281"/>
      <c r="L60" s="2281"/>
      <c r="M60" s="2281"/>
      <c r="N60" s="2281"/>
      <c r="O60" s="2281"/>
      <c r="P60" s="2281"/>
      <c r="Q60" s="2281"/>
      <c r="R60" s="2281"/>
      <c r="S60" s="2281"/>
      <c r="T60" s="2281"/>
      <c r="U60" s="2281"/>
      <c r="V60" s="2281"/>
      <c r="W60" s="2281"/>
    </row>
    <row customHeight="1" ht="17.25" hidden="1">
      <c r="E61" s="2279" t="s">
        <v>213</v>
      </c>
      <c r="F61" s="2279"/>
      <c r="G61" s="2280"/>
      <c r="H61" s="2280"/>
      <c r="I61" s="2280"/>
      <c r="J61" s="2280"/>
      <c r="K61" s="2280"/>
      <c r="L61" s="2280"/>
      <c r="M61" s="2280"/>
      <c r="N61" s="2280"/>
      <c r="O61" s="2280"/>
      <c r="P61" s="2280"/>
      <c r="Q61" s="2280"/>
      <c r="R61" s="2280"/>
      <c r="S61" s="2280"/>
      <c r="T61" s="2280"/>
      <c r="U61" s="2280"/>
      <c r="V61" s="2280"/>
      <c r="W61" s="2280"/>
    </row>
    <row customHeight="1" ht="17.25" hidden="1">
      <c r="E62" s="2279" t="s">
        <v>214</v>
      </c>
      <c r="F62" s="2279"/>
      <c r="G62" s="2280"/>
      <c r="H62" s="2280"/>
      <c r="I62" s="2280"/>
      <c r="J62" s="2280"/>
      <c r="K62" s="2280"/>
      <c r="L62" s="2280"/>
      <c r="M62" s="2280"/>
      <c r="N62" s="2280"/>
      <c r="O62" s="2280"/>
      <c r="P62" s="2280"/>
      <c r="Q62" s="2280"/>
      <c r="R62" s="2280"/>
      <c r="S62" s="2280"/>
      <c r="T62" s="2280"/>
      <c r="U62" s="2280"/>
      <c r="V62" s="2280"/>
      <c r="W62" s="2280"/>
    </row>
    <row s="10857" customFormat="1" customHeight="1" ht="11.25" hidden="1">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0857" customFormat="1" customHeight="1" ht="17.25" hidden="1">
      <c r="A64" s="604"/>
      <c r="C64" s="482"/>
      <c r="D64" s="2243">
        <v>1</v>
      </c>
      <c r="E64" s="2245" t="s">
        <v>215</v>
      </c>
      <c r="F64" s="2247" t="s">
        <v>56</v>
      </c>
      <c r="G64" s="2250"/>
      <c r="H64" s="2252"/>
      <c r="I64" s="2254"/>
      <c r="J64" s="2256"/>
      <c r="K64" s="2240"/>
      <c r="L64" s="2235"/>
      <c r="M64" s="2235"/>
      <c r="N64" s="2237"/>
      <c r="O64" s="2240"/>
      <c r="P64" s="2235"/>
      <c r="Q64" s="2235"/>
      <c r="R64" s="2242"/>
      <c r="S64" s="2240"/>
      <c r="T64" s="1832"/>
      <c r="U64" s="1832"/>
      <c r="V64" s="1834"/>
      <c r="W64" s="1654"/>
      <c r="Y64" s="1621"/>
      <c r="Z64" s="1621"/>
      <c r="AA64" s="1621"/>
      <c r="AB64" s="1621"/>
      <c r="AC64" s="1703" t="s">
        <v>216</v>
      </c>
      <c r="AD64" s="1703" t="s">
        <v>217</v>
      </c>
      <c r="AE64" s="1703" t="s">
        <v>218</v>
      </c>
      <c r="AF64" s="1703" t="s">
        <v>219</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0857" customFormat="1" customHeight="1" ht="17.25" hidden="1">
      <c r="A65" s="604"/>
      <c r="C65" s="603"/>
      <c r="D65" s="2243"/>
      <c r="E65" s="2245"/>
      <c r="F65" s="2248"/>
      <c r="G65" s="2250"/>
      <c r="H65" s="2253"/>
      <c r="I65" s="2255"/>
      <c r="J65" s="2257"/>
      <c r="K65" s="2241"/>
      <c r="L65" s="2236"/>
      <c r="M65" s="2236"/>
      <c r="N65" s="2238"/>
      <c r="O65" s="2241"/>
      <c r="P65" s="2236"/>
      <c r="Q65" s="2236"/>
      <c r="R65" s="2239"/>
      <c r="S65" s="2241"/>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0858" customFormat="1" customHeight="1" ht="17.25" hidden="1">
      <c r="A66" s="604"/>
      <c r="C66" s="482"/>
      <c r="D66" s="2243"/>
      <c r="E66" s="2245"/>
      <c r="F66" s="2248"/>
      <c r="G66" s="2250"/>
      <c r="H66" s="2253"/>
      <c r="I66" s="2255"/>
      <c r="J66" s="2258"/>
      <c r="K66" s="2241"/>
      <c r="L66" s="2236"/>
      <c r="M66" s="2236"/>
      <c r="N66" s="2239"/>
      <c r="O66" s="2241"/>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0858" customFormat="1" customHeight="1" ht="17.25" hidden="1">
      <c r="A67" s="604"/>
      <c r="C67" s="603"/>
      <c r="D67" s="2243"/>
      <c r="E67" s="2245"/>
      <c r="F67" s="2248"/>
      <c r="G67" s="2250"/>
      <c r="H67" s="2253"/>
      <c r="I67" s="2255"/>
      <c r="J67" s="2258"/>
      <c r="K67" s="2241"/>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0857" customFormat="1" customHeight="1" ht="17.25" hidden="1">
      <c r="A68" s="604"/>
      <c r="C68" s="603"/>
      <c r="D68" s="2244"/>
      <c r="E68" s="2246"/>
      <c r="F68" s="2249"/>
      <c r="G68" s="2251"/>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0857" customFormat="1" customHeight="1" ht="17.25" hidden="1">
      <c r="A69" s="604"/>
      <c r="C69" s="482"/>
      <c r="D69" s="2243">
        <v>2</v>
      </c>
      <c r="E69" s="2245" t="s">
        <v>220</v>
      </c>
      <c r="F69" s="2247" t="s">
        <v>56</v>
      </c>
      <c r="G69" s="2250"/>
      <c r="H69" s="2252"/>
      <c r="I69" s="2254"/>
      <c r="J69" s="2256"/>
      <c r="K69" s="2240"/>
      <c r="L69" s="2235"/>
      <c r="M69" s="2235"/>
      <c r="N69" s="2237"/>
      <c r="O69" s="2240"/>
      <c r="P69" s="2235"/>
      <c r="Q69" s="2235"/>
      <c r="R69" s="2242"/>
      <c r="S69" s="2240"/>
      <c r="T69" s="1805"/>
      <c r="U69" s="1805"/>
      <c r="V69" s="1807"/>
      <c r="W69" s="1654"/>
      <c r="X69" s="1621"/>
      <c r="Y69" s="1621"/>
      <c r="Z69" s="1621"/>
      <c r="AA69" s="1621"/>
      <c r="AB69" s="1621"/>
      <c r="AC69" s="1703" t="s">
        <v>221</v>
      </c>
      <c r="AD69" s="1703" t="s">
        <v>222</v>
      </c>
      <c r="AE69" s="1703" t="s">
        <v>223</v>
      </c>
      <c r="AF69" s="1703" t="s">
        <v>224</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0857" customFormat="1" customHeight="1" ht="17.25" hidden="1">
      <c r="A70" s="604"/>
      <c r="C70" s="603"/>
      <c r="D70" s="2243"/>
      <c r="E70" s="2245"/>
      <c r="F70" s="2248"/>
      <c r="G70" s="2250"/>
      <c r="H70" s="2253"/>
      <c r="I70" s="2255"/>
      <c r="J70" s="2257"/>
      <c r="K70" s="2241"/>
      <c r="L70" s="2236"/>
      <c r="M70" s="2236"/>
      <c r="N70" s="2238"/>
      <c r="O70" s="2241"/>
      <c r="P70" s="2236"/>
      <c r="Q70" s="2236"/>
      <c r="R70" s="2239"/>
      <c r="S70" s="2241"/>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0857" customFormat="1" customHeight="1" ht="17.25" hidden="1">
      <c r="A71" s="604"/>
      <c r="C71" s="603"/>
      <c r="D71" s="2244"/>
      <c r="E71" s="2246"/>
      <c r="F71" s="2248"/>
      <c r="G71" s="2251"/>
      <c r="H71" s="2253"/>
      <c r="I71" s="2255"/>
      <c r="J71" s="2258"/>
      <c r="K71" s="2241"/>
      <c r="L71" s="2236"/>
      <c r="M71" s="2236"/>
      <c r="N71" s="2239"/>
      <c r="O71" s="2241"/>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0857" customFormat="1" customHeight="1" ht="17.25" hidden="1">
      <c r="A72" s="604"/>
      <c r="C72" s="603"/>
      <c r="D72" s="2244"/>
      <c r="E72" s="2246"/>
      <c r="F72" s="2248"/>
      <c r="G72" s="2251"/>
      <c r="H72" s="2253"/>
      <c r="I72" s="2255"/>
      <c r="J72" s="2258"/>
      <c r="K72" s="2241"/>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0857" customFormat="1" customHeight="1" ht="17.25" hidden="1">
      <c r="A73" s="604"/>
      <c r="C73" s="603"/>
      <c r="D73" s="2244"/>
      <c r="E73" s="2246"/>
      <c r="F73" s="2249"/>
      <c r="G73" s="2251"/>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0857" customFormat="1" customHeight="1" ht="17.25" hidden="1">
      <c r="A74" s="604"/>
      <c r="C74" s="482"/>
      <c r="D74" s="2243">
        <v>3</v>
      </c>
      <c r="E74" s="2245" t="s">
        <v>225</v>
      </c>
      <c r="F74" s="2247" t="s">
        <v>56</v>
      </c>
      <c r="G74" s="2250"/>
      <c r="H74" s="2252"/>
      <c r="I74" s="2254"/>
      <c r="J74" s="2256"/>
      <c r="K74" s="2240"/>
      <c r="L74" s="2235"/>
      <c r="M74" s="2235"/>
      <c r="N74" s="2237"/>
      <c r="O74" s="2240"/>
      <c r="P74" s="2235"/>
      <c r="Q74" s="2235"/>
      <c r="R74" s="2242"/>
      <c r="S74" s="2240"/>
      <c r="T74" s="1805"/>
      <c r="U74" s="1805"/>
      <c r="V74" s="1807"/>
      <c r="W74" s="1654"/>
      <c r="X74" s="1621"/>
      <c r="Y74" s="1621"/>
      <c r="Z74" s="1621"/>
      <c r="AA74" s="1621"/>
      <c r="AB74" s="1621"/>
      <c r="AC74" s="1703" t="s">
        <v>226</v>
      </c>
      <c r="AD74" s="1703" t="s">
        <v>227</v>
      </c>
      <c r="AE74" s="1703" t="s">
        <v>228</v>
      </c>
      <c r="AF74" s="1703" t="s">
        <v>229</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0857" customFormat="1" customHeight="1" ht="17.25" hidden="1">
      <c r="A75" s="604"/>
      <c r="C75" s="603"/>
      <c r="D75" s="2243"/>
      <c r="E75" s="2245"/>
      <c r="F75" s="2248"/>
      <c r="G75" s="2250"/>
      <c r="H75" s="2253"/>
      <c r="I75" s="2255"/>
      <c r="J75" s="2257"/>
      <c r="K75" s="2241"/>
      <c r="L75" s="2236"/>
      <c r="M75" s="2236"/>
      <c r="N75" s="2238"/>
      <c r="O75" s="2241"/>
      <c r="P75" s="2236"/>
      <c r="Q75" s="2236"/>
      <c r="R75" s="2239"/>
      <c r="S75" s="2241"/>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0857" customFormat="1" customHeight="1" ht="17.25" hidden="1">
      <c r="A76" s="604"/>
      <c r="C76" s="603"/>
      <c r="D76" s="2244"/>
      <c r="E76" s="2246"/>
      <c r="F76" s="2248"/>
      <c r="G76" s="2251"/>
      <c r="H76" s="2253"/>
      <c r="I76" s="2255"/>
      <c r="J76" s="2258"/>
      <c r="K76" s="2241"/>
      <c r="L76" s="2236"/>
      <c r="M76" s="2236"/>
      <c r="N76" s="2239"/>
      <c r="O76" s="2241"/>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0857" customFormat="1" customHeight="1" ht="17.25" hidden="1">
      <c r="A77" s="604"/>
      <c r="C77" s="603"/>
      <c r="D77" s="2244"/>
      <c r="E77" s="2246"/>
      <c r="F77" s="2248"/>
      <c r="G77" s="2251"/>
      <c r="H77" s="2253"/>
      <c r="I77" s="2255"/>
      <c r="J77" s="2258"/>
      <c r="K77" s="2241"/>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0857" customFormat="1" customHeight="1" ht="17.25" hidden="1">
      <c r="A78" s="604"/>
      <c r="C78" s="603"/>
      <c r="D78" s="2244"/>
      <c r="E78" s="2246"/>
      <c r="F78" s="2249"/>
      <c r="G78" s="2251"/>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0857" customFormat="1" customHeight="1" ht="17.25" hidden="1">
      <c r="A79" s="604"/>
      <c r="C79" s="482"/>
      <c r="D79" s="2243">
        <v>4</v>
      </c>
      <c r="E79" s="2245" t="s">
        <v>230</v>
      </c>
      <c r="F79" s="2247" t="s">
        <v>56</v>
      </c>
      <c r="G79" s="2250"/>
      <c r="H79" s="2252"/>
      <c r="I79" s="2254"/>
      <c r="J79" s="2256"/>
      <c r="K79" s="2240"/>
      <c r="L79" s="2235"/>
      <c r="M79" s="2235"/>
      <c r="N79" s="2237"/>
      <c r="O79" s="2240"/>
      <c r="P79" s="2235"/>
      <c r="Q79" s="2235"/>
      <c r="R79" s="2242"/>
      <c r="S79" s="2240"/>
      <c r="T79" s="1805"/>
      <c r="U79" s="1805"/>
      <c r="V79" s="1807"/>
      <c r="W79" s="1654"/>
      <c r="X79" s="1621"/>
      <c r="Y79" s="1621"/>
      <c r="Z79" s="1621"/>
      <c r="AA79" s="1621"/>
      <c r="AB79" s="1621"/>
      <c r="AC79" s="1703" t="s">
        <v>231</v>
      </c>
      <c r="AD79" s="1703" t="s">
        <v>232</v>
      </c>
      <c r="AE79" s="1703" t="s">
        <v>233</v>
      </c>
      <c r="AF79" s="1703" t="s">
        <v>234</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0857" customFormat="1" customHeight="1" ht="17.25" hidden="1">
      <c r="A80" s="604"/>
      <c r="C80" s="603"/>
      <c r="D80" s="2243"/>
      <c r="E80" s="2245"/>
      <c r="F80" s="2248"/>
      <c r="G80" s="2250"/>
      <c r="H80" s="2253"/>
      <c r="I80" s="2255"/>
      <c r="J80" s="2257"/>
      <c r="K80" s="2241"/>
      <c r="L80" s="2236"/>
      <c r="M80" s="2236"/>
      <c r="N80" s="2238"/>
      <c r="O80" s="2241"/>
      <c r="P80" s="2236"/>
      <c r="Q80" s="2236"/>
      <c r="R80" s="2239"/>
      <c r="S80" s="2241"/>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0857" customFormat="1" customHeight="1" ht="17.25" hidden="1">
      <c r="A81" s="604"/>
      <c r="C81" s="603"/>
      <c r="D81" s="2244"/>
      <c r="E81" s="2246"/>
      <c r="F81" s="2248"/>
      <c r="G81" s="2251"/>
      <c r="H81" s="2253"/>
      <c r="I81" s="2255"/>
      <c r="J81" s="2258"/>
      <c r="K81" s="2241"/>
      <c r="L81" s="2236"/>
      <c r="M81" s="2236"/>
      <c r="N81" s="2239"/>
      <c r="O81" s="2241"/>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0857" customFormat="1" customHeight="1" ht="17.25" hidden="1">
      <c r="A82" s="604"/>
      <c r="C82" s="603"/>
      <c r="D82" s="2244"/>
      <c r="E82" s="2246"/>
      <c r="F82" s="2248"/>
      <c r="G82" s="2251"/>
      <c r="H82" s="2253"/>
      <c r="I82" s="2255"/>
      <c r="J82" s="2258"/>
      <c r="K82" s="2241"/>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0857" customFormat="1" customHeight="1" ht="17.25" hidden="1">
      <c r="A83" s="604"/>
      <c r="C83" s="603"/>
      <c r="D83" s="2244"/>
      <c r="E83" s="2246"/>
      <c r="F83" s="2249"/>
      <c r="G83" s="2251"/>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0857" customFormat="1" customHeight="1" ht="17.25" hidden="1">
      <c r="A84" s="604"/>
      <c r="C84" s="482"/>
      <c r="D84" s="2243">
        <v>5</v>
      </c>
      <c r="E84" s="2245" t="s">
        <v>235</v>
      </c>
      <c r="F84" s="2247" t="s">
        <v>56</v>
      </c>
      <c r="G84" s="2250"/>
      <c r="H84" s="2252"/>
      <c r="I84" s="2254"/>
      <c r="J84" s="2256"/>
      <c r="K84" s="2240"/>
      <c r="L84" s="2235"/>
      <c r="M84" s="2235"/>
      <c r="N84" s="2237"/>
      <c r="O84" s="2240"/>
      <c r="P84" s="2235"/>
      <c r="Q84" s="2235"/>
      <c r="R84" s="2242"/>
      <c r="S84" s="2240"/>
      <c r="T84" s="1832"/>
      <c r="U84" s="1832"/>
      <c r="V84" s="1834"/>
      <c r="W84" s="1654"/>
      <c r="X84" s="1621"/>
      <c r="Y84" s="1621"/>
      <c r="Z84" s="1621"/>
      <c r="AA84" s="1621"/>
      <c r="AB84" s="1621"/>
      <c r="AC84" s="1703" t="s">
        <v>236</v>
      </c>
      <c r="AD84" s="1703" t="s">
        <v>237</v>
      </c>
      <c r="AE84" s="1703" t="s">
        <v>238</v>
      </c>
      <c r="AF84" s="1703" t="s">
        <v>239</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0857" customFormat="1" customHeight="1" ht="17.25" hidden="1">
      <c r="A85" s="604"/>
      <c r="C85" s="603"/>
      <c r="D85" s="2243"/>
      <c r="E85" s="2245"/>
      <c r="F85" s="2248"/>
      <c r="G85" s="2250"/>
      <c r="H85" s="2253"/>
      <c r="I85" s="2255"/>
      <c r="J85" s="2257"/>
      <c r="K85" s="2241"/>
      <c r="L85" s="2236"/>
      <c r="M85" s="2236"/>
      <c r="N85" s="2238"/>
      <c r="O85" s="2241"/>
      <c r="P85" s="2236"/>
      <c r="Q85" s="2236"/>
      <c r="R85" s="2239"/>
      <c r="S85" s="2241"/>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0857" customFormat="1" customHeight="1" ht="17.25" hidden="1">
      <c r="A86" s="604"/>
      <c r="C86" s="603"/>
      <c r="D86" s="2244"/>
      <c r="E86" s="2246"/>
      <c r="F86" s="2248"/>
      <c r="G86" s="2251"/>
      <c r="H86" s="2253"/>
      <c r="I86" s="2255"/>
      <c r="J86" s="2258"/>
      <c r="K86" s="2241"/>
      <c r="L86" s="2236"/>
      <c r="M86" s="2236"/>
      <c r="N86" s="2239"/>
      <c r="O86" s="2241"/>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0857" customFormat="1" customHeight="1" ht="17.25" hidden="1">
      <c r="A87" s="604"/>
      <c r="C87" s="603"/>
      <c r="D87" s="2244"/>
      <c r="E87" s="2246"/>
      <c r="F87" s="2248"/>
      <c r="G87" s="2251"/>
      <c r="H87" s="2253"/>
      <c r="I87" s="2255"/>
      <c r="J87" s="2258"/>
      <c r="K87" s="2241"/>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0857" customFormat="1" customHeight="1" ht="17.25" hidden="1">
      <c r="A88" s="604"/>
      <c r="C88" s="603"/>
      <c r="D88" s="2244"/>
      <c r="E88" s="2246"/>
      <c r="F88" s="2249"/>
      <c r="G88" s="2251"/>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0862" customFormat="1" customHeight="1" ht="11.25" hidden="1">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0862" customFormat="1" customHeight="1" ht="17.25" hidden="1">
      <c r="A90" s="604"/>
      <c r="C90" s="482"/>
      <c r="D90" s="2243">
        <v>1</v>
      </c>
      <c r="E90" s="2245" t="s">
        <v>240</v>
      </c>
      <c r="F90" s="2247" t="s">
        <v>56</v>
      </c>
      <c r="G90" s="2250"/>
      <c r="H90" s="2252"/>
      <c r="I90" s="2254"/>
      <c r="J90" s="2256"/>
      <c r="K90" s="2240"/>
      <c r="L90" s="2235"/>
      <c r="M90" s="2235"/>
      <c r="N90" s="2237"/>
      <c r="O90" s="2240"/>
      <c r="P90" s="2235"/>
      <c r="Q90" s="2235"/>
      <c r="R90" s="2242"/>
      <c r="S90" s="2240"/>
      <c r="T90" s="1832"/>
      <c r="U90" s="1832"/>
      <c r="V90" s="1834"/>
      <c r="W90" s="1654"/>
      <c r="Y90" s="1621"/>
      <c r="Z90" s="1621"/>
      <c r="AA90" s="1621"/>
      <c r="AB90" s="1621"/>
      <c r="AC90" s="1703" t="s">
        <v>241</v>
      </c>
      <c r="AD90" s="1703" t="s">
        <v>242</v>
      </c>
      <c r="AE90" s="1703" t="s">
        <v>243</v>
      </c>
      <c r="AF90" s="1703" t="s">
        <v>244</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0862" customFormat="1" customHeight="1" ht="17.25" hidden="1">
      <c r="A91" s="604"/>
      <c r="C91" s="603"/>
      <c r="D91" s="2243"/>
      <c r="E91" s="2245"/>
      <c r="F91" s="2248"/>
      <c r="G91" s="2250"/>
      <c r="H91" s="2253"/>
      <c r="I91" s="2255"/>
      <c r="J91" s="2257"/>
      <c r="K91" s="2241"/>
      <c r="L91" s="2236"/>
      <c r="M91" s="2236"/>
      <c r="N91" s="2238"/>
      <c r="O91" s="2241"/>
      <c r="P91" s="2236"/>
      <c r="Q91" s="2236"/>
      <c r="R91" s="2239"/>
      <c r="S91" s="2241"/>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0862" customFormat="1" customHeight="1" ht="17.25" hidden="1">
      <c r="A92" s="604"/>
      <c r="C92" s="482"/>
      <c r="D92" s="2243"/>
      <c r="E92" s="2245"/>
      <c r="F92" s="2248"/>
      <c r="G92" s="2250"/>
      <c r="H92" s="2253"/>
      <c r="I92" s="2255"/>
      <c r="J92" s="2258"/>
      <c r="K92" s="2241"/>
      <c r="L92" s="2236"/>
      <c r="M92" s="2236"/>
      <c r="N92" s="2239"/>
      <c r="O92" s="2241"/>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0862" customFormat="1" customHeight="1" ht="17.25" hidden="1">
      <c r="A93" s="604"/>
      <c r="C93" s="603"/>
      <c r="D93" s="2243"/>
      <c r="E93" s="2245"/>
      <c r="F93" s="2248"/>
      <c r="G93" s="2250"/>
      <c r="H93" s="2253"/>
      <c r="I93" s="2255"/>
      <c r="J93" s="2258"/>
      <c r="K93" s="2241"/>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0862" customFormat="1" customHeight="1" ht="17.25" hidden="1">
      <c r="A94" s="604"/>
      <c r="C94" s="603"/>
      <c r="D94" s="2244"/>
      <c r="E94" s="2246"/>
      <c r="F94" s="2249"/>
      <c r="G94" s="2251"/>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0862" customFormat="1" customHeight="1" ht="17.25" hidden="1">
      <c r="A95" s="604"/>
      <c r="C95" s="482"/>
      <c r="D95" s="2243">
        <v>2</v>
      </c>
      <c r="E95" s="2245" t="s">
        <v>245</v>
      </c>
      <c r="F95" s="2247" t="s">
        <v>56</v>
      </c>
      <c r="G95" s="2250"/>
      <c r="H95" s="2252"/>
      <c r="I95" s="2254"/>
      <c r="J95" s="2256"/>
      <c r="K95" s="2240"/>
      <c r="L95" s="2235"/>
      <c r="M95" s="2235"/>
      <c r="N95" s="2237"/>
      <c r="O95" s="2240"/>
      <c r="P95" s="2235"/>
      <c r="Q95" s="2235"/>
      <c r="R95" s="2242"/>
      <c r="S95" s="2240"/>
      <c r="T95" s="1832"/>
      <c r="U95" s="1832"/>
      <c r="V95" s="1834"/>
      <c r="W95" s="1654"/>
      <c r="X95" s="1621"/>
      <c r="Y95" s="1621"/>
      <c r="Z95" s="1621"/>
      <c r="AA95" s="1621"/>
      <c r="AB95" s="1621"/>
      <c r="AC95" s="1703" t="s">
        <v>246</v>
      </c>
      <c r="AD95" s="1703" t="s">
        <v>247</v>
      </c>
      <c r="AE95" s="1703" t="s">
        <v>248</v>
      </c>
      <c r="AF95" s="1703" t="s">
        <v>249</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0862" customFormat="1" customHeight="1" ht="17.25" hidden="1">
      <c r="A96" s="604"/>
      <c r="C96" s="603"/>
      <c r="D96" s="2243"/>
      <c r="E96" s="2245"/>
      <c r="F96" s="2248"/>
      <c r="G96" s="2250"/>
      <c r="H96" s="2253"/>
      <c r="I96" s="2255"/>
      <c r="J96" s="2257"/>
      <c r="K96" s="2241"/>
      <c r="L96" s="2236"/>
      <c r="M96" s="2236"/>
      <c r="N96" s="2238"/>
      <c r="O96" s="2241"/>
      <c r="P96" s="2236"/>
      <c r="Q96" s="2236"/>
      <c r="R96" s="2239"/>
      <c r="S96" s="2241"/>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0862" customFormat="1" customHeight="1" ht="17.25" hidden="1">
      <c r="A97" s="604"/>
      <c r="C97" s="603"/>
      <c r="D97" s="2244"/>
      <c r="E97" s="2246"/>
      <c r="F97" s="2248"/>
      <c r="G97" s="2251"/>
      <c r="H97" s="2253"/>
      <c r="I97" s="2255"/>
      <c r="J97" s="2258"/>
      <c r="K97" s="2241"/>
      <c r="L97" s="2236"/>
      <c r="M97" s="2236"/>
      <c r="N97" s="2239"/>
      <c r="O97" s="2241"/>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0862" customFormat="1" customHeight="1" ht="17.25" hidden="1">
      <c r="A98" s="604"/>
      <c r="C98" s="603"/>
      <c r="D98" s="2244"/>
      <c r="E98" s="2246"/>
      <c r="F98" s="2248"/>
      <c r="G98" s="2251"/>
      <c r="H98" s="2253"/>
      <c r="I98" s="2255"/>
      <c r="J98" s="2258"/>
      <c r="K98" s="2241"/>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0862" customFormat="1" customHeight="1" ht="17.25" hidden="1">
      <c r="A99" s="604"/>
      <c r="C99" s="603"/>
      <c r="D99" s="2244"/>
      <c r="E99" s="2246"/>
      <c r="F99" s="2249"/>
      <c r="G99" s="2251"/>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0862" customFormat="1" customHeight="1" ht="17.25" hidden="1">
      <c r="A100" s="604"/>
      <c r="C100" s="482"/>
      <c r="D100" s="2243">
        <v>3</v>
      </c>
      <c r="E100" s="2245" t="s">
        <v>250</v>
      </c>
      <c r="F100" s="2247" t="s">
        <v>56</v>
      </c>
      <c r="G100" s="2250"/>
      <c r="H100" s="2252"/>
      <c r="I100" s="2254"/>
      <c r="J100" s="2256"/>
      <c r="K100" s="2240"/>
      <c r="L100" s="2235"/>
      <c r="M100" s="2235"/>
      <c r="N100" s="2237"/>
      <c r="O100" s="2240"/>
      <c r="P100" s="2235"/>
      <c r="Q100" s="2235"/>
      <c r="R100" s="2242"/>
      <c r="S100" s="2240"/>
      <c r="T100" s="1832"/>
      <c r="U100" s="1832"/>
      <c r="V100" s="1834"/>
      <c r="W100" s="1654"/>
      <c r="X100" s="1621"/>
      <c r="Y100" s="1621"/>
      <c r="Z100" s="1621"/>
      <c r="AA100" s="1621"/>
      <c r="AB100" s="1621"/>
      <c r="AC100" s="1703" t="s">
        <v>251</v>
      </c>
      <c r="AD100" s="1703" t="s">
        <v>252</v>
      </c>
      <c r="AE100" s="1703" t="s">
        <v>253</v>
      </c>
      <c r="AF100" s="1703" t="s">
        <v>254</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0862" customFormat="1" customHeight="1" ht="17.25" hidden="1">
      <c r="A101" s="604"/>
      <c r="C101" s="603"/>
      <c r="D101" s="2243"/>
      <c r="E101" s="2245"/>
      <c r="F101" s="2248"/>
      <c r="G101" s="2250"/>
      <c r="H101" s="2253"/>
      <c r="I101" s="2255"/>
      <c r="J101" s="2257"/>
      <c r="K101" s="2241"/>
      <c r="L101" s="2236"/>
      <c r="M101" s="2236"/>
      <c r="N101" s="2238"/>
      <c r="O101" s="2241"/>
      <c r="P101" s="2236"/>
      <c r="Q101" s="2236"/>
      <c r="R101" s="2239"/>
      <c r="S101" s="2241"/>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0862" customFormat="1" customHeight="1" ht="17.25" hidden="1">
      <c r="A102" s="604"/>
      <c r="C102" s="603"/>
      <c r="D102" s="2244"/>
      <c r="E102" s="2246"/>
      <c r="F102" s="2248"/>
      <c r="G102" s="2251"/>
      <c r="H102" s="2253"/>
      <c r="I102" s="2255"/>
      <c r="J102" s="2258"/>
      <c r="K102" s="2241"/>
      <c r="L102" s="2236"/>
      <c r="M102" s="2236"/>
      <c r="N102" s="2239"/>
      <c r="O102" s="2241"/>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0862" customFormat="1" customHeight="1" ht="17.25" hidden="1">
      <c r="A103" s="604"/>
      <c r="C103" s="603"/>
      <c r="D103" s="2244"/>
      <c r="E103" s="2246"/>
      <c r="F103" s="2248"/>
      <c r="G103" s="2251"/>
      <c r="H103" s="2253"/>
      <c r="I103" s="2255"/>
      <c r="J103" s="2258"/>
      <c r="K103" s="2241"/>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0862" customFormat="1" customHeight="1" ht="17.25" hidden="1">
      <c r="A104" s="604"/>
      <c r="C104" s="603"/>
      <c r="D104" s="2244"/>
      <c r="E104" s="2246"/>
      <c r="F104" s="2249"/>
      <c r="G104" s="2251"/>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0862" customFormat="1" customHeight="1" ht="11.25" hidden="1">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0862" customFormat="1" customHeight="1" ht="17.25" hidden="1">
      <c r="A106" s="604"/>
      <c r="C106" s="482"/>
      <c r="D106" s="2243">
        <v>1</v>
      </c>
      <c r="E106" s="2245" t="s">
        <v>255</v>
      </c>
      <c r="F106" s="2247" t="s">
        <v>56</v>
      </c>
      <c r="G106" s="2250"/>
      <c r="H106" s="2252"/>
      <c r="I106" s="2254"/>
      <c r="J106" s="2256"/>
      <c r="K106" s="2240"/>
      <c r="L106" s="2235"/>
      <c r="M106" s="2235"/>
      <c r="N106" s="2237"/>
      <c r="O106" s="2240"/>
      <c r="P106" s="2235"/>
      <c r="Q106" s="2235"/>
      <c r="R106" s="2242"/>
      <c r="S106" s="2240"/>
      <c r="T106" s="1832"/>
      <c r="U106" s="1832"/>
      <c r="V106" s="1834"/>
      <c r="W106" s="1654"/>
      <c r="Y106" s="1621"/>
      <c r="Z106" s="1621"/>
      <c r="AA106" s="1621"/>
      <c r="AB106" s="1621"/>
      <c r="AC106" s="1703" t="s">
        <v>256</v>
      </c>
      <c r="AD106" s="1703" t="s">
        <v>257</v>
      </c>
      <c r="AE106" s="1703" t="s">
        <v>258</v>
      </c>
      <c r="AF106" s="1703" t="s">
        <v>259</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0862" customFormat="1" customHeight="1" ht="17.25" hidden="1">
      <c r="A107" s="604"/>
      <c r="C107" s="603"/>
      <c r="D107" s="2243"/>
      <c r="E107" s="2245"/>
      <c r="F107" s="2248"/>
      <c r="G107" s="2250"/>
      <c r="H107" s="2253"/>
      <c r="I107" s="2255"/>
      <c r="J107" s="2257"/>
      <c r="K107" s="2241"/>
      <c r="L107" s="2236"/>
      <c r="M107" s="2236"/>
      <c r="N107" s="2238"/>
      <c r="O107" s="2241"/>
      <c r="P107" s="2236"/>
      <c r="Q107" s="2236"/>
      <c r="R107" s="2239"/>
      <c r="S107" s="2241"/>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0862" customFormat="1" customHeight="1" ht="17.25" hidden="1">
      <c r="A108" s="604"/>
      <c r="C108" s="482"/>
      <c r="D108" s="2243"/>
      <c r="E108" s="2245"/>
      <c r="F108" s="2248"/>
      <c r="G108" s="2250"/>
      <c r="H108" s="2253"/>
      <c r="I108" s="2255"/>
      <c r="J108" s="2258"/>
      <c r="K108" s="2241"/>
      <c r="L108" s="2236"/>
      <c r="M108" s="2236"/>
      <c r="N108" s="2239"/>
      <c r="O108" s="2241"/>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0862" customFormat="1" customHeight="1" ht="17.25" hidden="1">
      <c r="A109" s="604"/>
      <c r="C109" s="603"/>
      <c r="D109" s="2243"/>
      <c r="E109" s="2245"/>
      <c r="F109" s="2248"/>
      <c r="G109" s="2250"/>
      <c r="H109" s="2253"/>
      <c r="I109" s="2255"/>
      <c r="J109" s="2258"/>
      <c r="K109" s="2241"/>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0862" customFormat="1" customHeight="1" ht="17.25" hidden="1">
      <c r="A110" s="604"/>
      <c r="C110" s="603"/>
      <c r="D110" s="2244"/>
      <c r="E110" s="2246"/>
      <c r="F110" s="2249"/>
      <c r="G110" s="2251"/>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0862" customFormat="1" customHeight="1" ht="17.25" hidden="1">
      <c r="A111" s="604"/>
      <c r="C111" s="482"/>
      <c r="D111" s="2243">
        <v>2</v>
      </c>
      <c r="E111" s="2245" t="s">
        <v>260</v>
      </c>
      <c r="F111" s="2247" t="s">
        <v>56</v>
      </c>
      <c r="G111" s="2250"/>
      <c r="H111" s="2252"/>
      <c r="I111" s="2254"/>
      <c r="J111" s="2256"/>
      <c r="K111" s="2240"/>
      <c r="L111" s="2235"/>
      <c r="M111" s="2235"/>
      <c r="N111" s="2237"/>
      <c r="O111" s="2240"/>
      <c r="P111" s="2235"/>
      <c r="Q111" s="2235"/>
      <c r="R111" s="2242"/>
      <c r="S111" s="2240"/>
      <c r="T111" s="1832"/>
      <c r="U111" s="1832"/>
      <c r="V111" s="1834"/>
      <c r="W111" s="1654"/>
      <c r="X111" s="1621"/>
      <c r="Y111" s="1621"/>
      <c r="Z111" s="1621"/>
      <c r="AA111" s="1621"/>
      <c r="AB111" s="1621"/>
      <c r="AC111" s="1703" t="s">
        <v>261</v>
      </c>
      <c r="AD111" s="1703" t="s">
        <v>262</v>
      </c>
      <c r="AE111" s="1703" t="s">
        <v>263</v>
      </c>
      <c r="AF111" s="1703" t="s">
        <v>264</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0862" customFormat="1" customHeight="1" ht="17.25" hidden="1">
      <c r="A112" s="604"/>
      <c r="C112" s="603"/>
      <c r="D112" s="2243"/>
      <c r="E112" s="2245"/>
      <c r="F112" s="2248"/>
      <c r="G112" s="2250"/>
      <c r="H112" s="2253"/>
      <c r="I112" s="2255"/>
      <c r="J112" s="2257"/>
      <c r="K112" s="2241"/>
      <c r="L112" s="2236"/>
      <c r="M112" s="2236"/>
      <c r="N112" s="2238"/>
      <c r="O112" s="2241"/>
      <c r="P112" s="2236"/>
      <c r="Q112" s="2236"/>
      <c r="R112" s="2239"/>
      <c r="S112" s="2241"/>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0862" customFormat="1" customHeight="1" ht="17.25" hidden="1">
      <c r="A113" s="604"/>
      <c r="C113" s="603"/>
      <c r="D113" s="2244"/>
      <c r="E113" s="2246"/>
      <c r="F113" s="2248"/>
      <c r="G113" s="2251"/>
      <c r="H113" s="2253"/>
      <c r="I113" s="2255"/>
      <c r="J113" s="2258"/>
      <c r="K113" s="2241"/>
      <c r="L113" s="2236"/>
      <c r="M113" s="2236"/>
      <c r="N113" s="2239"/>
      <c r="O113" s="2241"/>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0862" customFormat="1" customHeight="1" ht="17.25" hidden="1">
      <c r="A114" s="604"/>
      <c r="C114" s="603"/>
      <c r="D114" s="2244"/>
      <c r="E114" s="2246"/>
      <c r="F114" s="2248"/>
      <c r="G114" s="2251"/>
      <c r="H114" s="2253"/>
      <c r="I114" s="2255"/>
      <c r="J114" s="2258"/>
      <c r="K114" s="2241"/>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0862" customFormat="1" customHeight="1" ht="17.25" hidden="1">
      <c r="A115" s="604"/>
      <c r="C115" s="603"/>
      <c r="D115" s="2244"/>
      <c r="E115" s="2246"/>
      <c r="F115" s="2249"/>
      <c r="G115" s="2251"/>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0862" customFormat="1" customHeight="1" ht="17.25" hidden="1">
      <c r="A116" s="604"/>
      <c r="C116" s="482"/>
      <c r="D116" s="2243">
        <v>3</v>
      </c>
      <c r="E116" s="2245" t="s">
        <v>265</v>
      </c>
      <c r="F116" s="2247" t="s">
        <v>56</v>
      </c>
      <c r="G116" s="2250"/>
      <c r="H116" s="2252"/>
      <c r="I116" s="2254"/>
      <c r="J116" s="2256"/>
      <c r="K116" s="2240"/>
      <c r="L116" s="2235"/>
      <c r="M116" s="2235"/>
      <c r="N116" s="2237"/>
      <c r="O116" s="2240"/>
      <c r="P116" s="2235"/>
      <c r="Q116" s="2235"/>
      <c r="R116" s="2242"/>
      <c r="S116" s="2240"/>
      <c r="T116" s="1832"/>
      <c r="U116" s="1832"/>
      <c r="V116" s="1834"/>
      <c r="W116" s="1654"/>
      <c r="X116" s="1621"/>
      <c r="Y116" s="1621"/>
      <c r="Z116" s="1621"/>
      <c r="AA116" s="1621"/>
      <c r="AB116" s="1621"/>
      <c r="AC116" s="1703" t="s">
        <v>266</v>
      </c>
      <c r="AD116" s="1703" t="s">
        <v>267</v>
      </c>
      <c r="AE116" s="1703" t="s">
        <v>268</v>
      </c>
      <c r="AF116" s="1703" t="s">
        <v>269</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0862" customFormat="1" customHeight="1" ht="17.25" hidden="1">
      <c r="A117" s="604"/>
      <c r="C117" s="603"/>
      <c r="D117" s="2243"/>
      <c r="E117" s="2245"/>
      <c r="F117" s="2248"/>
      <c r="G117" s="2250"/>
      <c r="H117" s="2253"/>
      <c r="I117" s="2255"/>
      <c r="J117" s="2257"/>
      <c r="K117" s="2241"/>
      <c r="L117" s="2236"/>
      <c r="M117" s="2236"/>
      <c r="N117" s="2238"/>
      <c r="O117" s="2241"/>
      <c r="P117" s="2236"/>
      <c r="Q117" s="2236"/>
      <c r="R117" s="2239"/>
      <c r="S117" s="2241"/>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0862" customFormat="1" customHeight="1" ht="17.25" hidden="1">
      <c r="A118" s="604"/>
      <c r="C118" s="603"/>
      <c r="D118" s="2244"/>
      <c r="E118" s="2246"/>
      <c r="F118" s="2248"/>
      <c r="G118" s="2251"/>
      <c r="H118" s="2253"/>
      <c r="I118" s="2255"/>
      <c r="J118" s="2258"/>
      <c r="K118" s="2241"/>
      <c r="L118" s="2236"/>
      <c r="M118" s="2236"/>
      <c r="N118" s="2239"/>
      <c r="O118" s="2241"/>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0862" customFormat="1" customHeight="1" ht="17.25" hidden="1">
      <c r="A119" s="604"/>
      <c r="C119" s="603"/>
      <c r="D119" s="2244"/>
      <c r="E119" s="2246"/>
      <c r="F119" s="2248"/>
      <c r="G119" s="2251"/>
      <c r="H119" s="2253"/>
      <c r="I119" s="2255"/>
      <c r="J119" s="2258"/>
      <c r="K119" s="2241"/>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0862" customFormat="1" customHeight="1" ht="17.25" hidden="1">
      <c r="A120" s="604"/>
      <c r="C120" s="603"/>
      <c r="D120" s="2244"/>
      <c r="E120" s="2246"/>
      <c r="F120" s="2249"/>
      <c r="G120" s="2251"/>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customHeight="1" ht="11.25" hidden="1"/>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8E17C-D1EB-47E4-3721-E4F71511A2B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0950" width="9.140625" hidden="1"/>
    <col min="3" max="4" style="10950" width="3.7109375" customWidth="1"/>
    <col min="5" max="6" style="10950" width="16.00390625" customWidth="1"/>
    <col min="7" max="7" style="10950" width="11.57421875" customWidth="1"/>
    <col min="8" max="9" style="10950" width="3.7109375" customWidth="1"/>
    <col min="10" max="10" style="10950" width="13.140625" customWidth="1"/>
    <col min="11" max="11" style="10950" width="0.28125" customWidth="1"/>
    <col min="12" max="13" style="10950" width="10.7109375" customWidth="1"/>
    <col min="14" max="15" style="10950" width="3.7109375" customWidth="1"/>
    <col min="16" max="16" style="10950" width="19.7109375" customWidth="1"/>
    <col min="17" max="17" style="10950" width="0.28125" customWidth="1"/>
    <col min="18" max="19" style="10950" width="10.7109375" customWidth="1"/>
    <col min="20" max="21" style="10950" width="3.7109375" customWidth="1"/>
    <col min="22" max="22" style="10950" width="25.7109375" customWidth="1"/>
    <col min="23" max="23" style="10950" width="0.28125" customWidth="1"/>
    <col min="24" max="25" style="10950" width="10.7109375" customWidth="1"/>
    <col min="26" max="27" style="10950" width="3.7109375" customWidth="1"/>
    <col min="28" max="28" style="10950" width="16.421875" customWidth="1"/>
    <col min="29" max="29" style="10950" width="0.28125" customWidth="1"/>
    <col min="30" max="31" style="10950" width="10.7109375" customWidth="1"/>
    <col min="32" max="33" style="10950" width="3.7109375" customWidth="1"/>
    <col min="34" max="34" style="10950" width="8.7109375" customWidth="1"/>
    <col min="35" max="35" style="10950" width="21.7109375" customWidth="1"/>
    <col min="36" max="36" style="10629" width="9.140625"/>
    <col min="37" max="37" style="10951" width="9.140625"/>
    <col min="38" max="64" style="10629" width="9.140625"/>
  </cols>
  <sheetData>
    <row s="10868"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0869" customFormat="1" customHeight="1" ht="11.25" hidden="1">
      <c r="L2" s="1929" t="s">
        <v>270</v>
      </c>
      <c r="M2" s="1929" t="s">
        <v>271</v>
      </c>
      <c r="R2" s="1929" t="s">
        <v>272</v>
      </c>
      <c r="S2" s="1929" t="s">
        <v>271</v>
      </c>
      <c r="X2" s="1929" t="s">
        <v>270</v>
      </c>
      <c r="Y2" s="1929" t="s">
        <v>271</v>
      </c>
      <c r="AD2" s="1929" t="s">
        <v>270</v>
      </c>
      <c r="AE2" s="1929" t="s">
        <v>271</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0872"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620" customFormat="1" customHeight="1" ht="33">
      <c r="A4" s="1482"/>
      <c r="B4" s="1481"/>
      <c r="C4" s="1880"/>
      <c r="D4" s="2303" t="s">
        <v>273</v>
      </c>
      <c r="E4" s="2303"/>
      <c r="F4" s="2303"/>
      <c r="G4" s="2303"/>
      <c r="H4" s="2303"/>
      <c r="I4" s="2303"/>
      <c r="J4" s="2303"/>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0883" customFormat="1" customHeight="1" ht="14.25">
      <c r="A5" s="2010"/>
      <c r="B5" s="2009"/>
      <c r="C5" s="1880"/>
      <c r="D5" s="22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3"/>
      <c r="F5" s="2283"/>
      <c r="G5" s="2283"/>
      <c r="H5" s="2283"/>
      <c r="I5" s="2283"/>
      <c r="J5" s="228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620"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0868"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7" t="s">
        <v>88</v>
      </c>
      <c r="E8" s="2227" t="s">
        <v>105</v>
      </c>
      <c r="F8" s="2304" t="s">
        <v>122</v>
      </c>
      <c r="G8" s="2305"/>
      <c r="H8" s="2304" t="s">
        <v>88</v>
      </c>
      <c r="I8" s="2305"/>
      <c r="J8" s="2227" t="s">
        <v>123</v>
      </c>
      <c r="K8" s="1932"/>
      <c r="L8" s="2308" t="s">
        <v>274</v>
      </c>
      <c r="M8" s="2308"/>
      <c r="N8" s="2308"/>
      <c r="O8" s="2308"/>
      <c r="P8" s="2308"/>
      <c r="Q8" s="1933"/>
      <c r="R8" s="2309" t="s">
        <v>275</v>
      </c>
      <c r="S8" s="2310"/>
      <c r="T8" s="2310"/>
      <c r="U8" s="2310"/>
      <c r="V8" s="2310"/>
      <c r="W8" s="1933"/>
      <c r="X8" s="2311" t="s">
        <v>276</v>
      </c>
      <c r="Y8" s="2311"/>
      <c r="Z8" s="2311"/>
      <c r="AA8" s="2311"/>
      <c r="AB8" s="2311"/>
      <c r="AC8" s="1934"/>
      <c r="AD8" s="2227" t="s">
        <v>277</v>
      </c>
      <c r="AE8" s="2227"/>
      <c r="AF8" s="2227"/>
      <c r="AG8" s="2227"/>
      <c r="AH8" s="2268"/>
      <c r="AI8" s="2227" t="s">
        <v>278</v>
      </c>
      <c r="AJ8" s="1951"/>
    </row>
    <row customHeight="1" ht="22.5">
      <c r="D9" s="2227"/>
      <c r="E9" s="2227"/>
      <c r="F9" s="2282" t="s">
        <v>89</v>
      </c>
      <c r="G9" s="2282" t="s">
        <v>128</v>
      </c>
      <c r="H9" s="2306"/>
      <c r="I9" s="2307"/>
      <c r="J9" s="2268"/>
      <c r="K9" s="1935"/>
      <c r="L9" s="2227" t="s">
        <v>279</v>
      </c>
      <c r="M9" s="2268"/>
      <c r="N9" s="2304" t="s">
        <v>88</v>
      </c>
      <c r="O9" s="2305"/>
      <c r="P9" s="2227" t="s">
        <v>129</v>
      </c>
      <c r="Q9" s="1932"/>
      <c r="R9" s="2227" t="s">
        <v>279</v>
      </c>
      <c r="S9" s="2268"/>
      <c r="T9" s="2304" t="s">
        <v>88</v>
      </c>
      <c r="U9" s="2305"/>
      <c r="V9" s="2227" t="s">
        <v>129</v>
      </c>
      <c r="W9" s="1932"/>
      <c r="X9" s="2227" t="s">
        <v>279</v>
      </c>
      <c r="Y9" s="2268"/>
      <c r="Z9" s="2304" t="s">
        <v>88</v>
      </c>
      <c r="AA9" s="2305"/>
      <c r="AB9" s="2227" t="s">
        <v>280</v>
      </c>
      <c r="AC9" s="1932"/>
      <c r="AD9" s="2227" t="s">
        <v>279</v>
      </c>
      <c r="AE9" s="2268"/>
      <c r="AF9" s="2304" t="s">
        <v>88</v>
      </c>
      <c r="AG9" s="2305"/>
      <c r="AH9" s="2268" t="s">
        <v>280</v>
      </c>
      <c r="AI9" s="2227"/>
      <c r="AJ9" s="1951"/>
    </row>
    <row customHeight="1" ht="22.5">
      <c r="D10" s="2282"/>
      <c r="E10" s="2282"/>
      <c r="F10" s="2312"/>
      <c r="G10" s="2312"/>
      <c r="H10" s="2313"/>
      <c r="I10" s="2314"/>
      <c r="J10" s="2304"/>
      <c r="K10" s="1935"/>
      <c r="L10" s="1955" t="s">
        <v>281</v>
      </c>
      <c r="M10" s="1950" t="s">
        <v>282</v>
      </c>
      <c r="N10" s="2306"/>
      <c r="O10" s="2307"/>
      <c r="P10" s="2282"/>
      <c r="Q10" s="1932"/>
      <c r="R10" s="1955" t="s">
        <v>281</v>
      </c>
      <c r="S10" s="1950" t="s">
        <v>282</v>
      </c>
      <c r="T10" s="2306"/>
      <c r="U10" s="2307"/>
      <c r="V10" s="2282"/>
      <c r="W10" s="1932"/>
      <c r="X10" s="1955" t="s">
        <v>281</v>
      </c>
      <c r="Y10" s="1950" t="s">
        <v>282</v>
      </c>
      <c r="Z10" s="2306"/>
      <c r="AA10" s="2307"/>
      <c r="AB10" s="2282"/>
      <c r="AC10" s="1932"/>
      <c r="AD10" s="1955" t="s">
        <v>281</v>
      </c>
      <c r="AE10" s="1950" t="s">
        <v>282</v>
      </c>
      <c r="AF10" s="2306"/>
      <c r="AG10" s="2307"/>
      <c r="AH10" s="2304"/>
      <c r="AI10" s="2282"/>
      <c r="AJ10" s="1951"/>
      <c r="AK10" s="527" t="s">
        <v>283</v>
      </c>
      <c r="AL10" s="527" t="s">
        <v>130</v>
      </c>
    </row>
    <row customHeight="1" ht="14.25">
      <c r="D11" s="2294" t="s">
        <v>99</v>
      </c>
      <c r="E11" s="2295" t="s">
        <v>284</v>
      </c>
      <c r="F11" s="2288" t="s">
        <v>285</v>
      </c>
      <c r="G11" s="2297" t="s">
        <v>56</v>
      </c>
      <c r="H11" s="1976"/>
      <c r="I11" s="2290"/>
      <c r="J11" s="2256"/>
      <c r="K11" s="1877"/>
      <c r="L11" s="2240"/>
      <c r="M11" s="2240"/>
      <c r="N11" s="1961"/>
      <c r="O11" s="2235"/>
      <c r="P11" s="2292"/>
      <c r="Q11" s="1962"/>
      <c r="R11" s="2235"/>
      <c r="S11" s="2235"/>
      <c r="T11" s="1963"/>
      <c r="U11" s="2235"/>
      <c r="V11" s="2286"/>
      <c r="W11" s="1964"/>
      <c r="X11" s="2240"/>
      <c r="Y11" s="2240"/>
      <c r="Z11" s="1961"/>
      <c r="AA11" s="2235"/>
      <c r="AB11" s="2286"/>
      <c r="AC11" s="1965"/>
      <c r="AD11" s="2240"/>
      <c r="AE11" s="2240"/>
      <c r="AF11" s="1876"/>
      <c r="AG11" s="1876"/>
      <c r="AH11" s="1966"/>
      <c r="AI11" s="1654"/>
      <c r="AJ11" s="1951"/>
    </row>
    <row customHeight="1" ht="14.25">
      <c r="D12" s="2294"/>
      <c r="E12" s="2295"/>
      <c r="F12" s="2288"/>
      <c r="G12" s="2298"/>
      <c r="H12" s="1977"/>
      <c r="I12" s="2291"/>
      <c r="J12" s="2257"/>
      <c r="K12" s="1988"/>
      <c r="L12" s="2241"/>
      <c r="M12" s="2241"/>
      <c r="N12" s="1967"/>
      <c r="O12" s="2236"/>
      <c r="P12" s="2293"/>
      <c r="Q12" s="1968"/>
      <c r="R12" s="2236"/>
      <c r="S12" s="2236"/>
      <c r="T12" s="1969"/>
      <c r="U12" s="2236"/>
      <c r="V12" s="2287"/>
      <c r="W12" s="1970"/>
      <c r="X12" s="2241"/>
      <c r="Y12" s="2241"/>
      <c r="Z12" s="1967"/>
      <c r="AA12" s="2236"/>
      <c r="AB12" s="2287"/>
      <c r="AC12" s="1971"/>
      <c r="AD12" s="2241"/>
      <c r="AE12" s="2241"/>
      <c r="AF12" s="1972"/>
      <c r="AG12" s="1972"/>
      <c r="AH12" s="2284"/>
      <c r="AI12" s="2285"/>
      <c r="AJ12" s="1951"/>
    </row>
    <row customHeight="1" ht="14.25">
      <c r="D13" s="2294"/>
      <c r="E13" s="2295"/>
      <c r="F13" s="2288"/>
      <c r="G13" s="2298"/>
      <c r="H13" s="1977"/>
      <c r="I13" s="2291"/>
      <c r="J13" s="2257"/>
      <c r="K13" s="1988"/>
      <c r="L13" s="2241"/>
      <c r="M13" s="2241"/>
      <c r="N13" s="1967"/>
      <c r="O13" s="2236"/>
      <c r="P13" s="2293"/>
      <c r="Q13" s="1968"/>
      <c r="R13" s="2236"/>
      <c r="S13" s="2236"/>
      <c r="T13" s="1969"/>
      <c r="U13" s="2236"/>
      <c r="V13" s="2287"/>
      <c r="W13" s="1970"/>
      <c r="X13" s="2241"/>
      <c r="Y13" s="2241"/>
      <c r="Z13" s="1875"/>
      <c r="AA13" s="1972"/>
      <c r="AB13" s="2284"/>
      <c r="AC13" s="2284"/>
      <c r="AD13" s="2284"/>
      <c r="AE13" s="2284"/>
      <c r="AF13" s="2284"/>
      <c r="AG13" s="2284"/>
      <c r="AH13" s="2284"/>
      <c r="AI13" s="2285"/>
      <c r="AJ13" s="1951"/>
    </row>
    <row customHeight="1" ht="14.25">
      <c r="D14" s="2294"/>
      <c r="E14" s="2295"/>
      <c r="F14" s="2288"/>
      <c r="G14" s="2298"/>
      <c r="H14" s="1977"/>
      <c r="I14" s="2291"/>
      <c r="J14" s="2257"/>
      <c r="K14" s="1988"/>
      <c r="L14" s="2241"/>
      <c r="M14" s="2241"/>
      <c r="N14" s="1967"/>
      <c r="O14" s="2236"/>
      <c r="P14" s="2293"/>
      <c r="Q14" s="1968"/>
      <c r="R14" s="2236"/>
      <c r="S14" s="2236"/>
      <c r="T14" s="1973"/>
      <c r="U14" s="1974"/>
      <c r="V14" s="2284"/>
      <c r="W14" s="2284"/>
      <c r="X14" s="2284"/>
      <c r="Y14" s="2284"/>
      <c r="Z14" s="2284"/>
      <c r="AA14" s="2284"/>
      <c r="AB14" s="2284"/>
      <c r="AC14" s="2284"/>
      <c r="AD14" s="2284"/>
      <c r="AE14" s="2284"/>
      <c r="AF14" s="2284"/>
      <c r="AG14" s="2284"/>
      <c r="AH14" s="2284"/>
      <c r="AI14" s="2285"/>
      <c r="AJ14" s="1951"/>
    </row>
    <row customHeight="1" ht="11.25">
      <c r="D15" s="2294"/>
      <c r="E15" s="2295"/>
      <c r="F15" s="2288"/>
      <c r="G15" s="2298"/>
      <c r="H15" s="1978"/>
      <c r="I15" s="2291"/>
      <c r="J15" s="2257"/>
      <c r="K15" s="1988"/>
      <c r="L15" s="2241"/>
      <c r="M15" s="2241"/>
      <c r="N15" s="1972"/>
      <c r="O15" s="1972"/>
      <c r="P15" s="2284"/>
      <c r="Q15" s="2284"/>
      <c r="R15" s="2284"/>
      <c r="S15" s="2284"/>
      <c r="T15" s="2284"/>
      <c r="U15" s="2284"/>
      <c r="V15" s="2284"/>
      <c r="W15" s="2284"/>
      <c r="X15" s="2284"/>
      <c r="Y15" s="2284"/>
      <c r="Z15" s="2284"/>
      <c r="AA15" s="2284"/>
      <c r="AB15" s="2284"/>
      <c r="AC15" s="2284"/>
      <c r="AD15" s="2284"/>
      <c r="AE15" s="2284"/>
      <c r="AF15" s="2284"/>
      <c r="AG15" s="2284"/>
      <c r="AH15" s="2284"/>
      <c r="AI15" s="2285"/>
      <c r="AJ15" s="1951"/>
    </row>
    <row s="10872" customFormat="1" customHeight="1" ht="11.25">
      <c r="D16" s="2301"/>
      <c r="E16" s="2302"/>
      <c r="F16" s="2289"/>
      <c r="G16" s="2212"/>
      <c r="H16" s="1975"/>
      <c r="I16" s="197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300"/>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109</v>
      </c>
      <c r="E17" s="2295" t="s">
        <v>284</v>
      </c>
      <c r="F17" s="2288" t="s">
        <v>286</v>
      </c>
      <c r="G17" s="2297" t="s">
        <v>56</v>
      </c>
      <c r="H17" s="1976"/>
      <c r="I17" s="2290"/>
      <c r="J17" s="2256"/>
      <c r="K17" s="1877"/>
      <c r="L17" s="2240"/>
      <c r="M17" s="2240"/>
      <c r="N17" s="1961"/>
      <c r="O17" s="2235"/>
      <c r="P17" s="2292"/>
      <c r="Q17" s="1962"/>
      <c r="R17" s="2235"/>
      <c r="S17" s="2235"/>
      <c r="T17" s="1963"/>
      <c r="U17" s="2235"/>
      <c r="V17" s="2286"/>
      <c r="W17" s="1964"/>
      <c r="X17" s="2240"/>
      <c r="Y17" s="2240"/>
      <c r="Z17" s="1961"/>
      <c r="AA17" s="2235"/>
      <c r="AB17" s="2286"/>
      <c r="AC17" s="1965"/>
      <c r="AD17" s="2240"/>
      <c r="AE17" s="2240"/>
      <c r="AF17" s="1876"/>
      <c r="AG17" s="1876"/>
      <c r="AH17" s="1966"/>
      <c r="AI17" s="1654"/>
      <c r="AJ17" s="1951"/>
    </row>
    <row customHeight="1" ht="14.25">
      <c r="D18" s="2294"/>
      <c r="E18" s="2295"/>
      <c r="F18" s="2288"/>
      <c r="G18" s="2298"/>
      <c r="H18" s="1977"/>
      <c r="I18" s="2291"/>
      <c r="J18" s="2257"/>
      <c r="K18" s="1960"/>
      <c r="L18" s="2241"/>
      <c r="M18" s="2241"/>
      <c r="N18" s="1967"/>
      <c r="O18" s="2236"/>
      <c r="P18" s="2293"/>
      <c r="Q18" s="1968"/>
      <c r="R18" s="2236"/>
      <c r="S18" s="2236"/>
      <c r="T18" s="1969"/>
      <c r="U18" s="2236"/>
      <c r="V18" s="2287"/>
      <c r="W18" s="1970"/>
      <c r="X18" s="2241"/>
      <c r="Y18" s="2241"/>
      <c r="Z18" s="1967"/>
      <c r="AA18" s="2236"/>
      <c r="AB18" s="2287"/>
      <c r="AC18" s="1971"/>
      <c r="AD18" s="2241"/>
      <c r="AE18" s="2241"/>
      <c r="AF18" s="1972"/>
      <c r="AG18" s="1972"/>
      <c r="AH18" s="2284"/>
      <c r="AI18" s="2285"/>
      <c r="AJ18" s="1951"/>
    </row>
    <row customHeight="1" ht="14.25">
      <c r="D19" s="2294"/>
      <c r="E19" s="2295"/>
      <c r="F19" s="2288"/>
      <c r="G19" s="2298"/>
      <c r="H19" s="1977"/>
      <c r="I19" s="2291"/>
      <c r="J19" s="2257"/>
      <c r="K19" s="1960"/>
      <c r="L19" s="2241"/>
      <c r="M19" s="2241"/>
      <c r="N19" s="1967"/>
      <c r="O19" s="2236"/>
      <c r="P19" s="2293"/>
      <c r="Q19" s="1968"/>
      <c r="R19" s="2236"/>
      <c r="S19" s="2236"/>
      <c r="T19" s="1969"/>
      <c r="U19" s="2236"/>
      <c r="V19" s="2287"/>
      <c r="W19" s="1970"/>
      <c r="X19" s="2241"/>
      <c r="Y19" s="2241"/>
      <c r="Z19" s="1875"/>
      <c r="AA19" s="1972"/>
      <c r="AB19" s="2284"/>
      <c r="AC19" s="2284"/>
      <c r="AD19" s="2284"/>
      <c r="AE19" s="2284"/>
      <c r="AF19" s="2284"/>
      <c r="AG19" s="2284"/>
      <c r="AH19" s="2284"/>
      <c r="AI19" s="2285"/>
      <c r="AJ19" s="1951"/>
    </row>
    <row customHeight="1" ht="14.25">
      <c r="D20" s="2294"/>
      <c r="E20" s="2295"/>
      <c r="F20" s="2288"/>
      <c r="G20" s="2298"/>
      <c r="H20" s="1977"/>
      <c r="I20" s="2291"/>
      <c r="J20" s="2257"/>
      <c r="K20" s="1960"/>
      <c r="L20" s="2241"/>
      <c r="M20" s="2241"/>
      <c r="N20" s="1967"/>
      <c r="O20" s="2236"/>
      <c r="P20" s="2293"/>
      <c r="Q20" s="1968"/>
      <c r="R20" s="2236"/>
      <c r="S20" s="2236"/>
      <c r="T20" s="1973"/>
      <c r="U20" s="1974"/>
      <c r="V20" s="2284"/>
      <c r="W20" s="2284"/>
      <c r="X20" s="2284"/>
      <c r="Y20" s="2284"/>
      <c r="Z20" s="2284"/>
      <c r="AA20" s="2284"/>
      <c r="AB20" s="2284"/>
      <c r="AC20" s="2284"/>
      <c r="AD20" s="2284"/>
      <c r="AE20" s="2284"/>
      <c r="AF20" s="2284"/>
      <c r="AG20" s="2284"/>
      <c r="AH20" s="2284"/>
      <c r="AI20" s="2285"/>
      <c r="AJ20" s="1951"/>
    </row>
    <row customHeight="1" ht="11.25">
      <c r="D21" s="2294"/>
      <c r="E21" s="2295"/>
      <c r="F21" s="2288"/>
      <c r="G21" s="2298"/>
      <c r="H21" s="1978"/>
      <c r="I21" s="2291"/>
      <c r="J21" s="2257"/>
      <c r="K21" s="1960"/>
      <c r="L21" s="2241"/>
      <c r="M21" s="2241"/>
      <c r="N21" s="1972"/>
      <c r="O21" s="1972"/>
      <c r="P21" s="2284"/>
      <c r="Q21" s="2284"/>
      <c r="R21" s="2284"/>
      <c r="S21" s="2284"/>
      <c r="T21" s="2284"/>
      <c r="U21" s="2284"/>
      <c r="V21" s="2284"/>
      <c r="W21" s="2284"/>
      <c r="X21" s="2284"/>
      <c r="Y21" s="2284"/>
      <c r="Z21" s="2284"/>
      <c r="AA21" s="2284"/>
      <c r="AB21" s="2284"/>
      <c r="AC21" s="2284"/>
      <c r="AD21" s="2284"/>
      <c r="AE21" s="2284"/>
      <c r="AF21" s="2284"/>
      <c r="AG21" s="2284"/>
      <c r="AH21" s="2284"/>
      <c r="AI21" s="2285"/>
      <c r="AJ21" s="1951"/>
    </row>
    <row s="10872" customFormat="1" customHeight="1" ht="11.25">
      <c r="D22" s="2301"/>
      <c r="E22" s="2302"/>
      <c r="F22" s="2289"/>
      <c r="G22" s="2212"/>
      <c r="H22" s="1975"/>
      <c r="I22" s="1979"/>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2299"/>
      <c r="AI22" s="2300"/>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90</v>
      </c>
      <c r="E23" s="2295" t="s">
        <v>284</v>
      </c>
      <c r="F23" s="2288" t="s">
        <v>287</v>
      </c>
      <c r="G23" s="2297" t="s">
        <v>56</v>
      </c>
      <c r="H23" s="1976"/>
      <c r="I23" s="2290"/>
      <c r="J23" s="2256"/>
      <c r="K23" s="1877"/>
      <c r="L23" s="2240"/>
      <c r="M23" s="2240"/>
      <c r="N23" s="1961"/>
      <c r="O23" s="2235"/>
      <c r="P23" s="2292"/>
      <c r="Q23" s="1962"/>
      <c r="R23" s="2235"/>
      <c r="S23" s="2235"/>
      <c r="T23" s="1963"/>
      <c r="U23" s="2235"/>
      <c r="V23" s="2286"/>
      <c r="W23" s="1964"/>
      <c r="X23" s="2240"/>
      <c r="Y23" s="2240"/>
      <c r="Z23" s="1961"/>
      <c r="AA23" s="2235"/>
      <c r="AB23" s="2286"/>
      <c r="AC23" s="1965"/>
      <c r="AD23" s="2240"/>
      <c r="AE23" s="2240"/>
      <c r="AF23" s="1876"/>
      <c r="AG23" s="1876"/>
      <c r="AH23" s="1966"/>
      <c r="AI23" s="1654"/>
      <c r="AJ23" s="1951"/>
      <c r="AK23" s="582" t="s">
        <v>98</v>
      </c>
    </row>
    <row customHeight="1" ht="14.25">
      <c r="D24" s="2294"/>
      <c r="E24" s="2295"/>
      <c r="F24" s="2288"/>
      <c r="G24" s="2298"/>
      <c r="H24" s="1977"/>
      <c r="I24" s="2291"/>
      <c r="J24" s="2257"/>
      <c r="K24" s="1988"/>
      <c r="L24" s="2241"/>
      <c r="M24" s="2241"/>
      <c r="N24" s="1967"/>
      <c r="O24" s="2236"/>
      <c r="P24" s="2293"/>
      <c r="Q24" s="1968"/>
      <c r="R24" s="2236"/>
      <c r="S24" s="2236"/>
      <c r="T24" s="1969"/>
      <c r="U24" s="2236"/>
      <c r="V24" s="2287"/>
      <c r="W24" s="1970"/>
      <c r="X24" s="2241"/>
      <c r="Y24" s="2241"/>
      <c r="Z24" s="1967"/>
      <c r="AA24" s="2236"/>
      <c r="AB24" s="2287"/>
      <c r="AC24" s="1971"/>
      <c r="AD24" s="2241"/>
      <c r="AE24" s="2241"/>
      <c r="AF24" s="1972"/>
      <c r="AG24" s="1972"/>
      <c r="AH24" s="2284"/>
      <c r="AI24" s="2285"/>
      <c r="AJ24" s="1951"/>
    </row>
    <row customHeight="1" ht="14.25">
      <c r="D25" s="2294"/>
      <c r="E25" s="2295"/>
      <c r="F25" s="2288"/>
      <c r="G25" s="2298"/>
      <c r="H25" s="1977"/>
      <c r="I25" s="2291"/>
      <c r="J25" s="2257"/>
      <c r="K25" s="1988"/>
      <c r="L25" s="2241"/>
      <c r="M25" s="2241"/>
      <c r="N25" s="1967"/>
      <c r="O25" s="2236"/>
      <c r="P25" s="2293"/>
      <c r="Q25" s="1968"/>
      <c r="R25" s="2236"/>
      <c r="S25" s="2236"/>
      <c r="T25" s="1969"/>
      <c r="U25" s="2236"/>
      <c r="V25" s="2287"/>
      <c r="W25" s="1970"/>
      <c r="X25" s="2241"/>
      <c r="Y25" s="2241"/>
      <c r="Z25" s="1875"/>
      <c r="AA25" s="1972"/>
      <c r="AB25" s="2284"/>
      <c r="AC25" s="2284"/>
      <c r="AD25" s="2284"/>
      <c r="AE25" s="2284"/>
      <c r="AF25" s="2284"/>
      <c r="AG25" s="2284"/>
      <c r="AH25" s="2284"/>
      <c r="AI25" s="2285"/>
      <c r="AJ25" s="1951"/>
    </row>
    <row customHeight="1" ht="14.25">
      <c r="D26" s="2294"/>
      <c r="E26" s="2295"/>
      <c r="F26" s="2288"/>
      <c r="G26" s="2298"/>
      <c r="H26" s="1977"/>
      <c r="I26" s="2291"/>
      <c r="J26" s="2257"/>
      <c r="K26" s="1988"/>
      <c r="L26" s="2241"/>
      <c r="M26" s="2241"/>
      <c r="N26" s="1967"/>
      <c r="O26" s="2236"/>
      <c r="P26" s="2293"/>
      <c r="Q26" s="1968"/>
      <c r="R26" s="2236"/>
      <c r="S26" s="2236"/>
      <c r="T26" s="1973"/>
      <c r="U26" s="1974"/>
      <c r="V26" s="2284"/>
      <c r="W26" s="2284"/>
      <c r="X26" s="2284"/>
      <c r="Y26" s="2284"/>
      <c r="Z26" s="2284"/>
      <c r="AA26" s="2284"/>
      <c r="AB26" s="2284"/>
      <c r="AC26" s="2284"/>
      <c r="AD26" s="2284"/>
      <c r="AE26" s="2284"/>
      <c r="AF26" s="2284"/>
      <c r="AG26" s="2284"/>
      <c r="AH26" s="2284"/>
      <c r="AI26" s="2285"/>
      <c r="AJ26" s="1951"/>
    </row>
    <row customHeight="1" ht="11.25">
      <c r="D27" s="2294"/>
      <c r="E27" s="2295"/>
      <c r="F27" s="2288"/>
      <c r="G27" s="2298"/>
      <c r="H27" s="1978"/>
      <c r="I27" s="2291"/>
      <c r="J27" s="2257"/>
      <c r="K27" s="1988"/>
      <c r="L27" s="2241"/>
      <c r="M27" s="2241"/>
      <c r="N27" s="1972"/>
      <c r="O27" s="1972"/>
      <c r="P27" s="2284"/>
      <c r="Q27" s="2284"/>
      <c r="R27" s="2284"/>
      <c r="S27" s="2284"/>
      <c r="T27" s="2284"/>
      <c r="U27" s="2284"/>
      <c r="V27" s="2284"/>
      <c r="W27" s="2284"/>
      <c r="X27" s="2284"/>
      <c r="Y27" s="2284"/>
      <c r="Z27" s="2284"/>
      <c r="AA27" s="2284"/>
      <c r="AB27" s="2284"/>
      <c r="AC27" s="2284"/>
      <c r="AD27" s="2284"/>
      <c r="AE27" s="2284"/>
      <c r="AF27" s="2284"/>
      <c r="AG27" s="2284"/>
      <c r="AH27" s="2284"/>
      <c r="AI27" s="2285"/>
      <c r="AJ27" s="1951"/>
    </row>
    <row s="10872" customFormat="1" customHeight="1" ht="11.25">
      <c r="D28" s="2301"/>
      <c r="E28" s="2302"/>
      <c r="F28" s="2289"/>
      <c r="G28" s="2212"/>
      <c r="H28" s="1975"/>
      <c r="I28" s="1979"/>
      <c r="J28" s="2299"/>
      <c r="K28" s="2299"/>
      <c r="L28" s="2299"/>
      <c r="M28" s="2299"/>
      <c r="N28" s="2299"/>
      <c r="O28" s="2299"/>
      <c r="P28" s="2299"/>
      <c r="Q28" s="2299"/>
      <c r="R28" s="2299"/>
      <c r="S28" s="2299"/>
      <c r="T28" s="2299"/>
      <c r="U28" s="2299"/>
      <c r="V28" s="2299"/>
      <c r="W28" s="2299"/>
      <c r="X28" s="2299"/>
      <c r="Y28" s="2299"/>
      <c r="Z28" s="2299"/>
      <c r="AA28" s="2299"/>
      <c r="AB28" s="2299"/>
      <c r="AC28" s="2299"/>
      <c r="AD28" s="2299"/>
      <c r="AE28" s="2299"/>
      <c r="AF28" s="2299"/>
      <c r="AG28" s="2299"/>
      <c r="AH28" s="2299"/>
      <c r="AI28" s="2300"/>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91</v>
      </c>
      <c r="E29" s="2295" t="s">
        <v>284</v>
      </c>
      <c r="F29" s="2288" t="s">
        <v>288</v>
      </c>
      <c r="G29" s="2297" t="s">
        <v>56</v>
      </c>
      <c r="H29" s="1976"/>
      <c r="I29" s="2290"/>
      <c r="J29" s="2256"/>
      <c r="K29" s="1877"/>
      <c r="L29" s="2240"/>
      <c r="M29" s="2240"/>
      <c r="N29" s="1961"/>
      <c r="O29" s="2235"/>
      <c r="P29" s="2292"/>
      <c r="Q29" s="1962"/>
      <c r="R29" s="2235"/>
      <c r="S29" s="2235"/>
      <c r="T29" s="1963"/>
      <c r="U29" s="2235"/>
      <c r="V29" s="2286"/>
      <c r="W29" s="1964"/>
      <c r="X29" s="2240"/>
      <c r="Y29" s="2240"/>
      <c r="Z29" s="1961"/>
      <c r="AA29" s="2235"/>
      <c r="AB29" s="2286"/>
      <c r="AC29" s="1965"/>
      <c r="AD29" s="2240"/>
      <c r="AE29" s="2240"/>
      <c r="AF29" s="1876"/>
      <c r="AG29" s="1876"/>
      <c r="AH29" s="1966"/>
      <c r="AI29" s="1654"/>
      <c r="AJ29" s="1951"/>
    </row>
    <row customHeight="1" ht="14.25">
      <c r="D30" s="2294"/>
      <c r="E30" s="2295"/>
      <c r="F30" s="2288"/>
      <c r="G30" s="2298"/>
      <c r="H30" s="1977"/>
      <c r="I30" s="2291"/>
      <c r="J30" s="2257"/>
      <c r="K30" s="1960"/>
      <c r="L30" s="2241"/>
      <c r="M30" s="2241"/>
      <c r="N30" s="1967"/>
      <c r="O30" s="2236"/>
      <c r="P30" s="2293"/>
      <c r="Q30" s="1968"/>
      <c r="R30" s="2236"/>
      <c r="S30" s="2236"/>
      <c r="T30" s="1969"/>
      <c r="U30" s="2236"/>
      <c r="V30" s="2287"/>
      <c r="W30" s="1970"/>
      <c r="X30" s="2241"/>
      <c r="Y30" s="2241"/>
      <c r="Z30" s="1967"/>
      <c r="AA30" s="2236"/>
      <c r="AB30" s="2287"/>
      <c r="AC30" s="1971"/>
      <c r="AD30" s="2241"/>
      <c r="AE30" s="2241"/>
      <c r="AF30" s="1972"/>
      <c r="AG30" s="1972"/>
      <c r="AH30" s="2284"/>
      <c r="AI30" s="2285"/>
      <c r="AJ30" s="1951"/>
    </row>
    <row customHeight="1" ht="14.25">
      <c r="D31" s="2294"/>
      <c r="E31" s="2295"/>
      <c r="F31" s="2288"/>
      <c r="G31" s="2298"/>
      <c r="H31" s="1977"/>
      <c r="I31" s="2291"/>
      <c r="J31" s="2257"/>
      <c r="K31" s="1960"/>
      <c r="L31" s="2241"/>
      <c r="M31" s="2241"/>
      <c r="N31" s="1967"/>
      <c r="O31" s="2236"/>
      <c r="P31" s="2293"/>
      <c r="Q31" s="1968"/>
      <c r="R31" s="2236"/>
      <c r="S31" s="2236"/>
      <c r="T31" s="1969"/>
      <c r="U31" s="2236"/>
      <c r="V31" s="2287"/>
      <c r="W31" s="1970"/>
      <c r="X31" s="2241"/>
      <c r="Y31" s="2241"/>
      <c r="Z31" s="1875"/>
      <c r="AA31" s="1972"/>
      <c r="AB31" s="2284"/>
      <c r="AC31" s="2284"/>
      <c r="AD31" s="2284"/>
      <c r="AE31" s="2284"/>
      <c r="AF31" s="2284"/>
      <c r="AG31" s="2284"/>
      <c r="AH31" s="2284"/>
      <c r="AI31" s="2285"/>
      <c r="AJ31" s="1951"/>
    </row>
    <row customHeight="1" ht="14.25">
      <c r="D32" s="2294"/>
      <c r="E32" s="2295"/>
      <c r="F32" s="2288"/>
      <c r="G32" s="2298"/>
      <c r="H32" s="1977"/>
      <c r="I32" s="2291"/>
      <c r="J32" s="2257"/>
      <c r="K32" s="1960"/>
      <c r="L32" s="2241"/>
      <c r="M32" s="2241"/>
      <c r="N32" s="1967"/>
      <c r="O32" s="2236"/>
      <c r="P32" s="2293"/>
      <c r="Q32" s="1968"/>
      <c r="R32" s="2236"/>
      <c r="S32" s="2236"/>
      <c r="T32" s="1973"/>
      <c r="U32" s="1974"/>
      <c r="V32" s="2284"/>
      <c r="W32" s="2284"/>
      <c r="X32" s="2284"/>
      <c r="Y32" s="2284"/>
      <c r="Z32" s="2284"/>
      <c r="AA32" s="2284"/>
      <c r="AB32" s="2284"/>
      <c r="AC32" s="2284"/>
      <c r="AD32" s="2284"/>
      <c r="AE32" s="2284"/>
      <c r="AF32" s="2284"/>
      <c r="AG32" s="2284"/>
      <c r="AH32" s="2284"/>
      <c r="AI32" s="2285"/>
      <c r="AJ32" s="1951"/>
    </row>
    <row customHeight="1" ht="11.25">
      <c r="D33" s="2294"/>
      <c r="E33" s="2295"/>
      <c r="F33" s="2288"/>
      <c r="G33" s="2298"/>
      <c r="H33" s="1978"/>
      <c r="I33" s="2291"/>
      <c r="J33" s="2257"/>
      <c r="K33" s="1960"/>
      <c r="L33" s="2241"/>
      <c r="M33" s="2241"/>
      <c r="N33" s="1972"/>
      <c r="O33" s="1972"/>
      <c r="P33" s="2284"/>
      <c r="Q33" s="2284"/>
      <c r="R33" s="2284"/>
      <c r="S33" s="2284"/>
      <c r="T33" s="2284"/>
      <c r="U33" s="2284"/>
      <c r="V33" s="2284"/>
      <c r="W33" s="2284"/>
      <c r="X33" s="2284"/>
      <c r="Y33" s="2284"/>
      <c r="Z33" s="2284"/>
      <c r="AA33" s="2284"/>
      <c r="AB33" s="2284"/>
      <c r="AC33" s="2284"/>
      <c r="AD33" s="2284"/>
      <c r="AE33" s="2284"/>
      <c r="AF33" s="2284"/>
      <c r="AG33" s="2284"/>
      <c r="AH33" s="2284"/>
      <c r="AI33" s="2285"/>
      <c r="AJ33" s="1951"/>
    </row>
    <row s="10872" customFormat="1" customHeight="1" ht="11.25">
      <c r="D34" s="2301"/>
      <c r="E34" s="2302"/>
      <c r="F34" s="2289"/>
      <c r="G34" s="2212"/>
      <c r="H34" s="1975"/>
      <c r="I34" s="1979"/>
      <c r="J34" s="2299"/>
      <c r="K34" s="2299"/>
      <c r="L34" s="2299"/>
      <c r="M34" s="2299"/>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300"/>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110</v>
      </c>
      <c r="E35" s="2295" t="s">
        <v>284</v>
      </c>
      <c r="F35" s="2288" t="s">
        <v>289</v>
      </c>
      <c r="G35" s="2297" t="s">
        <v>56</v>
      </c>
      <c r="H35" s="1976"/>
      <c r="I35" s="2290"/>
      <c r="J35" s="2256"/>
      <c r="K35" s="1877"/>
      <c r="L35" s="2240"/>
      <c r="M35" s="2240"/>
      <c r="N35" s="1961"/>
      <c r="O35" s="2235"/>
      <c r="P35" s="2292"/>
      <c r="Q35" s="1962"/>
      <c r="R35" s="2235"/>
      <c r="S35" s="2235"/>
      <c r="T35" s="1963"/>
      <c r="U35" s="2235"/>
      <c r="V35" s="2286"/>
      <c r="W35" s="1964"/>
      <c r="X35" s="2240"/>
      <c r="Y35" s="2240"/>
      <c r="Z35" s="1961"/>
      <c r="AA35" s="2235"/>
      <c r="AB35" s="2286"/>
      <c r="AC35" s="1965"/>
      <c r="AD35" s="2240"/>
      <c r="AE35" s="2240"/>
      <c r="AF35" s="1876"/>
      <c r="AG35" s="1876"/>
      <c r="AH35" s="1966"/>
      <c r="AI35" s="1654"/>
      <c r="AJ35" s="1951"/>
    </row>
    <row customHeight="1" ht="14.25">
      <c r="D36" s="2294"/>
      <c r="E36" s="2295"/>
      <c r="F36" s="2288"/>
      <c r="G36" s="2298"/>
      <c r="H36" s="1977"/>
      <c r="I36" s="2291"/>
      <c r="J36" s="2257"/>
      <c r="K36" s="1960"/>
      <c r="L36" s="2241"/>
      <c r="M36" s="2241"/>
      <c r="N36" s="1967"/>
      <c r="O36" s="2236"/>
      <c r="P36" s="2293"/>
      <c r="Q36" s="1968"/>
      <c r="R36" s="2236"/>
      <c r="S36" s="2236"/>
      <c r="T36" s="1969"/>
      <c r="U36" s="2236"/>
      <c r="V36" s="2287"/>
      <c r="W36" s="1970"/>
      <c r="X36" s="2241"/>
      <c r="Y36" s="2241"/>
      <c r="Z36" s="1967"/>
      <c r="AA36" s="2236"/>
      <c r="AB36" s="2287"/>
      <c r="AC36" s="1971"/>
      <c r="AD36" s="2241"/>
      <c r="AE36" s="2241"/>
      <c r="AF36" s="1972"/>
      <c r="AG36" s="1972"/>
      <c r="AH36" s="2284"/>
      <c r="AI36" s="2285"/>
      <c r="AJ36" s="1951"/>
    </row>
    <row customHeight="1" ht="14.25">
      <c r="D37" s="2294"/>
      <c r="E37" s="2295"/>
      <c r="F37" s="2288"/>
      <c r="G37" s="2298"/>
      <c r="H37" s="1977"/>
      <c r="I37" s="2291"/>
      <c r="J37" s="2257"/>
      <c r="K37" s="1960"/>
      <c r="L37" s="2241"/>
      <c r="M37" s="2241"/>
      <c r="N37" s="1967"/>
      <c r="O37" s="2236"/>
      <c r="P37" s="2293"/>
      <c r="Q37" s="1968"/>
      <c r="R37" s="2236"/>
      <c r="S37" s="2236"/>
      <c r="T37" s="1969"/>
      <c r="U37" s="2236"/>
      <c r="V37" s="2287"/>
      <c r="W37" s="1970"/>
      <c r="X37" s="2241"/>
      <c r="Y37" s="2241"/>
      <c r="Z37" s="1875"/>
      <c r="AA37" s="1972"/>
      <c r="AB37" s="2284"/>
      <c r="AC37" s="2284"/>
      <c r="AD37" s="2284"/>
      <c r="AE37" s="2284"/>
      <c r="AF37" s="2284"/>
      <c r="AG37" s="2284"/>
      <c r="AH37" s="2284"/>
      <c r="AI37" s="2285"/>
      <c r="AJ37" s="1951"/>
    </row>
    <row customHeight="1" ht="14.25">
      <c r="D38" s="2294"/>
      <c r="E38" s="2295"/>
      <c r="F38" s="2288"/>
      <c r="G38" s="2298"/>
      <c r="H38" s="1977"/>
      <c r="I38" s="2291"/>
      <c r="J38" s="2257"/>
      <c r="K38" s="1960"/>
      <c r="L38" s="2241"/>
      <c r="M38" s="2241"/>
      <c r="N38" s="1967"/>
      <c r="O38" s="2236"/>
      <c r="P38" s="2293"/>
      <c r="Q38" s="1968"/>
      <c r="R38" s="2236"/>
      <c r="S38" s="2236"/>
      <c r="T38" s="1973"/>
      <c r="U38" s="1974"/>
      <c r="V38" s="2284"/>
      <c r="W38" s="2284"/>
      <c r="X38" s="2284"/>
      <c r="Y38" s="2284"/>
      <c r="Z38" s="2284"/>
      <c r="AA38" s="2284"/>
      <c r="AB38" s="2284"/>
      <c r="AC38" s="2284"/>
      <c r="AD38" s="2284"/>
      <c r="AE38" s="2284"/>
      <c r="AF38" s="2284"/>
      <c r="AG38" s="2284"/>
      <c r="AH38" s="2284"/>
      <c r="AI38" s="2285"/>
      <c r="AJ38" s="1951"/>
    </row>
    <row customHeight="1" ht="11.25">
      <c r="D39" s="2294"/>
      <c r="E39" s="2295"/>
      <c r="F39" s="2288"/>
      <c r="G39" s="2298"/>
      <c r="H39" s="1978"/>
      <c r="I39" s="2291"/>
      <c r="J39" s="2257"/>
      <c r="K39" s="1960"/>
      <c r="L39" s="2241"/>
      <c r="M39" s="2241"/>
      <c r="N39" s="1972"/>
      <c r="O39" s="1972"/>
      <c r="P39" s="2284"/>
      <c r="Q39" s="2284"/>
      <c r="R39" s="2284"/>
      <c r="S39" s="2284"/>
      <c r="T39" s="2284"/>
      <c r="U39" s="2284"/>
      <c r="V39" s="2284"/>
      <c r="W39" s="2284"/>
      <c r="X39" s="2284"/>
      <c r="Y39" s="2284"/>
      <c r="Z39" s="2284"/>
      <c r="AA39" s="2284"/>
      <c r="AB39" s="2284"/>
      <c r="AC39" s="2284"/>
      <c r="AD39" s="2284"/>
      <c r="AE39" s="2284"/>
      <c r="AF39" s="2284"/>
      <c r="AG39" s="2284"/>
      <c r="AH39" s="2284"/>
      <c r="AI39" s="2285"/>
      <c r="AJ39" s="1951"/>
    </row>
    <row s="10872" customFormat="1" customHeight="1" ht="11.25">
      <c r="D40" s="2294"/>
      <c r="E40" s="2295"/>
      <c r="F40" s="2296"/>
      <c r="G40" s="2212"/>
      <c r="H40" s="1975"/>
      <c r="I40" s="197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300"/>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4C792-913D-210D-4CEF-F0A63051F16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037" width="15.00390625" hidden="1" customWidth="1"/>
    <col min="2" max="2" style="10991" width="15.00390625" hidden="1" customWidth="1"/>
    <col min="3" max="3" style="11038" width="3.7109375" customWidth="1"/>
    <col min="4" max="4" style="11039" width="6.8515625" customWidth="1"/>
    <col min="5" max="5" style="11038" width="52.28125" customWidth="1"/>
    <col min="6" max="6" style="11038" width="48.8515625" customWidth="1"/>
    <col min="7" max="7" style="11038" width="121.7109375" customWidth="1"/>
    <col min="8" max="8" style="11038" width="9.140625"/>
    <col min="9" max="9" style="11038" width="65.00390625" customWidth="1"/>
  </cols>
  <sheetData>
    <row customHeight="1" ht="11.25" hidden="1">
      <c r="A1" s="2064" t="s">
        <v>290</v>
      </c>
    </row>
    <row customHeight="1" ht="11.25" hidden="1"/>
    <row s="10953" customFormat="1" customHeight="1" ht="11.25">
      <c r="A3" s="2064"/>
      <c r="B3" s="803"/>
      <c r="D3" s="780"/>
    </row>
    <row customHeight="1" ht="36.75">
      <c r="D4" s="231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6"/>
      <c r="F4" s="2317"/>
      <c r="I4" s="1017"/>
    </row>
    <row customHeight="1" ht="17.25">
      <c r="D5" s="232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I5" s="1017"/>
    </row>
    <row s="10953" customFormat="1" customHeight="1" ht="11.25">
      <c r="A6" s="2064"/>
      <c r="B6" s="803"/>
      <c r="D6" s="1016"/>
      <c r="E6" s="1016"/>
      <c r="F6" s="1056"/>
      <c r="G6" s="1016"/>
    </row>
    <row customHeight="1" ht="11.25" hidden="1">
      <c r="A7" s="759"/>
      <c r="B7" s="804"/>
      <c r="C7" s="759"/>
      <c r="D7" s="765"/>
      <c r="E7" s="2324"/>
      <c r="F7" s="2324"/>
    </row>
    <row customHeight="1" ht="11.25">
      <c r="A8" s="759"/>
      <c r="B8" s="804"/>
      <c r="C8" s="759"/>
      <c r="D8" s="2320" t="s">
        <v>291</v>
      </c>
      <c r="E8" s="2321"/>
      <c r="F8" s="2321"/>
      <c r="G8" s="2325" t="s">
        <v>292</v>
      </c>
    </row>
    <row customHeight="1" ht="11.25">
      <c r="A9" s="759"/>
      <c r="B9" s="804"/>
      <c r="C9" s="759"/>
      <c r="D9" s="774" t="s">
        <v>88</v>
      </c>
      <c r="E9" s="748" t="s">
        <v>293</v>
      </c>
      <c r="F9" s="748" t="s">
        <v>294</v>
      </c>
      <c r="G9" s="2326"/>
    </row>
    <row customHeight="1" ht="12" hidden="1">
      <c r="A10" s="759"/>
      <c r="B10" s="804"/>
      <c r="C10" s="759"/>
      <c r="D10" s="766"/>
      <c r="E10" s="766"/>
      <c r="F10" s="766"/>
      <c r="G10" s="766"/>
    </row>
    <row customHeight="1" ht="22.5" hidden="1">
      <c r="A11" s="759"/>
      <c r="B11" s="804"/>
      <c r="C11" s="759"/>
      <c r="D11" s="1330" t="s">
        <v>99</v>
      </c>
      <c r="E11" s="1333" t="s">
        <v>295</v>
      </c>
      <c r="F11" s="1332" t="str">
        <f>IF(region_name="","",region_name)</f>
        <v>Республика Калмыкия</v>
      </c>
      <c r="G11" s="1333" t="s">
        <v>296</v>
      </c>
      <c r="H11" s="777"/>
    </row>
    <row customHeight="1" ht="22.5" hidden="1">
      <c r="A12" s="759"/>
      <c r="B12" s="804"/>
      <c r="C12" s="759"/>
      <c r="D12" s="747" t="s">
        <v>99</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297</v>
      </c>
      <c r="G12" s="776"/>
      <c r="H12" s="777"/>
    </row>
    <row customHeight="1" ht="22.5">
      <c r="A13" s="759"/>
      <c r="B13" s="804"/>
      <c r="C13" s="759"/>
      <c r="D13" s="747" t="s">
        <v>99</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298</v>
      </c>
      <c r="E14" s="1331" t="s">
        <v>299</v>
      </c>
      <c r="F14" s="1332" t="str">
        <f>IF(inn="","",inn)</f>
        <v>7708503727</v>
      </c>
      <c r="G14" s="1333" t="s">
        <v>300</v>
      </c>
      <c r="H14" s="777"/>
    </row>
    <row customHeight="1" ht="22.5" hidden="1">
      <c r="A15" s="759"/>
      <c r="B15" s="804"/>
      <c r="C15" s="759"/>
      <c r="D15" s="1330" t="s">
        <v>301</v>
      </c>
      <c r="E15" s="1331" t="s">
        <v>302</v>
      </c>
      <c r="F15" s="1332" t="str">
        <f>IF(kpp="","",kpp)</f>
        <v>616745019</v>
      </c>
      <c r="G15" s="1333" t="s">
        <v>303</v>
      </c>
      <c r="H15" s="777"/>
    </row>
    <row customHeight="1" ht="36.75">
      <c r="A16" s="759"/>
      <c r="B16" s="804"/>
      <c r="C16" s="759"/>
      <c r="D16" s="747" t="s">
        <v>109</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90</v>
      </c>
      <c r="E17" s="744" t="str">
        <f>"Дата присвоения ОГРН"&amp;IF(TEMPLATE_SPHERE="TKO",""," (ОГРНИП)")</f>
        <v>Дата присвоения ОГРН (ОГРНИП)</v>
      </c>
      <c r="F17" s="2112" t="s">
        <v>17</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91</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2">
        <v>1</v>
      </c>
      <c r="B19" s="804"/>
      <c r="C19" s="2327"/>
      <c r="D19" s="742">
        <v>5</v>
      </c>
      <c r="E19" s="744" t="s">
        <v>304</v>
      </c>
      <c r="F19" s="745" t="s">
        <v>297</v>
      </c>
      <c r="G19" s="746" t="s">
        <v>305</v>
      </c>
      <c r="H19" s="777"/>
      <c r="I19" s="1163"/>
    </row>
    <row customHeight="1" ht="33.75" hidden="1">
      <c r="A20" s="2322"/>
      <c r="B20" s="804"/>
      <c r="C20" s="2327"/>
      <c r="D20" s="747" t="s">
        <v>306</v>
      </c>
      <c r="E20" s="741" t="s">
        <v>307</v>
      </c>
      <c r="F20" s="1193" t="s">
        <v>17</v>
      </c>
      <c r="G20" s="776"/>
      <c r="H20" s="777"/>
      <c r="I20" s="1163"/>
    </row>
    <row customHeight="1" ht="22.5" hidden="1">
      <c r="A21" s="2322"/>
      <c r="B21" s="804"/>
      <c r="C21" s="2327"/>
      <c r="D21" s="747" t="s">
        <v>308</v>
      </c>
      <c r="E21" s="741" t="s">
        <v>309</v>
      </c>
      <c r="F21" s="2113" t="s">
        <v>17</v>
      </c>
      <c r="G21" s="746" t="s">
        <v>310</v>
      </c>
      <c r="H21" s="777"/>
      <c r="I21" s="1163"/>
    </row>
    <row customHeight="1" ht="22.5" hidden="1">
      <c r="A22" s="2322"/>
      <c r="B22" s="804"/>
      <c r="C22" s="2327"/>
      <c r="D22" s="747" t="s">
        <v>311</v>
      </c>
      <c r="E22" s="741" t="s">
        <v>312</v>
      </c>
      <c r="F22" s="1193" t="s">
        <v>17</v>
      </c>
      <c r="G22" s="776"/>
      <c r="H22" s="777"/>
      <c r="I22" s="1163"/>
    </row>
    <row customHeight="1" ht="22.5" hidden="1">
      <c r="A23" s="2322"/>
      <c r="B23" s="804"/>
      <c r="C23" s="2327"/>
      <c r="D23" s="747" t="s">
        <v>313</v>
      </c>
      <c r="E23" s="741" t="s">
        <v>314</v>
      </c>
      <c r="F23" s="1193" t="s">
        <v>17</v>
      </c>
      <c r="G23" s="746" t="s">
        <v>315</v>
      </c>
      <c r="H23" s="777"/>
      <c r="I23" s="1163"/>
    </row>
    <row s="10991" customFormat="1" customHeight="1" ht="24.75" hidden="1">
      <c r="A24" s="759"/>
      <c r="B24" s="804"/>
      <c r="C24" s="804"/>
      <c r="D24" s="1327" t="s">
        <v>90</v>
      </c>
      <c r="E24" s="1329" t="s">
        <v>316</v>
      </c>
      <c r="F24" s="1334" t="s">
        <v>297</v>
      </c>
      <c r="G24" s="1329"/>
    </row>
    <row s="10991" customFormat="1" customHeight="1" ht="11.25" hidden="1">
      <c r="A25" s="759"/>
      <c r="B25" s="804"/>
      <c r="C25" s="804"/>
      <c r="D25" s="1327" t="s">
        <v>317</v>
      </c>
      <c r="E25" s="1328" t="s">
        <v>318</v>
      </c>
      <c r="F25" s="1334" t="s">
        <v>297</v>
      </c>
      <c r="G25" s="1329"/>
    </row>
    <row s="10991" customFormat="1" customHeight="1" ht="11.25" hidden="1">
      <c r="A26" s="759"/>
      <c r="B26" s="804"/>
      <c r="C26" s="804"/>
      <c r="D26" s="1327" t="s">
        <v>319</v>
      </c>
      <c r="E26" s="1335" t="s">
        <v>320</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0991" customFormat="1" customHeight="1" ht="11.25" hidden="1">
      <c r="A27" s="759"/>
      <c r="B27" s="804"/>
      <c r="C27" s="804"/>
      <c r="D27" s="1327" t="s">
        <v>321</v>
      </c>
      <c r="E27" s="1335" t="s">
        <v>322</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0991" customFormat="1" customHeight="1" ht="11.25" hidden="1">
      <c r="A28" s="759"/>
      <c r="B28" s="804"/>
      <c r="C28" s="804"/>
      <c r="D28" s="1327" t="s">
        <v>323</v>
      </c>
      <c r="E28" s="1335" t="s">
        <v>324</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0991" customFormat="1" customHeight="1" ht="11.25" hidden="1">
      <c r="A29" s="759"/>
      <c r="B29" s="804"/>
      <c r="C29" s="804"/>
      <c r="D29" s="1327" t="s">
        <v>325</v>
      </c>
      <c r="E29" s="1328" t="s">
        <v>326</v>
      </c>
      <c r="F29" s="1336"/>
      <c r="G29" s="1329"/>
    </row>
    <row s="10991" customFormat="1" customHeight="1" ht="11.25" hidden="1">
      <c r="A30" s="759"/>
      <c r="B30" s="804"/>
      <c r="C30" s="804"/>
      <c r="D30" s="1327" t="s">
        <v>327</v>
      </c>
      <c r="E30" s="1328" t="s">
        <v>328</v>
      </c>
      <c r="F30" s="1336"/>
      <c r="G30" s="1329"/>
    </row>
    <row s="10991" customFormat="1" customHeight="1" ht="11.25" hidden="1">
      <c r="A31" s="759"/>
      <c r="B31" s="804"/>
      <c r="C31" s="804"/>
      <c r="D31" s="1327" t="s">
        <v>329</v>
      </c>
      <c r="E31" s="1328" t="s">
        <v>330</v>
      </c>
      <c r="F31" s="3352"/>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297</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331</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331</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297</v>
      </c>
      <c r="G38" s="23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30"/>
      <c r="H39" s="777"/>
    </row>
    <row customHeight="1" ht="22.5">
      <c r="A40" s="759"/>
      <c r="B40" s="759"/>
      <c r="C40" s="2066"/>
      <c r="D40" s="742" t="str">
        <f>D38&amp;".1"</f>
        <v>9.1</v>
      </c>
      <c r="E40" s="1171"/>
      <c r="F40" s="1173"/>
      <c r="G40" s="2330"/>
      <c r="H40" s="777"/>
    </row>
    <row customHeight="1" ht="15">
      <c r="A41" s="759"/>
      <c r="B41" s="804"/>
      <c r="C41" s="759"/>
      <c r="D41" s="769"/>
      <c r="E41" s="716" t="s">
        <v>332</v>
      </c>
      <c r="F41" s="771"/>
      <c r="G41" s="2331"/>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66"/>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67"/>
      <c r="G43" s="776" t="s">
        <v>333</v>
      </c>
      <c r="H43" s="777"/>
    </row>
    <row customHeight="1" ht="22.5">
      <c r="A44" s="759"/>
      <c r="B44" s="804"/>
      <c r="C44" s="759"/>
      <c r="D44" s="742">
        <f>D43+1</f>
        <v>12</v>
      </c>
      <c r="E44" s="740" t="s">
        <v>334</v>
      </c>
      <c r="F44" s="745" t="s">
        <v>297</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335</v>
      </c>
      <c r="H45" s="777"/>
    </row>
    <row customHeight="1" ht="22.5">
      <c r="A46" s="2318"/>
      <c r="B46" s="804"/>
      <c r="C46" s="794"/>
      <c r="D46" s="742" t="str">
        <f>D44&amp;".2"</f>
        <v>12.2</v>
      </c>
      <c r="E46" s="744" t="s">
        <v>336</v>
      </c>
      <c r="F46" s="792"/>
      <c r="G46" s="739" t="s">
        <v>337</v>
      </c>
      <c r="H46" s="777"/>
    </row>
    <row customHeight="1" ht="22.5">
      <c r="A47" s="2318"/>
      <c r="B47" s="804"/>
      <c r="C47" s="794"/>
      <c r="D47" s="742" t="str">
        <f>D44&amp;".3"</f>
        <v>12.3</v>
      </c>
      <c r="E47" s="744" t="s">
        <v>338</v>
      </c>
      <c r="F47" s="792"/>
      <c r="G47" s="739" t="s">
        <v>339</v>
      </c>
      <c r="H47" s="777"/>
    </row>
    <row customHeight="1" ht="22.5">
      <c r="A48" s="2318"/>
      <c r="B48" s="804"/>
      <c r="C48" s="794"/>
      <c r="D48" s="742" t="str">
        <f>IF(TEMPLATE_SPHERE="TKO",D44&amp;".0",D44&amp;".4")</f>
        <v>12.4</v>
      </c>
      <c r="E48" s="738" t="s">
        <v>340</v>
      </c>
      <c r="F48" s="2063"/>
      <c r="G48" s="2167" t="s">
        <v>341</v>
      </c>
      <c r="H48" s="777"/>
    </row>
    <row customHeight="1" ht="22.5">
      <c r="A49" s="759"/>
      <c r="B49" s="804"/>
      <c r="C49" s="759"/>
      <c r="D49" s="769"/>
      <c r="E49" s="716" t="s">
        <v>342</v>
      </c>
      <c r="F49" s="770"/>
      <c r="G49" s="2167" t="s">
        <v>343</v>
      </c>
      <c r="H49" s="778"/>
    </row>
    <row customHeight="1" ht="22.5">
      <c r="A50" s="1169"/>
      <c r="B50" s="804"/>
      <c r="C50" s="794"/>
      <c r="D50" s="742">
        <f>D44+1</f>
        <v>13</v>
      </c>
      <c r="E50" s="830" t="s">
        <v>344</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025" customFormat="1" customHeight="1" ht="30">
      <c r="A52" s="2065"/>
      <c r="B52" s="805"/>
      <c r="C52" s="2319"/>
      <c r="D52"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3"/>
      <c r="F52" s="2323"/>
      <c r="G52" s="2323"/>
      <c r="H52" s="756"/>
      <c r="I52" s="756"/>
    </row>
    <row s="11025" customFormat="1" customHeight="1" ht="39.75">
      <c r="A53" s="759"/>
      <c r="B53" s="804"/>
      <c r="C53" s="2319"/>
      <c r="D53"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3"/>
      <c r="F53" s="2323"/>
      <c r="G53" s="2323"/>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402DF-524E-5F0E-2A1D-C2144005356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104" width="9.140625" hidden="1" customWidth="1"/>
    <col min="2" max="2" style="11105" width="9.140625" hidden="1" customWidth="1"/>
    <col min="3" max="3" style="11106" width="3.7109375" customWidth="1"/>
    <col min="4" max="4" style="11105" width="5.57421875" customWidth="1"/>
    <col min="5" max="5" style="11105" width="48.421875" customWidth="1"/>
    <col min="6" max="6" style="11105" width="38.140625" customWidth="1"/>
    <col min="7" max="7" style="10656" width="1.7109375" hidden="1" customWidth="1"/>
    <col min="8" max="11" style="11105" width="19.8515625" customWidth="1"/>
    <col min="12" max="12" style="11105" width="9.7109375" customWidth="1"/>
    <col min="13" max="18" style="11105" width="19.8515625" customWidth="1"/>
    <col min="19" max="19" style="10656" width="1.7109375" hidden="1" customWidth="1"/>
    <col min="20" max="22" style="11107" width="19.8515625" hidden="1" customWidth="1"/>
    <col min="23" max="23" style="10656" width="1.7109375" hidden="1" customWidth="1"/>
    <col min="24" max="26" style="11107" width="19.8515625" hidden="1" customWidth="1"/>
    <col min="27" max="27" style="10656" width="1.7109375" hidden="1" customWidth="1"/>
    <col min="28" max="29" style="11107" width="19.8515625" hidden="1" customWidth="1"/>
    <col min="30" max="30" style="10656" width="1.7109375" hidden="1" customWidth="1"/>
    <col min="31" max="31" style="11105" width="103.7109375" customWidth="1"/>
    <col min="32" max="34" style="11107" width="103.7109375" hidden="1" customWidth="1"/>
    <col min="35" max="35" style="11108" width="3.7109375" customWidth="1"/>
    <col min="36" max="38" style="11109" width="10.57421875"/>
    <col min="39" max="39" style="11109" width="13.7109375" hidden="1" customWidth="1"/>
    <col min="40" max="40" style="11109" width="15.421875" customWidth="1"/>
    <col min="41" max="41" style="11109" width="16.28125" customWidth="1"/>
    <col min="42" max="45" style="11109" width="10.57421875"/>
  </cols>
  <sheetData>
    <row customHeight="1" ht="14.25" hidden="1">
      <c r="E1" s="713"/>
      <c r="F1" s="713"/>
      <c r="G1" s="713"/>
      <c r="H1" s="2335" t="s">
        <v>345</v>
      </c>
      <c r="I1" s="2335"/>
      <c r="J1" s="2335"/>
      <c r="K1" s="2335"/>
      <c r="L1" s="2335"/>
      <c r="M1" s="2335"/>
      <c r="N1" s="2335"/>
      <c r="O1" s="2335"/>
      <c r="P1" s="2335"/>
      <c r="Q1" s="2335"/>
      <c r="R1" s="2335"/>
      <c r="T1" s="2335" t="s">
        <v>346</v>
      </c>
      <c r="U1" s="2335"/>
      <c r="V1" s="2335"/>
      <c r="X1" s="2335" t="s">
        <v>347</v>
      </c>
      <c r="Y1" s="2335"/>
      <c r="Z1" s="2335"/>
      <c r="AB1" s="2335" t="s">
        <v>348</v>
      </c>
      <c r="AC1" s="2335"/>
    </row>
    <row customHeight="1" ht="14.25" hidden="1"/>
    <row s="11041" customFormat="1" customHeight="1" ht="6">
      <c r="C3" s="1003"/>
      <c r="D3" s="1004"/>
      <c r="E3" s="1004"/>
      <c r="F3" s="1004"/>
      <c r="G3" s="1004"/>
      <c r="H3" s="1004" t="s">
        <v>349</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6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62"/>
      <c r="F4" s="2262"/>
      <c r="G4" s="2262"/>
      <c r="H4" s="2262"/>
      <c r="I4" s="2262"/>
      <c r="J4" s="2262"/>
      <c r="K4" s="2262"/>
      <c r="L4" s="2262"/>
      <c r="M4" s="2262"/>
      <c r="N4" s="2262"/>
      <c r="O4" s="2262"/>
      <c r="P4" s="2262"/>
      <c r="Q4" s="2262"/>
      <c r="R4" s="2263"/>
      <c r="S4" s="1164"/>
      <c r="T4" s="1001"/>
      <c r="U4" s="1001"/>
      <c r="V4" s="1001"/>
      <c r="W4" s="1001"/>
      <c r="X4" s="1001"/>
      <c r="Y4" s="1001"/>
      <c r="Z4" s="1001"/>
      <c r="AA4" s="1001"/>
      <c r="AB4" s="1001"/>
      <c r="AC4" s="1001"/>
      <c r="AD4" s="1001"/>
      <c r="AE4" s="793"/>
      <c r="AF4" s="793"/>
      <c r="AG4" s="793"/>
      <c r="AH4" s="793"/>
      <c r="AI4" s="790"/>
    </row>
    <row s="10656" customFormat="1" customHeight="1" ht="17.25">
      <c r="A5" s="1063"/>
      <c r="C5" s="1131"/>
      <c r="D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33"/>
      <c r="F5" s="2333"/>
      <c r="G5" s="2333"/>
      <c r="H5" s="2333"/>
      <c r="I5" s="2333"/>
      <c r="J5" s="2333"/>
      <c r="K5" s="2333"/>
      <c r="L5" s="2333"/>
      <c r="M5" s="2333"/>
      <c r="N5" s="2333"/>
      <c r="O5" s="2333"/>
      <c r="P5" s="2333"/>
      <c r="Q5" s="2333"/>
      <c r="R5" s="2334"/>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053"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6" t="s">
        <v>291</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341" t="s">
        <v>292</v>
      </c>
      <c r="AF7" s="2341" t="s">
        <v>292</v>
      </c>
      <c r="AG7" s="2341" t="s">
        <v>292</v>
      </c>
      <c r="AH7" s="2341" t="s">
        <v>292</v>
      </c>
    </row>
    <row customHeight="1" ht="25.5">
      <c r="C8" s="752"/>
      <c r="D8" s="2342" t="s">
        <v>88</v>
      </c>
      <c r="E8" s="2343" t="str">
        <f>"Наименование "&amp;IF(TEMPLATE_SPHERE&lt;&gt;"HEAT","централизованной ","")&amp;"системы "&amp;TEMPLATE_SPHERE_RUS</f>
        <v>Наименование системы теплоснабжения</v>
      </c>
      <c r="F8" s="2341" t="str">
        <f>IF(TEMPLATE_SPHERE&lt;&gt;"HEAT","Регулируемый вид деятельности","Вид регулируемой деятельности")</f>
        <v>Вид регулируемой деятельности</v>
      </c>
      <c r="G8" s="1138"/>
      <c r="H8" s="2344" t="s">
        <v>350</v>
      </c>
      <c r="I8" s="2346" t="s">
        <v>351</v>
      </c>
      <c r="J8" s="2343" t="s">
        <v>352</v>
      </c>
      <c r="K8" s="2343"/>
      <c r="L8" s="2343"/>
      <c r="M8" s="2336"/>
      <c r="N8" s="2343" t="s">
        <v>353</v>
      </c>
      <c r="O8" s="2343"/>
      <c r="P8" s="2343" t="s">
        <v>354</v>
      </c>
      <c r="Q8" s="2343"/>
      <c r="R8" s="2350" t="s">
        <v>355</v>
      </c>
      <c r="S8" s="1133"/>
      <c r="T8" s="2348" t="s">
        <v>356</v>
      </c>
      <c r="U8" s="2348" t="s">
        <v>357</v>
      </c>
      <c r="V8" s="2348" t="s">
        <v>358</v>
      </c>
      <c r="W8" s="1135"/>
      <c r="X8" s="2348" t="s">
        <v>359</v>
      </c>
      <c r="Y8" s="2348" t="s">
        <v>360</v>
      </c>
      <c r="Z8" s="2348" t="s">
        <v>361</v>
      </c>
      <c r="AA8" s="1135"/>
      <c r="AB8" s="2348" t="s">
        <v>362</v>
      </c>
      <c r="AC8" s="2348" t="s">
        <v>355</v>
      </c>
      <c r="AD8" s="1135"/>
      <c r="AE8" s="2341"/>
      <c r="AF8" s="2341"/>
      <c r="AG8" s="2341"/>
      <c r="AH8" s="2341"/>
    </row>
    <row customHeight="1" ht="33.75">
      <c r="C9" s="752"/>
      <c r="D9" s="2342"/>
      <c r="E9" s="2343"/>
      <c r="F9" s="2341"/>
      <c r="G9" s="1139"/>
      <c r="H9" s="2345"/>
      <c r="I9" s="2347"/>
      <c r="J9" s="726" t="s">
        <v>363</v>
      </c>
      <c r="K9" s="726" t="s">
        <v>364</v>
      </c>
      <c r="L9" s="726" t="s">
        <v>365</v>
      </c>
      <c r="M9" s="732" t="s">
        <v>366</v>
      </c>
      <c r="N9" s="726" t="s">
        <v>367</v>
      </c>
      <c r="O9" s="726" t="s">
        <v>366</v>
      </c>
      <c r="P9" s="726" t="s">
        <v>368</v>
      </c>
      <c r="Q9" s="726" t="s">
        <v>366</v>
      </c>
      <c r="R9" s="2351"/>
      <c r="S9" s="1134"/>
      <c r="T9" s="2349"/>
      <c r="U9" s="2349"/>
      <c r="V9" s="2349"/>
      <c r="W9" s="1136"/>
      <c r="X9" s="2349"/>
      <c r="Y9" s="2349"/>
      <c r="Z9" s="2349"/>
      <c r="AA9" s="1136"/>
      <c r="AB9" s="2349"/>
      <c r="AC9" s="2349"/>
      <c r="AD9" s="1136"/>
      <c r="AE9" s="2341"/>
      <c r="AF9" s="2341"/>
      <c r="AG9" s="2341"/>
      <c r="AH9" s="2341"/>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084" customFormat="1" customHeight="1" ht="11.25" hidden="1">
      <c r="C11" s="800"/>
      <c r="D11" s="801" t="s">
        <v>369</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99</v>
      </c>
      <c r="E12" s="1195" t="s">
        <v>17</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39" t="s">
        <v>370</v>
      </c>
      <c r="AF12" s="2339" t="s">
        <v>371</v>
      </c>
      <c r="AG12" s="2339" t="s">
        <v>372</v>
      </c>
      <c r="AH12" s="2339" t="s">
        <v>373</v>
      </c>
      <c r="AI12" s="749"/>
      <c r="AM12" s="813"/>
      <c r="AP12" s="802" t="s">
        <v>374</v>
      </c>
      <c r="AQ12" s="802" t="s">
        <v>374</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0"/>
      <c r="AF13" s="2340"/>
      <c r="AG13" s="2340"/>
      <c r="AH13" s="2340"/>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37E9-51FC-8C27-D903-1307AF66ADF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140" width="9.140625" hidden="1" customWidth="1"/>
    <col min="2" max="2" style="11141" width="9.140625" hidden="1" customWidth="1"/>
    <col min="3" max="3" style="11106" width="3.7109375" customWidth="1"/>
    <col min="4" max="4" style="11141" width="5.57421875" customWidth="1"/>
    <col min="5" max="5" style="11141" width="38.140625" customWidth="1"/>
    <col min="6" max="7" style="11141" width="3.7109375" customWidth="1"/>
    <col min="8" max="8" style="11141" width="38.28125" customWidth="1"/>
    <col min="9" max="9" style="11141" width="35.7109375" customWidth="1"/>
    <col min="10" max="10" style="11141" width="103.7109375" customWidth="1"/>
    <col min="11" max="11" style="10883" width="3.7109375" customWidth="1"/>
    <col min="12" max="14" style="11142" width="10.57421875"/>
    <col min="15" max="15" style="11142" width="13.7109375" customWidth="1"/>
    <col min="16" max="16" style="11142" width="15.421875" customWidth="1"/>
    <col min="17" max="17" style="11142" width="16.28125" customWidth="1"/>
    <col min="18" max="21" style="11142" width="10.57421875"/>
  </cols>
  <sheetData>
    <row customHeight="1" ht="14.25" hidden="1">
      <c r="E1" s="713"/>
      <c r="F1" s="713"/>
      <c r="G1" s="713"/>
      <c r="H1" s="2335" t="s">
        <v>345</v>
      </c>
      <c r="I1" s="2335"/>
    </row>
    <row s="11110" customFormat="1" customHeight="1" ht="14.25" hidden="1">
      <c r="C2" s="1997"/>
      <c r="D2" s="2361" t="s">
        <v>99</v>
      </c>
      <c r="E2" s="2363"/>
      <c r="F2" s="2003"/>
      <c r="G2" s="1998" t="s">
        <v>99</v>
      </c>
      <c r="H2" s="2001"/>
      <c r="I2" s="1999"/>
      <c r="L2" s="2000"/>
      <c r="M2" s="2000"/>
      <c r="N2" s="2000"/>
      <c r="O2" s="2000" t="s">
        <v>375</v>
      </c>
      <c r="P2" s="2000"/>
      <c r="Q2" s="2000"/>
      <c r="R2" s="2002" t="s">
        <v>374</v>
      </c>
      <c r="S2" s="2002" t="s">
        <v>374</v>
      </c>
      <c r="T2" s="2000"/>
      <c r="U2" s="2000"/>
    </row>
    <row s="11110" customFormat="1" customHeight="1" ht="14.25" hidden="1">
      <c r="C3" s="1997"/>
      <c r="D3" s="2362"/>
      <c r="E3" s="2364"/>
      <c r="F3" s="706"/>
      <c r="G3" s="1181"/>
      <c r="H3" s="1181" t="s">
        <v>376</v>
      </c>
      <c r="I3" s="590"/>
      <c r="L3" s="2000"/>
      <c r="M3" s="2000"/>
      <c r="N3" s="2000"/>
      <c r="O3" s="2000"/>
      <c r="P3" s="2000"/>
      <c r="Q3" s="2000"/>
      <c r="R3" s="2002"/>
      <c r="S3" s="2002"/>
      <c r="T3" s="2000"/>
      <c r="U3" s="2000"/>
    </row>
    <row customHeight="1" ht="14.25" hidden="1"/>
    <row s="11122" customFormat="1" customHeight="1" ht="6">
      <c r="C5" s="1003"/>
      <c r="D5" s="1004"/>
      <c r="E5" s="1004"/>
      <c r="F5" s="1004"/>
      <c r="G5" s="1004"/>
      <c r="H5" s="1004" t="s">
        <v>349</v>
      </c>
      <c r="I5" s="1004"/>
      <c r="J5" s="1004"/>
      <c r="L5" s="1992"/>
      <c r="M5" s="1992"/>
      <c r="N5" s="1992"/>
      <c r="O5" s="1992"/>
      <c r="P5" s="1992"/>
      <c r="Q5" s="1992"/>
      <c r="R5" s="1992"/>
      <c r="S5" s="1992"/>
      <c r="T5" s="1992"/>
      <c r="U5" s="1992"/>
    </row>
    <row customHeight="1" ht="17.25">
      <c r="C6" s="1881"/>
      <c r="D6" s="2261" t="s">
        <v>377</v>
      </c>
      <c r="E6" s="2262"/>
      <c r="F6" s="2262"/>
      <c r="G6" s="2262"/>
      <c r="H6" s="2262"/>
      <c r="I6" s="2262"/>
      <c r="J6" s="793"/>
      <c r="K6" s="1993"/>
    </row>
    <row customHeight="1" ht="17.25">
      <c r="C7" s="1881"/>
      <c r="D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333"/>
      <c r="F7" s="2333"/>
      <c r="G7" s="2333"/>
      <c r="H7" s="2333"/>
      <c r="I7" s="2333"/>
      <c r="J7" s="793"/>
      <c r="K7" s="1993"/>
    </row>
    <row s="11126" customFormat="1" customHeight="1" ht="6">
      <c r="A8" s="1989"/>
      <c r="C8" s="788"/>
      <c r="D8" s="787"/>
      <c r="E8" s="787"/>
      <c r="F8" s="787"/>
      <c r="G8" s="787"/>
      <c r="H8" s="787"/>
      <c r="I8" s="787"/>
      <c r="J8" s="787"/>
      <c r="L8" s="1992"/>
      <c r="M8" s="1992"/>
      <c r="N8" s="1992"/>
      <c r="O8" s="1992"/>
      <c r="P8" s="1992"/>
      <c r="Q8" s="1992"/>
      <c r="R8" s="1992"/>
      <c r="S8" s="1992"/>
      <c r="T8" s="1992"/>
      <c r="U8" s="1992"/>
    </row>
    <row s="11126"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6" t="s">
        <v>291</v>
      </c>
      <c r="E10" s="2337"/>
      <c r="F10" s="2337"/>
      <c r="G10" s="2337"/>
      <c r="H10" s="2337"/>
      <c r="I10" s="2337"/>
      <c r="J10" s="2341" t="s">
        <v>292</v>
      </c>
    </row>
    <row customHeight="1" ht="25.5">
      <c r="C11" s="1881"/>
      <c r="D11" s="2342" t="s">
        <v>88</v>
      </c>
      <c r="E11" s="2341" t="str">
        <f>IF(TEMPLATE_SPHERE&lt;&gt;"HEAT","Регулируемый вид деятельности","Вид регулируемой деятельности")</f>
        <v>Вид регулируемой деятельности</v>
      </c>
      <c r="F11" s="2355" t="s">
        <v>88</v>
      </c>
      <c r="G11" s="2356"/>
      <c r="H11" s="2359" t="s">
        <v>378</v>
      </c>
      <c r="I11" s="2359" t="s">
        <v>379</v>
      </c>
      <c r="J11" s="2341"/>
    </row>
    <row customHeight="1" ht="14.25">
      <c r="C12" s="1881"/>
      <c r="D12" s="2342"/>
      <c r="E12" s="2341"/>
      <c r="F12" s="2357"/>
      <c r="G12" s="2358"/>
      <c r="H12" s="2360"/>
      <c r="I12" s="2360"/>
      <c r="J12" s="2341"/>
    </row>
    <row s="11084" customFormat="1" customHeight="1" ht="11.25">
      <c r="C13" s="800"/>
      <c r="D13" s="801" t="s">
        <v>369</v>
      </c>
      <c r="E13" s="801"/>
      <c r="F13" s="801"/>
      <c r="G13" s="801"/>
      <c r="H13" s="799"/>
      <c r="I13" s="799"/>
      <c r="J13" s="737"/>
      <c r="L13" s="1992"/>
      <c r="M13" s="1992"/>
      <c r="N13" s="1992"/>
      <c r="O13" s="1992"/>
      <c r="P13" s="1992"/>
      <c r="Q13" s="1992"/>
      <c r="R13" s="1992"/>
      <c r="S13" s="1992"/>
      <c r="T13" s="1992"/>
      <c r="U13" s="1992"/>
    </row>
    <row customHeight="1" ht="14.25">
      <c r="A14" s="1985"/>
      <c r="C14" s="1881"/>
      <c r="D14" s="2361" t="s">
        <v>99</v>
      </c>
      <c r="E14" s="2363"/>
      <c r="F14" s="1995"/>
      <c r="G14" s="1994" t="s">
        <v>99</v>
      </c>
      <c r="H14" s="2001"/>
      <c r="I14" s="1999"/>
      <c r="J14" s="2352" t="s">
        <v>380</v>
      </c>
      <c r="K14" s="1985"/>
      <c r="R14" s="802" t="s">
        <v>374</v>
      </c>
      <c r="S14" s="802" t="s">
        <v>374</v>
      </c>
    </row>
    <row customHeight="1" ht="14.25">
      <c r="A15" s="1985"/>
      <c r="C15" s="1881"/>
      <c r="D15" s="2362"/>
      <c r="E15" s="2364"/>
      <c r="F15" s="706"/>
      <c r="G15" s="1181"/>
      <c r="H15" s="1181" t="s">
        <v>376</v>
      </c>
      <c r="I15" s="590"/>
      <c r="J15" s="2353"/>
      <c r="K15" s="1985"/>
      <c r="R15" s="802"/>
      <c r="S15" s="802"/>
    </row>
    <row customHeight="1" ht="14.25">
      <c r="A16" s="1985"/>
      <c r="C16" s="1881"/>
      <c r="D16" s="706"/>
      <c r="E16" s="1181" t="s">
        <v>121</v>
      </c>
      <c r="F16" s="590"/>
      <c r="G16" s="590"/>
      <c r="H16" s="707"/>
      <c r="I16" s="707"/>
      <c r="J16" s="2354"/>
      <c r="K16" s="1985"/>
    </row>
    <row customHeight="1" ht="14.25">
      <c r="K17" s="198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D29DE-173E-10F7-F22F-055A421D50A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04" width="9.140625" hidden="1" customWidth="1"/>
    <col min="2" max="2" style="11105" width="9.140625" hidden="1" customWidth="1"/>
    <col min="3" max="3" style="10656" width="9.140625" hidden="1" customWidth="1"/>
    <col min="4" max="4" style="11106" width="3.7109375" customWidth="1"/>
    <col min="5" max="5" style="11105" width="6.28125" customWidth="1"/>
    <col min="6" max="6" style="10656" width="1.7109375" hidden="1" customWidth="1"/>
    <col min="7" max="8" style="11105" width="30.7109375" customWidth="1"/>
    <col min="9" max="9" style="11105" width="9.00390625" customWidth="1"/>
    <col min="10" max="10" style="11105" width="12.140625" customWidth="1"/>
    <col min="11" max="11" style="11105" width="46.7109375" customWidth="1"/>
    <col min="12" max="12" style="11105" width="100.28125" customWidth="1"/>
    <col min="13" max="13" style="11108" width="7.57421875" customWidth="1"/>
    <col min="14" max="22" style="11105" width="10.57421875"/>
  </cols>
  <sheetData>
    <row s="11109" customFormat="1" customHeight="1" ht="5.25" hidden="1">
      <c r="C1" s="813"/>
      <c r="D1" s="796"/>
      <c r="F1" s="813"/>
      <c r="G1" s="791" t="s">
        <v>83</v>
      </c>
      <c r="H1" s="791" t="s">
        <v>84</v>
      </c>
      <c r="I1" s="791" t="s">
        <v>85</v>
      </c>
      <c r="P1" s="791" t="s">
        <v>83</v>
      </c>
      <c r="Q1" s="791" t="s">
        <v>84</v>
      </c>
      <c r="R1" s="791" t="s">
        <v>85</v>
      </c>
    </row>
    <row s="11109" customFormat="1" customHeight="1" ht="5.25" hidden="1">
      <c r="C2" s="813"/>
      <c r="D2" s="796"/>
      <c r="F2" s="813"/>
    </row>
    <row s="11053" customFormat="1" customHeight="1" ht="6">
      <c r="A3" s="781"/>
      <c r="D3" s="788"/>
      <c r="E3" s="783"/>
      <c r="F3" s="783"/>
      <c r="G3" s="783"/>
      <c r="H3" s="783"/>
      <c r="I3" s="784"/>
      <c r="J3" s="785"/>
      <c r="K3" s="785"/>
      <c r="L3" s="785"/>
    </row>
    <row customHeight="1" ht="22.5">
      <c r="D4" s="752"/>
      <c r="E4" s="2261" t="s">
        <v>381</v>
      </c>
      <c r="F4" s="2261"/>
      <c r="G4" s="2262"/>
      <c r="H4" s="2262"/>
      <c r="I4" s="2263"/>
      <c r="J4" s="793"/>
      <c r="K4" s="755"/>
      <c r="L4" s="755"/>
    </row>
    <row s="10656" customFormat="1" customHeight="1" ht="17.25">
      <c r="A5" s="1063"/>
      <c r="D5" s="1131"/>
      <c r="E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32"/>
      <c r="G5" s="2333"/>
      <c r="H5" s="2333"/>
      <c r="I5" s="2334"/>
      <c r="J5" s="793"/>
      <c r="K5" s="755"/>
      <c r="L5" s="755"/>
      <c r="M5" s="809"/>
    </row>
    <row s="11053" customFormat="1" customHeight="1" ht="11.25">
      <c r="A6" s="781"/>
      <c r="D6" s="788"/>
      <c r="E6" s="783"/>
      <c r="F6" s="783"/>
      <c r="G6" s="786"/>
      <c r="H6" s="786"/>
      <c r="I6" s="787"/>
      <c r="J6" s="787"/>
      <c r="K6" s="1056"/>
      <c r="L6" s="787"/>
    </row>
    <row customHeight="1" ht="14.25">
      <c r="D7" s="752"/>
      <c r="E7" s="2365" t="s">
        <v>291</v>
      </c>
      <c r="F7" s="2365"/>
      <c r="G7" s="2366"/>
      <c r="H7" s="2366"/>
      <c r="I7" s="2366"/>
      <c r="J7" s="2366"/>
      <c r="K7" s="2366"/>
      <c r="L7" s="2341" t="s">
        <v>292</v>
      </c>
    </row>
    <row customHeight="1" ht="45">
      <c r="D8" s="752"/>
      <c r="E8" s="775" t="s">
        <v>88</v>
      </c>
      <c r="F8" s="1132"/>
      <c r="G8" s="767" t="s">
        <v>86</v>
      </c>
      <c r="H8" s="767" t="s">
        <v>87</v>
      </c>
      <c r="I8" s="715" t="s">
        <v>85</v>
      </c>
      <c r="J8" s="715" t="s">
        <v>382</v>
      </c>
      <c r="K8" s="715" t="s">
        <v>383</v>
      </c>
      <c r="L8" s="2341"/>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39" t="s">
        <v>384</v>
      </c>
      <c r="M10" s="809"/>
      <c r="N10" s="807"/>
      <c r="O10" s="807"/>
      <c r="P10" s="807"/>
      <c r="Q10" s="807"/>
      <c r="R10" s="807"/>
      <c r="S10" s="807"/>
      <c r="T10" s="807"/>
      <c r="U10" s="807"/>
      <c r="V10" s="807"/>
    </row>
    <row customHeight="1" ht="15" hidden="1">
      <c r="A11" s="2199"/>
      <c r="B11" s="806"/>
      <c r="C11" s="806"/>
      <c r="D11" s="1177"/>
      <c r="E11" s="815"/>
      <c r="F11" s="815"/>
      <c r="G11" s="815"/>
      <c r="H11" s="815"/>
      <c r="I11" s="816"/>
      <c r="J11" s="817"/>
      <c r="K11" s="1015"/>
      <c r="L11" s="2367"/>
      <c r="M11" s="813"/>
      <c r="N11" s="813"/>
      <c r="O11" s="813"/>
      <c r="P11" s="818"/>
      <c r="Q11" s="818"/>
      <c r="R11" s="819"/>
      <c r="S11" s="813"/>
      <c r="T11" s="813"/>
      <c r="U11" s="813"/>
      <c r="V11" s="813"/>
    </row>
    <row s="11053" customFormat="1" customHeight="1" ht="14.25">
      <c r="A12" s="2199"/>
      <c r="B12" s="806"/>
      <c r="C12" s="806"/>
      <c r="D12" s="1178"/>
      <c r="E12" s="1132">
        <v>1</v>
      </c>
      <c r="F12" s="1176">
        <v>23</v>
      </c>
      <c r="G12" s="1175"/>
      <c r="H12" s="1098"/>
      <c r="I12" s="1096"/>
      <c r="J12" s="822" t="s">
        <v>63</v>
      </c>
      <c r="K12" s="1490" t="s">
        <v>17</v>
      </c>
      <c r="L12" s="2367"/>
      <c r="M12" s="813"/>
      <c r="N12" s="813"/>
      <c r="O12" s="813"/>
      <c r="P12" s="818" t="s">
        <v>385</v>
      </c>
      <c r="Q12" s="818" t="s">
        <v>386</v>
      </c>
      <c r="R12" s="819" t="s">
        <v>387</v>
      </c>
      <c r="S12" s="813" t="s">
        <v>388</v>
      </c>
      <c r="T12" s="813"/>
      <c r="U12" s="813"/>
      <c r="V12" s="813"/>
    </row>
    <row customHeight="1" ht="15">
      <c r="A13" s="2199"/>
      <c r="B13" s="807"/>
      <c r="D13" s="808"/>
      <c r="E13" s="706"/>
      <c r="F13" s="831"/>
      <c r="G13" s="717" t="s">
        <v>102</v>
      </c>
      <c r="H13" s="705"/>
      <c r="I13" s="705"/>
      <c r="J13" s="705"/>
      <c r="K13" s="704"/>
      <c r="L13" s="2340"/>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8C59E-4F8B-C3ED-0961-837E2CDB3C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92" width="43.140625"/>
    <col min="4" max="5" style="11192" width="36.421875" customWidth="1"/>
    <col min="6" max="8" style="11193" width="36.421875" customWidth="1"/>
  </cols>
  <sheetData>
    <row customHeight="1" ht="9">
      <c r="A1" s="1157" t="s">
        <v>389</v>
      </c>
      <c r="B1" s="1157"/>
      <c r="C1" s="1303" t="s">
        <v>390</v>
      </c>
      <c r="D1" s="1301" t="s">
        <v>391</v>
      </c>
      <c r="E1" s="1301" t="s">
        <v>392</v>
      </c>
      <c r="F1" s="1301" t="s">
        <v>393</v>
      </c>
      <c r="G1" s="1301" t="s">
        <v>394</v>
      </c>
      <c r="H1" s="1301" t="s">
        <v>395</v>
      </c>
    </row>
    <row customHeight="1" ht="9">
      <c r="A2" s="1304" t="s">
        <v>396</v>
      </c>
      <c r="B2" s="1304"/>
      <c r="C2" s="1305" t="str">
        <f>INDEX(TEMPLATE_NUMBER_FORM_LIST,MATCH(TEMPLATE_SPHERE,TEMPLATE_SPHERE_LIST,0))</f>
        <v>16</v>
      </c>
      <c r="D2" s="1304" t="s">
        <v>397</v>
      </c>
      <c r="E2" s="1304" t="s">
        <v>149</v>
      </c>
      <c r="F2" s="1306" t="s">
        <v>149</v>
      </c>
      <c r="G2" s="1304" t="s">
        <v>149</v>
      </c>
      <c r="H2" s="1307"/>
    </row>
    <row customHeight="1" ht="63">
      <c r="A3" s="1157"/>
      <c r="B3" s="1157" t="s">
        <v>99</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398</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399</v>
      </c>
      <c r="B4" s="1157" t="s">
        <v>109</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400</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401</v>
      </c>
    </row>
    <row customHeight="1" ht="171">
      <c r="A5" s="1157" t="s">
        <v>402</v>
      </c>
      <c r="B5" s="1157" t="s">
        <v>90</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403</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404</v>
      </c>
    </row>
    <row customHeight="1" ht="90">
      <c r="A6" s="1157" t="s">
        <v>405</v>
      </c>
      <c r="B6" s="1157" t="s">
        <v>91</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406</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407</v>
      </c>
      <c r="B7" s="1157" t="s">
        <v>110</v>
      </c>
      <c r="C7" s="1305" t="str">
        <f>IF(TEMPLATE_SPHERE="HEAT",D7,E7)</f>
        <v>Форма 11. Информация о расходах на капитальный и текущий ремонт основных средств</v>
      </c>
      <c r="D7" s="1157" t="s">
        <v>408</v>
      </c>
      <c r="E7" s="1157" t="s">
        <v>409</v>
      </c>
      <c r="F7" s="1307"/>
      <c r="G7" s="1307"/>
      <c r="H7" s="1307"/>
    </row>
    <row customHeight="1" ht="108">
      <c r="A8" s="1157" t="s">
        <v>410</v>
      </c>
      <c r="B8" s="1157" t="s">
        <v>92</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411</v>
      </c>
      <c r="E8" s="1157" t="s">
        <v>412</v>
      </c>
      <c r="F8" s="1307"/>
      <c r="G8" s="1307"/>
      <c r="H8" s="1307"/>
    </row>
    <row customHeight="1" ht="99">
      <c r="A9" s="1157" t="s">
        <v>413</v>
      </c>
      <c r="B9" s="1157"/>
      <c r="C9" s="1157" t="s">
        <v>414</v>
      </c>
      <c r="D9" s="1157"/>
      <c r="E9" s="1157"/>
      <c r="F9" s="1307"/>
      <c r="G9" s="1307"/>
      <c r="H9" s="1307"/>
    </row>
    <row customHeight="1" ht="117">
      <c r="A10" s="1157" t="s">
        <v>415</v>
      </c>
      <c r="B10" s="1157"/>
      <c r="C10" s="1157" t="s">
        <v>416</v>
      </c>
      <c r="D10" s="1157"/>
      <c r="E10" s="1157"/>
      <c r="F10" s="1307"/>
      <c r="G10" s="1307"/>
      <c r="H10" s="1307"/>
    </row>
    <row customHeight="1" ht="108">
      <c r="A11" s="1157" t="s">
        <v>417</v>
      </c>
      <c r="B11" s="1157"/>
      <c r="C11" s="1157" t="s">
        <v>418</v>
      </c>
      <c r="D11" s="1157"/>
      <c r="E11" s="1157"/>
      <c r="F11" s="1307"/>
      <c r="G11" s="1307"/>
      <c r="H11" s="1307"/>
    </row>
    <row customHeight="1" ht="54">
      <c r="A12" s="1157" t="s">
        <v>419</v>
      </c>
      <c r="B12" s="1157"/>
      <c r="C12" s="1157" t="s">
        <v>420</v>
      </c>
      <c r="D12" s="1157"/>
      <c r="E12" s="1157"/>
      <c r="F12" s="1307"/>
      <c r="G12" s="1307"/>
      <c r="H12" s="1307"/>
    </row>
    <row customHeight="1" ht="99">
      <c r="A13" s="1157" t="s">
        <v>421</v>
      </c>
      <c r="B13" s="1157"/>
      <c r="C13" s="1157" t="s">
        <v>422</v>
      </c>
      <c r="D13" s="1157"/>
      <c r="E13" s="1157"/>
      <c r="F13" s="1307"/>
      <c r="G13" s="1307"/>
      <c r="H13" s="1307"/>
    </row>
    <row customHeight="1" ht="99">
      <c r="A14" s="1157" t="s">
        <v>423</v>
      </c>
      <c r="B14" s="1157"/>
      <c r="C14" s="1157" t="s">
        <v>424</v>
      </c>
      <c r="D14" s="1157"/>
      <c r="E14" s="1157"/>
      <c r="F14" s="1307"/>
      <c r="G14" s="1307"/>
      <c r="H14" s="1307"/>
    </row>
    <row customHeight="1" ht="117">
      <c r="A15" s="1157" t="s">
        <v>425</v>
      </c>
      <c r="B15" s="1157"/>
      <c r="C15" s="1157" t="s">
        <v>426</v>
      </c>
      <c r="D15" s="1157"/>
      <c r="E15" s="1157"/>
      <c r="F15" s="1307"/>
      <c r="G15" s="1307"/>
      <c r="H15" s="1307"/>
    </row>
    <row customHeight="1" ht="54">
      <c r="A16" s="1157" t="s">
        <v>427</v>
      </c>
      <c r="B16" s="1157"/>
      <c r="C16" s="1157" t="s">
        <v>428</v>
      </c>
      <c r="D16" s="1157"/>
      <c r="E16" s="1157"/>
      <c r="F16" s="1307"/>
      <c r="G16" s="1307"/>
      <c r="H16" s="1307"/>
    </row>
    <row customHeight="1" ht="63">
      <c r="A17" s="1157" t="s">
        <v>429</v>
      </c>
      <c r="B17" s="1157"/>
      <c r="C17" s="1305" t="s">
        <v>430</v>
      </c>
      <c r="D17" s="1157"/>
      <c r="E17" s="1157"/>
      <c r="F17" s="1307"/>
      <c r="G17" s="1307"/>
      <c r="H17" s="1307"/>
    </row>
    <row customHeight="1" ht="27">
      <c r="A18" s="1157" t="s">
        <v>431</v>
      </c>
      <c r="B18" s="1157"/>
      <c r="C18" s="1305" t="s">
        <v>432</v>
      </c>
      <c r="D18" s="1157"/>
      <c r="E18" s="1157"/>
      <c r="F18" s="1307"/>
      <c r="G18" s="1307"/>
      <c r="H18" s="1307"/>
    </row>
    <row customHeight="1" ht="54">
      <c r="A19" s="1157" t="s">
        <v>433</v>
      </c>
      <c r="B19" s="1157"/>
      <c r="C19" s="1305" t="s">
        <v>434</v>
      </c>
      <c r="D19" s="1157"/>
      <c r="E19" s="1157"/>
      <c r="F19" s="1307"/>
      <c r="G19" s="1307"/>
      <c r="H19" s="1307"/>
    </row>
    <row customHeight="1" ht="36">
      <c r="A20" s="1157" t="s">
        <v>435</v>
      </c>
      <c r="B20" s="1157"/>
      <c r="C20" s="1305" t="s">
        <v>436</v>
      </c>
      <c r="D20" s="1157"/>
      <c r="E20" s="1157"/>
      <c r="F20" s="1307"/>
      <c r="G20" s="1307"/>
      <c r="H20" s="1307"/>
    </row>
    <row customHeight="1" ht="28.5">
      <c r="A21" s="1157" t="s">
        <v>437</v>
      </c>
      <c r="B21" s="1157"/>
      <c r="C21" s="1305" t="s">
        <v>438</v>
      </c>
      <c r="D21" s="1157"/>
      <c r="E21" s="1157"/>
      <c r="F21" s="1307"/>
      <c r="G21" s="1307"/>
      <c r="H21" s="1307"/>
    </row>
    <row customHeight="1" ht="28.5">
      <c r="A22" s="1157" t="s">
        <v>439</v>
      </c>
      <c r="B22" s="1157"/>
      <c r="C22" s="1305" t="s">
        <v>440</v>
      </c>
      <c r="D22" s="1157"/>
      <c r="E22" s="1157"/>
      <c r="F22" s="1307"/>
      <c r="G22" s="1307"/>
      <c r="H22" s="1307"/>
    </row>
    <row customHeight="1" ht="28.5">
      <c r="A23" s="1157" t="s">
        <v>441</v>
      </c>
      <c r="B23" s="1157"/>
      <c r="C23" s="1305" t="s">
        <v>442</v>
      </c>
      <c r="D23" s="1157"/>
      <c r="E23" s="1157"/>
      <c r="F23" s="1307"/>
      <c r="G23" s="1307"/>
      <c r="H23" s="1307"/>
    </row>
    <row customHeight="1" ht="28.5">
      <c r="A24" s="1157" t="s">
        <v>443</v>
      </c>
      <c r="B24" s="1157"/>
      <c r="C24" s="1305" t="s">
        <v>444</v>
      </c>
      <c r="D24" s="1157"/>
      <c r="E24" s="1157"/>
      <c r="F24" s="1307"/>
      <c r="G24" s="1307"/>
      <c r="H24" s="1307"/>
    </row>
    <row customHeight="1" ht="28.5">
      <c r="A25" s="1157" t="s">
        <v>445</v>
      </c>
      <c r="B25" s="1157"/>
      <c r="C25" s="1305" t="s">
        <v>446</v>
      </c>
      <c r="D25" s="1157"/>
      <c r="E25" s="1157"/>
      <c r="F25" s="1307"/>
      <c r="G25" s="1307"/>
      <c r="H25" s="1307"/>
    </row>
    <row customHeight="1" ht="28.5">
      <c r="A26" s="1157" t="s">
        <v>447</v>
      </c>
      <c r="B26" s="1157"/>
      <c r="C26" s="1305" t="s">
        <v>448</v>
      </c>
      <c r="D26" s="1157"/>
      <c r="E26" s="1157"/>
      <c r="F26" s="1307"/>
      <c r="G26" s="1307"/>
      <c r="H26" s="1307"/>
    </row>
    <row customHeight="1" ht="28.5">
      <c r="A27" s="1157" t="s">
        <v>449</v>
      </c>
      <c r="B27" s="1157"/>
      <c r="C27" s="1305" t="s">
        <v>450</v>
      </c>
      <c r="D27" s="1157"/>
      <c r="E27" s="1157"/>
      <c r="F27" s="1307"/>
      <c r="G27" s="1307"/>
      <c r="H27" s="1307"/>
    </row>
    <row customHeight="1" ht="28.5">
      <c r="A28" s="1157" t="s">
        <v>451</v>
      </c>
      <c r="B28" s="1157"/>
      <c r="C28" s="1305" t="s">
        <v>452</v>
      </c>
      <c r="D28" s="1157"/>
      <c r="E28" s="1157"/>
      <c r="F28" s="1307"/>
      <c r="G28" s="1307"/>
      <c r="H28" s="1307"/>
    </row>
    <row customHeight="1" ht="126">
      <c r="A29" s="1157" t="s">
        <v>453</v>
      </c>
      <c r="B29" s="1157" t="s">
        <v>454</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455</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456</v>
      </c>
    </row>
    <row customHeight="1" ht="36">
      <c r="A30" s="1157" t="s">
        <v>457</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458</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459</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BD4B88-D007-8D9A-FA71-480E3EB10F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92" width="9.140625"/>
    <col min="3" max="7" style="11236" width="8.00390625" customWidth="1"/>
    <col min="8" max="12" style="11236" width="8.57421875" customWidth="1"/>
    <col min="13" max="14" style="11236" width="27.7109375" customWidth="1"/>
    <col min="15" max="19" style="11236" width="5.140625" customWidth="1"/>
    <col min="20" max="24" style="11236" width="27.7109375" customWidth="1"/>
    <col min="25" max="25" style="11237" width="1.8515625" customWidth="1"/>
    <col min="26" max="26" style="11192" width="27.7109375" customWidth="1"/>
    <col min="27" max="27" style="11238" width="27.7109375" customWidth="1"/>
    <col min="28" max="29" style="11192" width="27.7109375" customWidth="1"/>
    <col min="30" max="30" style="11192" width="3.8515625" customWidth="1"/>
    <col min="31" max="34" style="11192" width="9.140625"/>
  </cols>
  <sheetData>
    <row s="11194" customFormat="1" customHeight="1" ht="18">
      <c r="A1" s="1215"/>
      <c r="B1" s="1215"/>
      <c r="C1" s="1215" t="s">
        <v>460</v>
      </c>
      <c r="D1" s="1215"/>
      <c r="E1" s="1215"/>
      <c r="F1" s="1215"/>
      <c r="G1" s="1215"/>
      <c r="H1" s="1215" t="s">
        <v>461</v>
      </c>
      <c r="I1" s="1215"/>
      <c r="J1" s="1215"/>
      <c r="K1" s="1215"/>
      <c r="L1" s="1215"/>
      <c r="M1" s="1215" t="s">
        <v>462</v>
      </c>
      <c r="N1" s="1215" t="s">
        <v>463</v>
      </c>
      <c r="O1" s="2368" t="s">
        <v>464</v>
      </c>
      <c r="P1" s="2368"/>
      <c r="Q1" s="2368"/>
      <c r="R1" s="2368"/>
      <c r="S1" s="2368"/>
      <c r="T1" s="2368" t="s">
        <v>462</v>
      </c>
      <c r="U1" s="2368"/>
      <c r="V1" s="2368"/>
      <c r="W1" s="2368"/>
      <c r="X1" s="2368"/>
      <c r="Y1" s="1320"/>
      <c r="Z1" s="2368" t="s">
        <v>465</v>
      </c>
      <c r="AA1" s="2368"/>
      <c r="AB1" s="2368"/>
      <c r="AC1" s="2368"/>
      <c r="AD1" s="2368"/>
    </row>
    <row customHeight="1" ht="18">
      <c r="A2" s="1157"/>
      <c r="B2" s="1157"/>
      <c r="C2" s="1152" t="s">
        <v>391</v>
      </c>
      <c r="D2" s="1152" t="s">
        <v>392</v>
      </c>
      <c r="E2" s="1152" t="s">
        <v>393</v>
      </c>
      <c r="F2" s="1152" t="s">
        <v>394</v>
      </c>
      <c r="G2" s="1152" t="s">
        <v>395</v>
      </c>
      <c r="H2" s="1154"/>
      <c r="I2" s="1154"/>
      <c r="J2" s="1154"/>
      <c r="K2" s="1154"/>
      <c r="L2" s="1154"/>
      <c r="M2" s="1154"/>
      <c r="N2" s="1154"/>
      <c r="O2" s="1152" t="s">
        <v>391</v>
      </c>
      <c r="P2" s="1152" t="s">
        <v>392</v>
      </c>
      <c r="Q2" s="1152" t="s">
        <v>394</v>
      </c>
      <c r="R2" s="1152" t="s">
        <v>393</v>
      </c>
      <c r="S2" s="1152" t="s">
        <v>395</v>
      </c>
      <c r="T2" s="1152" t="s">
        <v>391</v>
      </c>
      <c r="U2" s="1152" t="s">
        <v>392</v>
      </c>
      <c r="V2" s="1152" t="s">
        <v>394</v>
      </c>
      <c r="W2" s="1152" t="s">
        <v>393</v>
      </c>
      <c r="X2" s="1152" t="s">
        <v>395</v>
      </c>
      <c r="Y2" s="1152"/>
      <c r="Z2" s="1152" t="s">
        <v>391</v>
      </c>
      <c r="AA2" s="1161" t="s">
        <v>392</v>
      </c>
      <c r="AB2" s="1152" t="s">
        <v>394</v>
      </c>
      <c r="AC2" s="1152" t="s">
        <v>393</v>
      </c>
      <c r="AD2" s="1152" t="s">
        <v>395</v>
      </c>
    </row>
    <row customHeight="1" ht="162">
      <c r="A3" s="1156" t="s">
        <v>22</v>
      </c>
      <c r="B3" s="1156"/>
      <c r="C3" s="2372" t="s">
        <v>466</v>
      </c>
      <c r="D3" s="2373"/>
      <c r="E3" s="2373"/>
      <c r="F3" s="2374"/>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467</v>
      </c>
      <c r="AA3" s="1154" t="s">
        <v>468</v>
      </c>
      <c r="AB3" s="1157" t="s">
        <v>469</v>
      </c>
      <c r="AC3" s="1157" t="s">
        <v>470</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9" t="s">
        <v>28</v>
      </c>
      <c r="B11" s="1216">
        <v>1</v>
      </c>
      <c r="C11" s="2375" t="s">
        <v>471</v>
      </c>
      <c r="D11" s="2375" t="s">
        <v>472</v>
      </c>
      <c r="E11" s="2375" t="s">
        <v>473</v>
      </c>
      <c r="F11" s="2375" t="s">
        <v>474</v>
      </c>
      <c r="G11" s="2375"/>
      <c r="H11" s="1215" t="s">
        <v>475</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476</v>
      </c>
      <c r="U11" s="1154" t="s">
        <v>477</v>
      </c>
      <c r="V11" s="1154"/>
      <c r="W11" s="1154"/>
      <c r="X11" s="1154"/>
      <c r="Y11" s="1321"/>
      <c r="Z11" s="1157" t="s">
        <v>478</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9"/>
      <c r="B12" s="1216">
        <v>2</v>
      </c>
      <c r="C12" s="2376"/>
      <c r="D12" s="2376"/>
      <c r="E12" s="2376"/>
      <c r="F12" s="2376"/>
      <c r="G12" s="2376"/>
      <c r="H12" s="1215" t="s">
        <v>479</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480</v>
      </c>
      <c r="U12" s="1154" t="s">
        <v>481</v>
      </c>
      <c r="V12" s="1154"/>
      <c r="W12" s="1154"/>
      <c r="X12" s="1154"/>
      <c r="Y12" s="1321"/>
      <c r="Z12" s="1157" t="s">
        <v>482</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9"/>
      <c r="B13" s="1216">
        <v>3</v>
      </c>
      <c r="C13" s="2376"/>
      <c r="D13" s="2376"/>
      <c r="E13" s="2376"/>
      <c r="F13" s="2376"/>
      <c r="G13" s="2376"/>
      <c r="H13" s="2368" t="s">
        <v>483</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484</v>
      </c>
      <c r="U13" s="1155" t="s">
        <v>485</v>
      </c>
      <c r="V13" s="1155"/>
      <c r="W13" s="1155"/>
      <c r="X13" s="1154"/>
      <c r="Y13" s="1321"/>
      <c r="Z13" s="1157" t="s">
        <v>486</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9"/>
      <c r="B14" s="1216">
        <v>4</v>
      </c>
      <c r="C14" s="2376"/>
      <c r="D14" s="2376"/>
      <c r="E14" s="2376"/>
      <c r="F14" s="2376"/>
      <c r="G14" s="2376"/>
      <c r="H14" s="2368"/>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487</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488</v>
      </c>
      <c r="AA14" s="1160" t="s">
        <v>488</v>
      </c>
      <c r="AB14" s="1157"/>
      <c r="AC14" s="1157"/>
      <c r="AD14" s="1157"/>
    </row>
    <row customHeight="1" ht="108">
      <c r="A15" s="2369"/>
      <c r="B15" s="1216">
        <v>5</v>
      </c>
      <c r="C15" s="2376"/>
      <c r="D15" s="2376"/>
      <c r="E15" s="2376"/>
      <c r="F15" s="2376"/>
      <c r="G15" s="2376"/>
      <c r="H15" s="2370" t="s">
        <v>489</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490</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491</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7"/>
      <c r="D16" s="2377"/>
      <c r="E16" s="2377"/>
      <c r="F16" s="2377"/>
      <c r="G16" s="2377"/>
      <c r="H16" s="2371"/>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491</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492</v>
      </c>
      <c r="B18" s="1216">
        <v>1</v>
      </c>
      <c r="C18" s="1154" t="s">
        <v>475</v>
      </c>
      <c r="D18" s="1288" t="s">
        <v>475</v>
      </c>
      <c r="E18" s="1154" t="s">
        <v>475</v>
      </c>
      <c r="F18" s="1154" t="s">
        <v>475</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493</v>
      </c>
      <c r="U18" s="1157" t="s">
        <v>494</v>
      </c>
      <c r="V18" s="1157" t="s">
        <v>495</v>
      </c>
      <c r="W18" s="1157" t="s">
        <v>496</v>
      </c>
      <c r="X18" s="1154"/>
      <c r="Y18" s="1321"/>
      <c r="Z18" s="1157" t="s">
        <v>497</v>
      </c>
      <c r="AA18" s="1160" t="s">
        <v>498</v>
      </c>
      <c r="AB18" s="1160" t="s">
        <v>498</v>
      </c>
      <c r="AC18" s="1160" t="s">
        <v>498</v>
      </c>
      <c r="AD18" s="1157"/>
    </row>
    <row customHeight="1" ht="36">
      <c r="A19" s="1156"/>
      <c r="B19" s="1216">
        <v>2</v>
      </c>
      <c r="C19" s="1154" t="s">
        <v>479</v>
      </c>
      <c r="D19" s="1288" t="s">
        <v>479</v>
      </c>
      <c r="E19" s="1154" t="s">
        <v>479</v>
      </c>
      <c r="F19" s="1154" t="s">
        <v>479</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499</v>
      </c>
      <c r="U19" s="1157" t="s">
        <v>500</v>
      </c>
      <c r="V19" s="1157" t="s">
        <v>501</v>
      </c>
      <c r="W19" s="1157" t="s">
        <v>502</v>
      </c>
      <c r="X19" s="1154"/>
      <c r="Y19" s="1321"/>
      <c r="Z19" s="1157" t="s">
        <v>503</v>
      </c>
      <c r="AA19" s="1160" t="s">
        <v>503</v>
      </c>
      <c r="AB19" s="1160" t="s">
        <v>503</v>
      </c>
      <c r="AC19" s="1160" t="s">
        <v>503</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504</v>
      </c>
      <c r="P20" s="1278" t="s">
        <v>504</v>
      </c>
      <c r="Q20" s="1278" t="s">
        <v>504</v>
      </c>
      <c r="R20" s="1278" t="s">
        <v>504</v>
      </c>
      <c r="S20" s="1278"/>
      <c r="T20" s="1285" t="s">
        <v>505</v>
      </c>
      <c r="U20" s="1157" t="s">
        <v>506</v>
      </c>
      <c r="V20" s="1157" t="s">
        <v>507</v>
      </c>
      <c r="W20" s="1157" t="s">
        <v>508</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298</v>
      </c>
      <c r="P21" s="1278"/>
      <c r="Q21" s="1278"/>
      <c r="R21" s="1278"/>
      <c r="S21" s="1278"/>
      <c r="T21" s="1285" t="s">
        <v>509</v>
      </c>
      <c r="U21" s="1157"/>
      <c r="V21" s="1157"/>
      <c r="W21" s="1157"/>
      <c r="X21" s="1154"/>
      <c r="Y21" s="1321"/>
      <c r="Z21" s="1157" t="s">
        <v>510</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298</v>
      </c>
      <c r="R22" s="1278"/>
      <c r="S22" s="1278"/>
      <c r="T22" s="1285"/>
      <c r="U22" s="1157"/>
      <c r="V22" s="1157" t="s">
        <v>511</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301</v>
      </c>
      <c r="R23" s="1278"/>
      <c r="S23" s="1278"/>
      <c r="T23" s="1285"/>
      <c r="U23" s="1157"/>
      <c r="V23" s="1157" t="s">
        <v>512</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513</v>
      </c>
      <c r="R24" s="1278"/>
      <c r="S24" s="1278"/>
      <c r="T24" s="1285"/>
      <c r="U24" s="1157"/>
      <c r="V24" s="1157" t="s">
        <v>514</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301</v>
      </c>
      <c r="P25" s="1278" t="s">
        <v>298</v>
      </c>
      <c r="Q25" s="1278" t="s">
        <v>515</v>
      </c>
      <c r="R25" s="1278" t="s">
        <v>298</v>
      </c>
      <c r="S25" s="1278"/>
      <c r="T25" s="1285" t="s">
        <v>516</v>
      </c>
      <c r="U25" s="1157" t="s">
        <v>516</v>
      </c>
      <c r="V25" s="1157" t="s">
        <v>516</v>
      </c>
      <c r="W25" s="1157" t="s">
        <v>516</v>
      </c>
      <c r="X25" s="1154"/>
      <c r="Y25" s="1321"/>
      <c r="Z25" s="1157"/>
      <c r="AA25" s="1160"/>
      <c r="AB25" s="1157"/>
      <c r="AC25" s="1157"/>
      <c r="AD25" s="1157"/>
    </row>
    <row customHeight="1" ht="18">
      <c r="A26" s="1156"/>
      <c r="B26" s="1216">
        <v>9</v>
      </c>
      <c r="C26" s="1154" t="s">
        <v>517</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518</v>
      </c>
      <c r="P26" s="1278" t="s">
        <v>519</v>
      </c>
      <c r="Q26" s="1278" t="s">
        <v>520</v>
      </c>
      <c r="R26" s="1278" t="s">
        <v>519</v>
      </c>
      <c r="S26" s="1278"/>
      <c r="T26" s="1285" t="s">
        <v>521</v>
      </c>
      <c r="U26" s="1285" t="s">
        <v>521</v>
      </c>
      <c r="V26" s="1285" t="s">
        <v>521</v>
      </c>
      <c r="W26" s="1285" t="s">
        <v>521</v>
      </c>
      <c r="X26" s="1154"/>
      <c r="Y26" s="1321"/>
      <c r="Z26" s="1157"/>
      <c r="AA26" s="1160"/>
      <c r="AB26" s="1157"/>
      <c r="AC26" s="1157"/>
      <c r="AD26" s="1157"/>
    </row>
    <row customHeight="1" ht="18">
      <c r="A27" s="1156"/>
      <c r="B27" s="1216">
        <v>10</v>
      </c>
      <c r="C27" s="1154" t="s">
        <v>522</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523</v>
      </c>
      <c r="P27" s="1278" t="s">
        <v>524</v>
      </c>
      <c r="Q27" s="1278" t="s">
        <v>525</v>
      </c>
      <c r="R27" s="1278" t="s">
        <v>524</v>
      </c>
      <c r="S27" s="1278"/>
      <c r="T27" s="1285" t="s">
        <v>526</v>
      </c>
      <c r="U27" s="1285" t="s">
        <v>526</v>
      </c>
      <c r="V27" s="1285" t="s">
        <v>526</v>
      </c>
      <c r="W27" s="1285" t="s">
        <v>526</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513</v>
      </c>
      <c r="P28" s="1278"/>
      <c r="Q28" s="1278"/>
      <c r="R28" s="1278"/>
      <c r="S28" s="1278"/>
      <c r="T28" s="1285" t="s">
        <v>527</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515</v>
      </c>
      <c r="P29" s="1278" t="s">
        <v>301</v>
      </c>
      <c r="Q29" s="1278"/>
      <c r="R29" s="1278" t="s">
        <v>301</v>
      </c>
      <c r="S29" s="1278"/>
      <c r="T29" s="1285" t="s">
        <v>528</v>
      </c>
      <c r="U29" s="1157" t="s">
        <v>528</v>
      </c>
      <c r="V29" s="1157"/>
      <c r="W29" s="1157" t="s">
        <v>528</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529</v>
      </c>
      <c r="P30" s="1278" t="s">
        <v>513</v>
      </c>
      <c r="Q30" s="1278" t="s">
        <v>529</v>
      </c>
      <c r="R30" s="1278" t="s">
        <v>513</v>
      </c>
      <c r="S30" s="1278"/>
      <c r="T30" s="1285" t="s">
        <v>530</v>
      </c>
      <c r="U30" s="1157" t="s">
        <v>530</v>
      </c>
      <c r="V30" s="1157" t="s">
        <v>530</v>
      </c>
      <c r="W30" s="1157" t="s">
        <v>530</v>
      </c>
      <c r="X30" s="1154"/>
      <c r="Y30" s="1321"/>
      <c r="Z30" s="1157"/>
      <c r="AA30" s="1160" t="s">
        <v>531</v>
      </c>
      <c r="AB30" s="1160" t="s">
        <v>531</v>
      </c>
      <c r="AC30" s="1160" t="s">
        <v>531</v>
      </c>
      <c r="AD30" s="1157"/>
    </row>
    <row customHeight="1" ht="18">
      <c r="A31" s="1156"/>
      <c r="B31" s="1216">
        <v>14</v>
      </c>
      <c r="C31" s="1154" t="s">
        <v>532</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533</v>
      </c>
      <c r="P31" s="1278" t="s">
        <v>534</v>
      </c>
      <c r="Q31" s="1278" t="s">
        <v>533</v>
      </c>
      <c r="R31" s="1278" t="s">
        <v>534</v>
      </c>
      <c r="S31" s="1278"/>
      <c r="T31" s="1286" t="s">
        <v>535</v>
      </c>
      <c r="U31" s="1157" t="s">
        <v>535</v>
      </c>
      <c r="V31" s="1157" t="s">
        <v>535</v>
      </c>
      <c r="W31" s="1157" t="s">
        <v>535</v>
      </c>
      <c r="X31" s="1154"/>
      <c r="Y31" s="1321"/>
      <c r="Z31" s="1157"/>
      <c r="AA31" s="1160"/>
      <c r="AB31" s="1160"/>
      <c r="AC31" s="1160"/>
      <c r="AD31" s="1157"/>
    </row>
    <row customHeight="1" ht="36">
      <c r="A32" s="1156"/>
      <c r="B32" s="1216">
        <v>15</v>
      </c>
      <c r="C32" s="1154" t="s">
        <v>536</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537</v>
      </c>
      <c r="P32" s="1278" t="s">
        <v>538</v>
      </c>
      <c r="Q32" s="1278" t="s">
        <v>537</v>
      </c>
      <c r="R32" s="1278" t="s">
        <v>538</v>
      </c>
      <c r="S32" s="1278"/>
      <c r="T32" s="1287" t="s">
        <v>539</v>
      </c>
      <c r="U32" s="1157" t="s">
        <v>539</v>
      </c>
      <c r="V32" s="1157" t="s">
        <v>539</v>
      </c>
      <c r="W32" s="1157" t="s">
        <v>539</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540</v>
      </c>
      <c r="P33" s="1278" t="s">
        <v>515</v>
      </c>
      <c r="Q33" s="1278" t="s">
        <v>540</v>
      </c>
      <c r="R33" s="1278" t="s">
        <v>515</v>
      </c>
      <c r="S33" s="1278"/>
      <c r="T33" s="1286" t="s">
        <v>541</v>
      </c>
      <c r="U33" s="1157" t="s">
        <v>541</v>
      </c>
      <c r="V33" s="1157" t="s">
        <v>541</v>
      </c>
      <c r="W33" s="1157" t="s">
        <v>542</v>
      </c>
      <c r="X33" s="1154"/>
      <c r="Y33" s="1321"/>
      <c r="Z33" s="1157"/>
      <c r="AA33" s="1160" t="s">
        <v>543</v>
      </c>
      <c r="AB33" s="1160" t="s">
        <v>543</v>
      </c>
      <c r="AC33" s="1160" t="s">
        <v>543</v>
      </c>
      <c r="AD33" s="1157"/>
    </row>
    <row customHeight="1" ht="27">
      <c r="A34" s="1156"/>
      <c r="B34" s="1216">
        <v>17</v>
      </c>
      <c r="C34" s="1154" t="s">
        <v>544</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545</v>
      </c>
      <c r="P34" s="1278" t="s">
        <v>520</v>
      </c>
      <c r="Q34" s="1278" t="s">
        <v>545</v>
      </c>
      <c r="R34" s="1278" t="s">
        <v>520</v>
      </c>
      <c r="S34" s="1278"/>
      <c r="T34" s="1287" t="s">
        <v>546</v>
      </c>
      <c r="U34" s="1157" t="s">
        <v>546</v>
      </c>
      <c r="V34" s="1157" t="s">
        <v>546</v>
      </c>
      <c r="W34" s="1157" t="s">
        <v>547</v>
      </c>
      <c r="X34" s="1154"/>
      <c r="Y34" s="1321"/>
      <c r="Z34" s="1157"/>
      <c r="AA34" s="1160"/>
      <c r="AB34" s="1157"/>
      <c r="AC34" s="1157"/>
      <c r="AD34" s="1157"/>
    </row>
    <row customHeight="1" ht="45">
      <c r="A35" s="1156"/>
      <c r="B35" s="1216">
        <v>18</v>
      </c>
      <c r="C35" s="1154" t="s">
        <v>548</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549</v>
      </c>
      <c r="P35" s="1278" t="s">
        <v>525</v>
      </c>
      <c r="Q35" s="1278" t="s">
        <v>549</v>
      </c>
      <c r="R35" s="1278" t="s">
        <v>525</v>
      </c>
      <c r="S35" s="1278"/>
      <c r="T35" s="1285" t="s">
        <v>550</v>
      </c>
      <c r="U35" s="1157" t="s">
        <v>550</v>
      </c>
      <c r="V35" s="1157" t="s">
        <v>550</v>
      </c>
      <c r="W35" s="1157" t="s">
        <v>550</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551</v>
      </c>
      <c r="P36" s="1278" t="s">
        <v>529</v>
      </c>
      <c r="Q36" s="1278" t="s">
        <v>551</v>
      </c>
      <c r="R36" s="1278" t="s">
        <v>529</v>
      </c>
      <c r="S36" s="1278"/>
      <c r="T36" s="1285" t="s">
        <v>552</v>
      </c>
      <c r="U36" s="1157" t="s">
        <v>552</v>
      </c>
      <c r="V36" s="1157" t="s">
        <v>552</v>
      </c>
      <c r="W36" s="1157" t="s">
        <v>552</v>
      </c>
      <c r="X36" s="1154"/>
      <c r="Y36" s="1321"/>
      <c r="Z36" s="1157"/>
      <c r="AA36" s="1160"/>
      <c r="AB36" s="1157"/>
      <c r="AC36" s="1157"/>
      <c r="AD36" s="1157"/>
    </row>
    <row customHeight="1" ht="18">
      <c r="A37" s="1156"/>
      <c r="B37" s="1216">
        <v>20</v>
      </c>
      <c r="C37" s="1154" t="s">
        <v>553</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554</v>
      </c>
      <c r="P37" s="1278" t="s">
        <v>533</v>
      </c>
      <c r="Q37" s="1278" t="s">
        <v>554</v>
      </c>
      <c r="R37" s="1278" t="s">
        <v>533</v>
      </c>
      <c r="S37" s="1278"/>
      <c r="T37" s="1285" t="s">
        <v>555</v>
      </c>
      <c r="U37" s="1157" t="s">
        <v>555</v>
      </c>
      <c r="V37" s="1157" t="s">
        <v>555</v>
      </c>
      <c r="W37" s="1157" t="s">
        <v>555</v>
      </c>
      <c r="X37" s="1154"/>
      <c r="Y37" s="1321"/>
      <c r="Z37" s="1157"/>
      <c r="AA37" s="1160"/>
      <c r="AB37" s="1157"/>
      <c r="AC37" s="1157"/>
      <c r="AD37" s="1157"/>
    </row>
    <row customHeight="1" ht="18">
      <c r="A38" s="1156"/>
      <c r="B38" s="1216">
        <v>21</v>
      </c>
      <c r="C38" s="1154" t="s">
        <v>556</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557</v>
      </c>
      <c r="P38" s="1278" t="s">
        <v>537</v>
      </c>
      <c r="Q38" s="1278" t="s">
        <v>557</v>
      </c>
      <c r="R38" s="1278" t="s">
        <v>537</v>
      </c>
      <c r="S38" s="1278"/>
      <c r="T38" s="1285" t="s">
        <v>558</v>
      </c>
      <c r="U38" s="1157" t="s">
        <v>558</v>
      </c>
      <c r="V38" s="1157" t="s">
        <v>558</v>
      </c>
      <c r="W38" s="1157" t="s">
        <v>558</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559</v>
      </c>
      <c r="P39" s="1278" t="s">
        <v>540</v>
      </c>
      <c r="Q39" s="1278" t="s">
        <v>559</v>
      </c>
      <c r="R39" s="1278" t="s">
        <v>540</v>
      </c>
      <c r="S39" s="1278"/>
      <c r="T39" s="1285" t="s">
        <v>560</v>
      </c>
      <c r="U39" s="1157" t="s">
        <v>561</v>
      </c>
      <c r="V39" s="1157" t="s">
        <v>562</v>
      </c>
      <c r="W39" s="1157" t="s">
        <v>563</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564</v>
      </c>
      <c r="P40" s="1278" t="s">
        <v>551</v>
      </c>
      <c r="Q40" s="1278" t="s">
        <v>564</v>
      </c>
      <c r="R40" s="1278" t="s">
        <v>551</v>
      </c>
      <c r="S40" s="1278"/>
      <c r="T40" s="1154" t="s">
        <v>565</v>
      </c>
      <c r="U40" s="1154" t="s">
        <v>565</v>
      </c>
      <c r="V40" s="1154" t="s">
        <v>565</v>
      </c>
      <c r="W40" s="1154" t="s">
        <v>565</v>
      </c>
      <c r="X40" s="1154"/>
      <c r="Y40" s="1321"/>
      <c r="Z40" s="1157" t="s">
        <v>566</v>
      </c>
      <c r="AA40" s="1160" t="s">
        <v>566</v>
      </c>
      <c r="AB40" s="1160" t="s">
        <v>566</v>
      </c>
      <c r="AC40" s="1160" t="s">
        <v>566</v>
      </c>
      <c r="AD40" s="1157"/>
    </row>
    <row customHeight="1" ht="27">
      <c r="A41" s="1156"/>
      <c r="B41" s="1216">
        <v>24</v>
      </c>
      <c r="C41" s="1154" t="s">
        <v>567</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568</v>
      </c>
      <c r="P41" s="1278" t="s">
        <v>554</v>
      </c>
      <c r="Q41" s="1278" t="s">
        <v>568</v>
      </c>
      <c r="R41" s="1278" t="s">
        <v>554</v>
      </c>
      <c r="S41" s="1278"/>
      <c r="T41" s="1154" t="s">
        <v>569</v>
      </c>
      <c r="U41" s="1154" t="s">
        <v>569</v>
      </c>
      <c r="V41" s="1154" t="s">
        <v>569</v>
      </c>
      <c r="W41" s="1154" t="s">
        <v>569</v>
      </c>
      <c r="X41" s="1154"/>
      <c r="Y41" s="1321"/>
      <c r="Z41" s="1157" t="s">
        <v>570</v>
      </c>
      <c r="AA41" s="1157" t="s">
        <v>570</v>
      </c>
      <c r="AB41" s="1157" t="s">
        <v>570</v>
      </c>
      <c r="AC41" s="1157" t="s">
        <v>570</v>
      </c>
      <c r="AD41" s="1157"/>
    </row>
    <row customHeight="1" ht="27">
      <c r="A42" s="1156"/>
      <c r="B42" s="1216">
        <v>25</v>
      </c>
      <c r="C42" s="1154" t="s">
        <v>571</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572</v>
      </c>
      <c r="P42" s="1278" t="s">
        <v>557</v>
      </c>
      <c r="Q42" s="1278" t="s">
        <v>572</v>
      </c>
      <c r="R42" s="1278" t="s">
        <v>557</v>
      </c>
      <c r="S42" s="1278"/>
      <c r="T42" s="1154" t="s">
        <v>573</v>
      </c>
      <c r="U42" s="1154" t="s">
        <v>573</v>
      </c>
      <c r="V42" s="1154" t="s">
        <v>573</v>
      </c>
      <c r="W42" s="1154" t="s">
        <v>573</v>
      </c>
      <c r="X42" s="1154"/>
      <c r="Y42" s="1321"/>
      <c r="Z42" s="1157" t="s">
        <v>574</v>
      </c>
      <c r="AA42" s="1157" t="s">
        <v>574</v>
      </c>
      <c r="AB42" s="1157" t="s">
        <v>574</v>
      </c>
      <c r="AC42" s="1157" t="s">
        <v>574</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575</v>
      </c>
      <c r="P43" s="1278" t="s">
        <v>559</v>
      </c>
      <c r="Q43" s="1278" t="s">
        <v>575</v>
      </c>
      <c r="R43" s="1278" t="s">
        <v>559</v>
      </c>
      <c r="S43" s="1278"/>
      <c r="T43" s="1154" t="s">
        <v>576</v>
      </c>
      <c r="U43" s="1154" t="s">
        <v>576</v>
      </c>
      <c r="V43" s="1154" t="s">
        <v>576</v>
      </c>
      <c r="W43" s="1154" t="s">
        <v>576</v>
      </c>
      <c r="X43" s="1154"/>
      <c r="Y43" s="1321"/>
      <c r="Z43" s="1157" t="s">
        <v>577</v>
      </c>
      <c r="AA43" s="1157" t="s">
        <v>577</v>
      </c>
      <c r="AB43" s="1157" t="s">
        <v>577</v>
      </c>
      <c r="AC43" s="1157" t="s">
        <v>577</v>
      </c>
      <c r="AD43" s="1157"/>
    </row>
    <row customHeight="1" ht="27">
      <c r="A44" s="1156"/>
      <c r="B44" s="1216">
        <v>27</v>
      </c>
      <c r="C44" s="1154" t="s">
        <v>578</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579</v>
      </c>
      <c r="P44" s="1278" t="s">
        <v>580</v>
      </c>
      <c r="Q44" s="1278" t="s">
        <v>579</v>
      </c>
      <c r="R44" s="1278" t="s">
        <v>580</v>
      </c>
      <c r="S44" s="1278"/>
      <c r="T44" s="1154" t="s">
        <v>569</v>
      </c>
      <c r="U44" s="1154" t="s">
        <v>569</v>
      </c>
      <c r="V44" s="1154" t="s">
        <v>569</v>
      </c>
      <c r="W44" s="1154" t="s">
        <v>569</v>
      </c>
      <c r="X44" s="1154"/>
      <c r="Y44" s="1321"/>
      <c r="Z44" s="1157" t="s">
        <v>581</v>
      </c>
      <c r="AA44" s="1157" t="s">
        <v>581</v>
      </c>
      <c r="AB44" s="1157" t="s">
        <v>581</v>
      </c>
      <c r="AC44" s="1157" t="s">
        <v>581</v>
      </c>
      <c r="AD44" s="1157"/>
    </row>
    <row customHeight="1" ht="27">
      <c r="A45" s="1156"/>
      <c r="B45" s="1216">
        <v>28</v>
      </c>
      <c r="C45" s="1154" t="s">
        <v>582</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583</v>
      </c>
      <c r="P45" s="1278" t="s">
        <v>584</v>
      </c>
      <c r="Q45" s="1278" t="s">
        <v>583</v>
      </c>
      <c r="R45" s="1278" t="s">
        <v>584</v>
      </c>
      <c r="S45" s="1278"/>
      <c r="T45" s="1154" t="s">
        <v>573</v>
      </c>
      <c r="U45" s="1154" t="s">
        <v>573</v>
      </c>
      <c r="V45" s="1154" t="s">
        <v>573</v>
      </c>
      <c r="W45" s="1154" t="s">
        <v>573</v>
      </c>
      <c r="X45" s="1154"/>
      <c r="Y45" s="1321"/>
      <c r="Z45" s="1157" t="s">
        <v>585</v>
      </c>
      <c r="AA45" s="1157" t="s">
        <v>585</v>
      </c>
      <c r="AB45" s="1157" t="s">
        <v>585</v>
      </c>
      <c r="AC45" s="1157" t="s">
        <v>585</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586</v>
      </c>
      <c r="P46" s="1278" t="s">
        <v>564</v>
      </c>
      <c r="Q46" s="1278" t="s">
        <v>586</v>
      </c>
      <c r="R46" s="1278" t="s">
        <v>564</v>
      </c>
      <c r="S46" s="1278"/>
      <c r="T46" s="1154" t="s">
        <v>587</v>
      </c>
      <c r="U46" s="1154" t="s">
        <v>587</v>
      </c>
      <c r="V46" s="1154" t="s">
        <v>587</v>
      </c>
      <c r="W46" s="1154" t="s">
        <v>587</v>
      </c>
      <c r="X46" s="1154"/>
      <c r="Y46" s="1321"/>
      <c r="Z46" s="1157" t="s">
        <v>588</v>
      </c>
      <c r="AA46" s="1157" t="s">
        <v>589</v>
      </c>
      <c r="AB46" s="1157" t="s">
        <v>589</v>
      </c>
      <c r="AC46" s="1157" t="s">
        <v>589</v>
      </c>
      <c r="AD46" s="1157"/>
    </row>
    <row customHeight="1" ht="54">
      <c r="A47" s="1156"/>
      <c r="B47" s="1216">
        <v>30</v>
      </c>
      <c r="C47" s="1154" t="s">
        <v>590</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591</v>
      </c>
      <c r="P47" s="1278" t="s">
        <v>568</v>
      </c>
      <c r="Q47" s="1278" t="s">
        <v>591</v>
      </c>
      <c r="R47" s="1278" t="s">
        <v>568</v>
      </c>
      <c r="S47" s="1278"/>
      <c r="T47" s="1154" t="s">
        <v>592</v>
      </c>
      <c r="U47" s="1154" t="s">
        <v>592</v>
      </c>
      <c r="V47" s="1154" t="s">
        <v>592</v>
      </c>
      <c r="W47" s="1154" t="s">
        <v>592</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575</v>
      </c>
      <c r="Q48" s="1278" t="s">
        <v>593</v>
      </c>
      <c r="R48" s="1278" t="s">
        <v>575</v>
      </c>
      <c r="S48" s="1278"/>
      <c r="T48" s="1154"/>
      <c r="U48" s="1154" t="s">
        <v>594</v>
      </c>
      <c r="V48" s="1154" t="s">
        <v>595</v>
      </c>
      <c r="W48" s="1154" t="s">
        <v>595</v>
      </c>
      <c r="X48" s="1154"/>
      <c r="Y48" s="1321"/>
      <c r="Z48" s="1157"/>
      <c r="AA48" s="1160" t="s">
        <v>589</v>
      </c>
      <c r="AB48" s="1160" t="s">
        <v>589</v>
      </c>
      <c r="AC48" s="1160" t="s">
        <v>589</v>
      </c>
      <c r="AD48" s="1157"/>
    </row>
    <row customHeight="1" ht="54">
      <c r="A49" s="1156"/>
      <c r="B49" s="1216">
        <v>32</v>
      </c>
      <c r="C49" s="1154" t="s">
        <v>596</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579</v>
      </c>
      <c r="Q49" s="1278" t="s">
        <v>597</v>
      </c>
      <c r="R49" s="1278" t="s">
        <v>579</v>
      </c>
      <c r="S49" s="1278"/>
      <c r="T49" s="1154"/>
      <c r="U49" s="1154" t="s">
        <v>592</v>
      </c>
      <c r="V49" s="1154" t="s">
        <v>592</v>
      </c>
      <c r="W49" s="1154" t="s">
        <v>592</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593</v>
      </c>
      <c r="P50" s="1278" t="s">
        <v>586</v>
      </c>
      <c r="Q50" s="1278" t="s">
        <v>598</v>
      </c>
      <c r="R50" s="1278" t="s">
        <v>586</v>
      </c>
      <c r="S50" s="1278"/>
      <c r="T50" s="1154" t="s">
        <v>599</v>
      </c>
      <c r="U50" s="1154" t="s">
        <v>600</v>
      </c>
      <c r="V50" s="1154" t="s">
        <v>601</v>
      </c>
      <c r="W50" s="1154" t="s">
        <v>602</v>
      </c>
      <c r="X50" s="1154"/>
      <c r="Y50" s="1321"/>
      <c r="Z50" s="1157" t="s">
        <v>603</v>
      </c>
      <c r="AA50" s="1160" t="s">
        <v>604</v>
      </c>
      <c r="AB50" s="1160" t="s">
        <v>604</v>
      </c>
      <c r="AC50" s="1160" t="s">
        <v>604</v>
      </c>
      <c r="AD50" s="1157"/>
    </row>
    <row customHeight="1" ht="27">
      <c r="A51" s="1156"/>
      <c r="B51" s="1216">
        <v>34</v>
      </c>
      <c r="C51" s="1154" t="s">
        <v>605</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90</v>
      </c>
      <c r="P51" s="1278"/>
      <c r="Q51" s="1278"/>
      <c r="R51" s="1278"/>
      <c r="S51" s="1278"/>
      <c r="T51" s="1154" t="s">
        <v>606</v>
      </c>
      <c r="U51" s="1154"/>
      <c r="V51" s="1154"/>
      <c r="W51" s="1154"/>
      <c r="X51" s="1154"/>
      <c r="Y51" s="1321"/>
      <c r="Z51" s="1157"/>
      <c r="AA51" s="1160"/>
      <c r="AB51" s="1160"/>
      <c r="AC51" s="1160"/>
      <c r="AD51" s="1157"/>
    </row>
    <row customHeight="1" ht="36">
      <c r="A52" s="1156"/>
      <c r="B52" s="1216">
        <v>35</v>
      </c>
      <c r="C52" s="1154" t="s">
        <v>483</v>
      </c>
      <c r="D52" s="1288" t="s">
        <v>483</v>
      </c>
      <c r="E52" s="1154" t="s">
        <v>483</v>
      </c>
      <c r="F52" s="1154" t="s">
        <v>483</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91</v>
      </c>
      <c r="P52" s="1278" t="s">
        <v>90</v>
      </c>
      <c r="Q52" s="1278" t="s">
        <v>90</v>
      </c>
      <c r="R52" s="1278" t="s">
        <v>90</v>
      </c>
      <c r="S52" s="1278"/>
      <c r="T52" s="1154" t="s">
        <v>607</v>
      </c>
      <c r="U52" s="1154" t="s">
        <v>608</v>
      </c>
      <c r="V52" s="1154" t="s">
        <v>609</v>
      </c>
      <c r="W52" s="1154" t="s">
        <v>610</v>
      </c>
      <c r="X52" s="1154"/>
      <c r="Y52" s="1321"/>
      <c r="Z52" s="1157" t="s">
        <v>611</v>
      </c>
      <c r="AA52" s="1160" t="s">
        <v>611</v>
      </c>
      <c r="AB52" s="1160" t="s">
        <v>611</v>
      </c>
      <c r="AC52" s="1160" t="s">
        <v>611</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612</v>
      </c>
      <c r="P53" s="1278" t="s">
        <v>317</v>
      </c>
      <c r="Q53" s="1278" t="s">
        <v>317</v>
      </c>
      <c r="R53" s="1278" t="s">
        <v>317</v>
      </c>
      <c r="S53" s="1278"/>
      <c r="T53" s="1154" t="s">
        <v>613</v>
      </c>
      <c r="U53" s="1154" t="s">
        <v>613</v>
      </c>
      <c r="V53" s="1154" t="s">
        <v>613</v>
      </c>
      <c r="W53" s="1154" t="s">
        <v>613</v>
      </c>
      <c r="X53" s="1154"/>
      <c r="Y53" s="1321"/>
      <c r="Z53" s="1157"/>
      <c r="AA53" s="1160"/>
      <c r="AB53" s="1157"/>
      <c r="AC53" s="1157"/>
      <c r="AD53" s="1157"/>
    </row>
    <row customHeight="1" ht="18">
      <c r="A54" s="1156"/>
      <c r="B54" s="1216">
        <v>37</v>
      </c>
      <c r="C54" s="1154" t="s">
        <v>489</v>
      </c>
      <c r="D54" s="1288" t="s">
        <v>489</v>
      </c>
      <c r="E54" s="1154" t="s">
        <v>489</v>
      </c>
      <c r="F54" s="1154" t="s">
        <v>489</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110</v>
      </c>
      <c r="P54" s="1278" t="s">
        <v>91</v>
      </c>
      <c r="Q54" s="1278" t="s">
        <v>91</v>
      </c>
      <c r="R54" s="1278" t="s">
        <v>91</v>
      </c>
      <c r="S54" s="1278"/>
      <c r="T54" s="1154" t="s">
        <v>614</v>
      </c>
      <c r="U54" s="1154" t="s">
        <v>614</v>
      </c>
      <c r="V54" s="1154" t="s">
        <v>614</v>
      </c>
      <c r="W54" s="1154" t="s">
        <v>614</v>
      </c>
      <c r="X54" s="1154"/>
      <c r="Y54" s="1321"/>
      <c r="Z54" s="1157" t="s">
        <v>615</v>
      </c>
      <c r="AA54" s="1157" t="s">
        <v>615</v>
      </c>
      <c r="AB54" s="1157" t="s">
        <v>615</v>
      </c>
      <c r="AC54" s="1157" t="s">
        <v>615</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306</v>
      </c>
      <c r="P55" s="1278" t="s">
        <v>612</v>
      </c>
      <c r="Q55" s="1278" t="s">
        <v>612</v>
      </c>
      <c r="R55" s="1278" t="s">
        <v>612</v>
      </c>
      <c r="S55" s="1278"/>
      <c r="T55" s="1154" t="s">
        <v>616</v>
      </c>
      <c r="U55" s="1154" t="s">
        <v>617</v>
      </c>
      <c r="V55" s="1154" t="s">
        <v>617</v>
      </c>
      <c r="W55" s="1154" t="s">
        <v>617</v>
      </c>
      <c r="X55" s="1154"/>
      <c r="Y55" s="1321"/>
      <c r="Z55" s="1157" t="s">
        <v>618</v>
      </c>
      <c r="AA55" s="1157" t="s">
        <v>618</v>
      </c>
      <c r="AB55" s="1157" t="s">
        <v>618</v>
      </c>
      <c r="AC55" s="1157" t="s">
        <v>618</v>
      </c>
      <c r="AD55" s="1157"/>
    </row>
    <row customHeight="1" ht="27">
      <c r="A56" s="1156"/>
      <c r="B56" s="1216">
        <v>39</v>
      </c>
      <c r="C56" s="1154" t="s">
        <v>619</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620</v>
      </c>
      <c r="P56" s="1278" t="s">
        <v>621</v>
      </c>
      <c r="Q56" s="1278" t="s">
        <v>621</v>
      </c>
      <c r="R56" s="1278" t="s">
        <v>621</v>
      </c>
      <c r="S56" s="1278"/>
      <c r="T56" s="1154" t="s">
        <v>622</v>
      </c>
      <c r="U56" s="1154" t="s">
        <v>623</v>
      </c>
      <c r="V56" s="1154" t="s">
        <v>623</v>
      </c>
      <c r="W56" s="1154" t="s">
        <v>623</v>
      </c>
      <c r="X56" s="1154"/>
      <c r="Y56" s="1321"/>
      <c r="Z56" s="1157" t="s">
        <v>624</v>
      </c>
      <c r="AA56" s="1157" t="s">
        <v>624</v>
      </c>
      <c r="AB56" s="1157" t="s">
        <v>624</v>
      </c>
      <c r="AC56" s="1157" t="s">
        <v>624</v>
      </c>
      <c r="AD56" s="1157"/>
    </row>
    <row customHeight="1" ht="27">
      <c r="A57" s="1156"/>
      <c r="B57" s="1216">
        <v>40</v>
      </c>
      <c r="C57" s="1154" t="s">
        <v>625</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626</v>
      </c>
      <c r="P57" s="1278" t="s">
        <v>627</v>
      </c>
      <c r="Q57" s="1278" t="s">
        <v>627</v>
      </c>
      <c r="R57" s="1278" t="s">
        <v>627</v>
      </c>
      <c r="S57" s="1278"/>
      <c r="T57" s="1154" t="s">
        <v>628</v>
      </c>
      <c r="U57" s="1154" t="s">
        <v>629</v>
      </c>
      <c r="V57" s="1154" t="s">
        <v>629</v>
      </c>
      <c r="W57" s="1154" t="s">
        <v>629</v>
      </c>
      <c r="X57" s="1154"/>
      <c r="Y57" s="1321"/>
      <c r="Z57" s="1157" t="s">
        <v>630</v>
      </c>
      <c r="AA57" s="1157" t="s">
        <v>630</v>
      </c>
      <c r="AB57" s="1157" t="s">
        <v>630</v>
      </c>
      <c r="AC57" s="1157" t="s">
        <v>630</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308</v>
      </c>
      <c r="P58" s="1278" t="s">
        <v>631</v>
      </c>
      <c r="Q58" s="1278" t="s">
        <v>631</v>
      </c>
      <c r="R58" s="1278" t="s">
        <v>631</v>
      </c>
      <c r="S58" s="1278"/>
      <c r="T58" s="1154" t="s">
        <v>632</v>
      </c>
      <c r="U58" s="1154" t="s">
        <v>632</v>
      </c>
      <c r="V58" s="1154" t="s">
        <v>632</v>
      </c>
      <c r="W58" s="1154" t="s">
        <v>632</v>
      </c>
      <c r="X58" s="1154"/>
      <c r="Y58" s="1321"/>
      <c r="Z58" s="1157"/>
      <c r="AA58" s="1160"/>
      <c r="AB58" s="1157"/>
      <c r="AC58" s="1157"/>
      <c r="AD58" s="1157"/>
    </row>
    <row customHeight="1" ht="36">
      <c r="A59" s="1156"/>
      <c r="B59" s="1216">
        <v>42</v>
      </c>
      <c r="C59" s="1154">
        <v>3</v>
      </c>
      <c r="D59" s="1288" t="s">
        <v>605</v>
      </c>
      <c r="E59" s="1154" t="s">
        <v>605</v>
      </c>
      <c r="F59" s="1154" t="s">
        <v>605</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110</v>
      </c>
      <c r="Q59" s="1278" t="s">
        <v>110</v>
      </c>
      <c r="R59" s="1278" t="s">
        <v>110</v>
      </c>
      <c r="S59" s="1278"/>
      <c r="T59" s="1154"/>
      <c r="U59" s="1154" t="s">
        <v>633</v>
      </c>
      <c r="V59" s="1154" t="s">
        <v>634</v>
      </c>
      <c r="W59" s="1154" t="s">
        <v>635</v>
      </c>
      <c r="X59" s="1154"/>
      <c r="Y59" s="1321"/>
      <c r="Z59" s="1157"/>
      <c r="AA59" s="1160"/>
      <c r="AB59" s="1157"/>
      <c r="AC59" s="1157"/>
      <c r="AD59" s="1157"/>
    </row>
    <row customHeight="1" ht="81">
      <c r="A60" s="1156"/>
      <c r="B60" s="1216">
        <v>43</v>
      </c>
      <c r="C60" s="1154" t="s">
        <v>636</v>
      </c>
      <c r="D60" s="1288" t="s">
        <v>636</v>
      </c>
      <c r="E60" s="1154" t="s">
        <v>636</v>
      </c>
      <c r="F60" s="1154" t="s">
        <v>636</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92</v>
      </c>
      <c r="P60" s="1278" t="s">
        <v>92</v>
      </c>
      <c r="Q60" s="1278" t="s">
        <v>92</v>
      </c>
      <c r="R60" s="1278" t="s">
        <v>92</v>
      </c>
      <c r="S60" s="1278"/>
      <c r="T60" s="1154" t="s">
        <v>637</v>
      </c>
      <c r="U60" s="1154" t="s">
        <v>637</v>
      </c>
      <c r="V60" s="1154" t="s">
        <v>637</v>
      </c>
      <c r="W60" s="1154" t="s">
        <v>637</v>
      </c>
      <c r="X60" s="1154"/>
      <c r="Y60" s="1321"/>
      <c r="Z60" s="1157" t="s">
        <v>638</v>
      </c>
      <c r="AA60" s="1160" t="s">
        <v>639</v>
      </c>
      <c r="AB60" s="1157" t="s">
        <v>640</v>
      </c>
      <c r="AC60" s="1157" t="s">
        <v>639</v>
      </c>
      <c r="AD60" s="1157"/>
    </row>
    <row customHeight="1" ht="9">
      <c r="A61" s="1156"/>
      <c r="B61" s="1216">
        <v>44</v>
      </c>
      <c r="C61" s="1154"/>
      <c r="D61" s="1288" t="s">
        <v>641</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93</v>
      </c>
      <c r="Q61" s="1278"/>
      <c r="R61" s="1278"/>
      <c r="S61" s="1278"/>
      <c r="T61" s="1154"/>
      <c r="U61" s="1154" t="s">
        <v>642</v>
      </c>
      <c r="V61" s="1154"/>
      <c r="W61" s="1154"/>
      <c r="X61" s="1154"/>
      <c r="Y61" s="1321"/>
      <c r="Z61" s="1157"/>
      <c r="AA61" s="1160"/>
      <c r="AB61" s="1157"/>
      <c r="AC61" s="1157"/>
      <c r="AD61" s="1157"/>
    </row>
    <row customHeight="1" ht="9">
      <c r="A62" s="1156"/>
      <c r="B62" s="1216">
        <v>45</v>
      </c>
      <c r="C62" s="1154"/>
      <c r="D62" s="1288" t="s">
        <v>643</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111</v>
      </c>
      <c r="Q62" s="1278"/>
      <c r="R62" s="1278"/>
      <c r="S62" s="1278"/>
      <c r="T62" s="1154"/>
      <c r="U62" s="1154" t="s">
        <v>644</v>
      </c>
      <c r="V62" s="1154"/>
      <c r="W62" s="1154"/>
      <c r="X62" s="1154"/>
      <c r="Y62" s="1321"/>
      <c r="Z62" s="1157"/>
      <c r="AA62" s="1160"/>
      <c r="AB62" s="1157"/>
      <c r="AC62" s="1157"/>
      <c r="AD62" s="1157"/>
    </row>
    <row customHeight="1" ht="18">
      <c r="A63" s="1156"/>
      <c r="B63" s="1216">
        <v>46</v>
      </c>
      <c r="C63" s="1154"/>
      <c r="D63" s="1288" t="s">
        <v>645</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148</v>
      </c>
      <c r="Q63" s="1278"/>
      <c r="R63" s="1278"/>
      <c r="S63" s="1278"/>
      <c r="T63" s="1154"/>
      <c r="U63" s="1154" t="s">
        <v>646</v>
      </c>
      <c r="V63" s="1154"/>
      <c r="W63" s="1154"/>
      <c r="X63" s="1154"/>
      <c r="Y63" s="1321"/>
      <c r="Z63" s="1157"/>
      <c r="AA63" s="1160"/>
      <c r="AB63" s="1157"/>
      <c r="AC63" s="1157"/>
      <c r="AD63" s="1157"/>
    </row>
    <row customHeight="1" ht="18">
      <c r="A64" s="1156"/>
      <c r="B64" s="1216">
        <v>47</v>
      </c>
      <c r="C64" s="1154"/>
      <c r="D64" s="1288" t="s">
        <v>647</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149</v>
      </c>
      <c r="Q64" s="1278"/>
      <c r="R64" s="1278"/>
      <c r="S64" s="1278"/>
      <c r="T64" s="1154"/>
      <c r="U64" s="1154" t="s">
        <v>648</v>
      </c>
      <c r="V64" s="1154"/>
      <c r="W64" s="1154"/>
      <c r="X64" s="1154"/>
      <c r="Y64" s="1321"/>
      <c r="Z64" s="1157"/>
      <c r="AA64" s="1160" t="s">
        <v>649</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544</v>
      </c>
      <c r="Q65" s="1278"/>
      <c r="R65" s="1278"/>
      <c r="S65" s="1278"/>
      <c r="T65" s="1154"/>
      <c r="U65" s="1154" t="s">
        <v>650</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548</v>
      </c>
      <c r="Q66" s="1278"/>
      <c r="R66" s="1278"/>
      <c r="S66" s="1278"/>
      <c r="T66" s="1154"/>
      <c r="U66" s="1154" t="s">
        <v>651</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652</v>
      </c>
      <c r="Q67" s="1278"/>
      <c r="R67" s="1278"/>
      <c r="S67" s="1278"/>
      <c r="T67" s="1154"/>
      <c r="U67" s="1154" t="s">
        <v>653</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654</v>
      </c>
      <c r="Q68" s="1278"/>
      <c r="R68" s="1278"/>
      <c r="S68" s="1278"/>
      <c r="T68" s="1154"/>
      <c r="U68" s="1154" t="s">
        <v>655</v>
      </c>
      <c r="V68" s="1154"/>
      <c r="W68" s="1154"/>
      <c r="X68" s="1154"/>
      <c r="Y68" s="1321"/>
      <c r="Z68" s="1157"/>
      <c r="AA68" s="1160"/>
      <c r="AB68" s="1157"/>
      <c r="AC68" s="1157"/>
      <c r="AD68" s="1157"/>
    </row>
    <row customHeight="1" ht="9">
      <c r="A69" s="1156"/>
      <c r="B69" s="1216">
        <v>52</v>
      </c>
      <c r="C69" s="1154"/>
      <c r="D69" s="1288" t="s">
        <v>656</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150</v>
      </c>
      <c r="Q69" s="1278"/>
      <c r="R69" s="1278"/>
      <c r="S69" s="1278"/>
      <c r="T69" s="1154"/>
      <c r="U69" s="1154" t="s">
        <v>657</v>
      </c>
      <c r="V69" s="1154"/>
      <c r="W69" s="1154"/>
      <c r="X69" s="1154"/>
      <c r="Y69" s="1321"/>
      <c r="Z69" s="1157"/>
      <c r="AA69" s="1160"/>
      <c r="AB69" s="1157"/>
      <c r="AC69" s="1157"/>
      <c r="AD69" s="1157"/>
    </row>
    <row customHeight="1" ht="27">
      <c r="A70" s="1156"/>
      <c r="B70" s="1216">
        <v>53</v>
      </c>
      <c r="C70" s="1154"/>
      <c r="D70" s="1288"/>
      <c r="E70" s="1154" t="s">
        <v>641</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93</v>
      </c>
      <c r="R70" s="1278"/>
      <c r="S70" s="1278"/>
      <c r="T70" s="1154"/>
      <c r="U70" s="1154"/>
      <c r="V70" s="1154" t="s">
        <v>658</v>
      </c>
      <c r="W70" s="1154"/>
      <c r="X70" s="1154"/>
      <c r="Y70" s="1321"/>
      <c r="Z70" s="1157"/>
      <c r="AA70" s="1160"/>
      <c r="AB70" s="1157"/>
      <c r="AC70" s="1157"/>
      <c r="AD70" s="1157"/>
    </row>
    <row customHeight="1" ht="36">
      <c r="A71" s="1156"/>
      <c r="B71" s="1216">
        <v>54</v>
      </c>
      <c r="C71" s="1154"/>
      <c r="D71" s="1288"/>
      <c r="E71" s="1154" t="s">
        <v>643</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111</v>
      </c>
      <c r="R71" s="1278"/>
      <c r="S71" s="1278"/>
      <c r="T71" s="1154"/>
      <c r="U71" s="1154"/>
      <c r="V71" s="1154" t="s">
        <v>659</v>
      </c>
      <c r="W71" s="1154"/>
      <c r="X71" s="1154"/>
      <c r="Y71" s="1321"/>
      <c r="Z71" s="1157"/>
      <c r="AA71" s="1160"/>
      <c r="AB71" s="1157"/>
      <c r="AC71" s="1157"/>
      <c r="AD71" s="1157"/>
    </row>
    <row customHeight="1" ht="27">
      <c r="A72" s="1156"/>
      <c r="B72" s="1216">
        <v>55</v>
      </c>
      <c r="C72" s="1154"/>
      <c r="D72" s="1288"/>
      <c r="E72" s="1154" t="s">
        <v>645</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148</v>
      </c>
      <c r="R72" s="1278"/>
      <c r="S72" s="1278"/>
      <c r="T72" s="1154"/>
      <c r="U72" s="1154"/>
      <c r="V72" s="1154" t="s">
        <v>660</v>
      </c>
      <c r="W72" s="1154"/>
      <c r="X72" s="1154"/>
      <c r="Y72" s="1321"/>
      <c r="Z72" s="1157"/>
      <c r="AA72" s="1160"/>
      <c r="AB72" s="1157"/>
      <c r="AC72" s="1157"/>
      <c r="AD72" s="1157"/>
    </row>
    <row customHeight="1" ht="36">
      <c r="A73" s="1156"/>
      <c r="B73" s="1216">
        <v>56</v>
      </c>
      <c r="C73" s="1154"/>
      <c r="D73" s="1288"/>
      <c r="E73" s="1154" t="s">
        <v>647</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149</v>
      </c>
      <c r="R73" s="1278"/>
      <c r="S73" s="1278"/>
      <c r="T73" s="1154"/>
      <c r="U73" s="1154"/>
      <c r="V73" s="1154" t="s">
        <v>661</v>
      </c>
      <c r="W73" s="1154"/>
      <c r="X73" s="1154"/>
      <c r="Y73" s="1321"/>
      <c r="Z73" s="1157"/>
      <c r="AA73" s="1160"/>
      <c r="AB73" s="1157"/>
      <c r="AC73" s="1157"/>
      <c r="AD73" s="1157"/>
    </row>
    <row customHeight="1" ht="18">
      <c r="A74" s="1156"/>
      <c r="B74" s="1216">
        <v>57</v>
      </c>
      <c r="C74" s="1154"/>
      <c r="D74" s="1288"/>
      <c r="E74" s="1154" t="s">
        <v>656</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150</v>
      </c>
      <c r="R74" s="1278"/>
      <c r="S74" s="1278"/>
      <c r="T74" s="1154"/>
      <c r="U74" s="1154"/>
      <c r="V74" s="1154" t="s">
        <v>662</v>
      </c>
      <c r="W74" s="1154"/>
      <c r="X74" s="1154"/>
      <c r="Y74" s="1321"/>
      <c r="Z74" s="1157"/>
      <c r="AA74" s="1160"/>
      <c r="AB74" s="1157"/>
      <c r="AC74" s="1157"/>
      <c r="AD74" s="1157"/>
    </row>
    <row customHeight="1" ht="18">
      <c r="A75" s="1156"/>
      <c r="B75" s="1216">
        <v>58</v>
      </c>
      <c r="C75" s="1154"/>
      <c r="D75" s="1288"/>
      <c r="E75" s="1154"/>
      <c r="F75" s="1154" t="s">
        <v>641</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93</v>
      </c>
      <c r="S75" s="1278"/>
      <c r="T75" s="1154"/>
      <c r="U75" s="1154"/>
      <c r="V75" s="1154"/>
      <c r="W75" s="1154" t="s">
        <v>663</v>
      </c>
      <c r="X75" s="1154"/>
      <c r="Y75" s="1321"/>
      <c r="Z75" s="1157"/>
      <c r="AA75" s="1160"/>
      <c r="AB75" s="1157"/>
      <c r="AC75" s="1157"/>
      <c r="AD75" s="1157"/>
    </row>
    <row customHeight="1" ht="36">
      <c r="A76" s="1156"/>
      <c r="B76" s="1216">
        <v>59</v>
      </c>
      <c r="C76" s="1154"/>
      <c r="D76" s="1288"/>
      <c r="E76" s="1154"/>
      <c r="F76" s="1154" t="s">
        <v>643</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111</v>
      </c>
      <c r="S76" s="1278"/>
      <c r="T76" s="1154"/>
      <c r="U76" s="1154"/>
      <c r="V76" s="1154"/>
      <c r="W76" s="1154" t="s">
        <v>664</v>
      </c>
      <c r="X76" s="1154"/>
      <c r="Y76" s="1321"/>
      <c r="Z76" s="1157"/>
      <c r="AA76" s="1160"/>
      <c r="AB76" s="1157"/>
      <c r="AC76" s="1157"/>
      <c r="AD76" s="1157"/>
    </row>
    <row customHeight="1" ht="18">
      <c r="A77" s="1156"/>
      <c r="B77" s="1216">
        <v>60</v>
      </c>
      <c r="C77" s="1154"/>
      <c r="D77" s="1288"/>
      <c r="E77" s="1154"/>
      <c r="F77" s="1154" t="s">
        <v>645</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148</v>
      </c>
      <c r="S77" s="1278"/>
      <c r="T77" s="1154"/>
      <c r="U77" s="1154"/>
      <c r="V77" s="1154"/>
      <c r="W77" s="1154" t="s">
        <v>665</v>
      </c>
      <c r="X77" s="1154"/>
      <c r="Y77" s="1321"/>
      <c r="Z77" s="1157"/>
      <c r="AA77" s="1160"/>
      <c r="AB77" s="1157"/>
      <c r="AC77" s="1157"/>
      <c r="AD77" s="1157"/>
    </row>
    <row customHeight="1" ht="72">
      <c r="A78" s="1156"/>
      <c r="B78" s="1216">
        <v>61</v>
      </c>
      <c r="C78" s="1154" t="s">
        <v>641</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93</v>
      </c>
      <c r="P78" s="1278"/>
      <c r="Q78" s="1278"/>
      <c r="R78" s="1278"/>
      <c r="S78" s="1278"/>
      <c r="T78" s="1154" t="s">
        <v>666</v>
      </c>
      <c r="U78" s="1154"/>
      <c r="V78" s="1154"/>
      <c r="W78" s="1154"/>
      <c r="X78" s="1154"/>
      <c r="Y78" s="1321"/>
      <c r="Z78" s="1157" t="s">
        <v>667</v>
      </c>
      <c r="AA78" s="1160"/>
      <c r="AB78" s="1157"/>
      <c r="AC78" s="1157"/>
      <c r="AD78" s="1157"/>
    </row>
    <row customHeight="1" ht="36">
      <c r="A79" s="1156"/>
      <c r="B79" s="1216">
        <v>62</v>
      </c>
      <c r="C79" s="1154" t="s">
        <v>643</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111</v>
      </c>
      <c r="P79" s="1278"/>
      <c r="Q79" s="1278"/>
      <c r="R79" s="1278"/>
      <c r="S79" s="1278"/>
      <c r="T79" s="1154" t="s">
        <v>668</v>
      </c>
      <c r="U79" s="1154"/>
      <c r="V79" s="1154"/>
      <c r="W79" s="1154"/>
      <c r="X79" s="1154"/>
      <c r="Y79" s="1321"/>
      <c r="Z79" s="1157" t="s">
        <v>669</v>
      </c>
      <c r="AA79" s="1160"/>
      <c r="AB79" s="1157"/>
      <c r="AC79" s="1157"/>
      <c r="AD79" s="1157"/>
    </row>
    <row customHeight="1" ht="45">
      <c r="A80" s="1156"/>
      <c r="B80" s="1216">
        <v>63</v>
      </c>
      <c r="C80" s="1154" t="s">
        <v>645</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148</v>
      </c>
      <c r="P80" s="1278"/>
      <c r="Q80" s="1278"/>
      <c r="R80" s="1278"/>
      <c r="S80" s="1278"/>
      <c r="T80" s="1154" t="s">
        <v>670</v>
      </c>
      <c r="U80" s="1154"/>
      <c r="V80" s="1154"/>
      <c r="W80" s="1154"/>
      <c r="X80" s="1154"/>
      <c r="Y80" s="1321"/>
      <c r="Z80" s="1157" t="s">
        <v>671</v>
      </c>
      <c r="AA80" s="1160"/>
      <c r="AB80" s="1157"/>
      <c r="AC80" s="1157"/>
      <c r="AD80" s="1157"/>
    </row>
    <row customHeight="1" ht="36">
      <c r="A81" s="1156"/>
      <c r="B81" s="1216">
        <v>64</v>
      </c>
      <c r="C81" s="1154" t="s">
        <v>647</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532</v>
      </c>
      <c r="P81" s="1278"/>
      <c r="Q81" s="1278"/>
      <c r="R81" s="1278"/>
      <c r="S81" s="1278"/>
      <c r="T81" s="1154" t="s">
        <v>672</v>
      </c>
      <c r="U81" s="1154"/>
      <c r="V81" s="1154"/>
      <c r="W81" s="1154"/>
      <c r="X81" s="1154"/>
      <c r="Y81" s="1321"/>
      <c r="Z81" s="1157" t="s">
        <v>673</v>
      </c>
      <c r="AA81" s="1160"/>
      <c r="AB81" s="1157"/>
      <c r="AC81" s="1157"/>
      <c r="AD81" s="1157"/>
    </row>
    <row customHeight="1" ht="90">
      <c r="A82" s="1156"/>
      <c r="B82" s="1216">
        <v>65</v>
      </c>
      <c r="C82" s="1154" t="s">
        <v>656</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149</v>
      </c>
      <c r="P82" s="1278"/>
      <c r="Q82" s="1278"/>
      <c r="R82" s="1278"/>
      <c r="S82" s="1278"/>
      <c r="T82" s="1154" t="s">
        <v>674</v>
      </c>
      <c r="U82" s="1154"/>
      <c r="V82" s="1154"/>
      <c r="W82" s="1154"/>
      <c r="X82" s="1154"/>
      <c r="Y82" s="1321"/>
      <c r="Z82" s="1157" t="s">
        <v>675</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544</v>
      </c>
      <c r="P83" s="1278"/>
      <c r="Q83" s="1278"/>
      <c r="R83" s="1278"/>
      <c r="S83" s="1278"/>
      <c r="T83" s="1154" t="s">
        <v>676</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677</v>
      </c>
      <c r="P84" s="1278"/>
      <c r="Q84" s="1278"/>
      <c r="R84" s="1278"/>
      <c r="S84" s="1278"/>
      <c r="T84" s="1154" t="s">
        <v>678</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548</v>
      </c>
      <c r="P85" s="1278"/>
      <c r="Q85" s="1278"/>
      <c r="R85" s="1278"/>
      <c r="S85" s="1278"/>
      <c r="T85" s="1154" t="s">
        <v>679</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680</v>
      </c>
      <c r="P86" s="1278"/>
      <c r="Q86" s="1278"/>
      <c r="R86" s="1278"/>
      <c r="S86" s="1278"/>
      <c r="T86" s="1154" t="s">
        <v>681</v>
      </c>
      <c r="U86" s="1154"/>
      <c r="V86" s="1154"/>
      <c r="W86" s="1154"/>
      <c r="X86" s="1154"/>
      <c r="Y86" s="1321"/>
      <c r="Z86" s="1157"/>
      <c r="AA86" s="1160"/>
      <c r="AB86" s="1157"/>
      <c r="AC86" s="1157"/>
      <c r="AD86" s="1157"/>
    </row>
    <row customHeight="1" ht="36">
      <c r="A87" s="1156"/>
      <c r="B87" s="1216">
        <v>70</v>
      </c>
      <c r="C87" s="1154" t="s">
        <v>682</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150</v>
      </c>
      <c r="P87" s="1278"/>
      <c r="Q87" s="1278"/>
      <c r="R87" s="1278"/>
      <c r="S87" s="1278"/>
      <c r="T87" s="1154" t="s">
        <v>683</v>
      </c>
      <c r="U87" s="1154"/>
      <c r="V87" s="1154"/>
      <c r="W87" s="1154"/>
      <c r="X87" s="1154"/>
      <c r="Y87" s="1321"/>
      <c r="Z87" s="1157"/>
      <c r="AA87" s="1160"/>
      <c r="AB87" s="1157"/>
      <c r="AC87" s="1157"/>
      <c r="AD87" s="1157"/>
    </row>
    <row customHeight="1" ht="18">
      <c r="A88" s="1156"/>
      <c r="B88" s="1216">
        <v>71</v>
      </c>
      <c r="C88" s="1154" t="s">
        <v>684</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151</v>
      </c>
      <c r="P88" s="1278"/>
      <c r="Q88" s="1278"/>
      <c r="R88" s="1278"/>
      <c r="S88" s="1278"/>
      <c r="T88" s="1154" t="s">
        <v>685</v>
      </c>
      <c r="U88" s="1154"/>
      <c r="V88" s="1154"/>
      <c r="W88" s="1154"/>
      <c r="X88" s="1154"/>
      <c r="Y88" s="1321"/>
      <c r="Z88" s="1157"/>
      <c r="AA88" s="1160"/>
      <c r="AB88" s="1157"/>
      <c r="AC88" s="1157"/>
      <c r="AD88" s="1157"/>
    </row>
    <row customHeight="1" ht="18">
      <c r="A89" s="1156"/>
      <c r="B89" s="1216">
        <v>72</v>
      </c>
      <c r="C89" s="1154" t="s">
        <v>686</v>
      </c>
      <c r="D89" s="1288" t="s">
        <v>682</v>
      </c>
      <c r="E89" s="1154" t="s">
        <v>682</v>
      </c>
      <c r="F89" s="1154" t="s">
        <v>647</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152</v>
      </c>
      <c r="P89" s="1278" t="s">
        <v>151</v>
      </c>
      <c r="Q89" s="1278" t="s">
        <v>151</v>
      </c>
      <c r="R89" s="1278" t="s">
        <v>149</v>
      </c>
      <c r="S89" s="1278"/>
      <c r="T89" s="1154" t="s">
        <v>687</v>
      </c>
      <c r="U89" s="1154" t="s">
        <v>687</v>
      </c>
      <c r="V89" s="1154" t="s">
        <v>687</v>
      </c>
      <c r="W89" s="1154" t="s">
        <v>687</v>
      </c>
      <c r="X89" s="1154"/>
      <c r="Y89" s="1321"/>
      <c r="Z89" s="1157"/>
      <c r="AA89" s="1160"/>
      <c r="AB89" s="1157"/>
      <c r="AC89" s="1157"/>
      <c r="AD89" s="1157"/>
    </row>
    <row customHeight="1" ht="27">
      <c r="A90" s="1156"/>
      <c r="B90" s="1216">
        <v>73</v>
      </c>
      <c r="C90" s="1154" t="s">
        <v>688</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153</v>
      </c>
      <c r="P90" s="1278"/>
      <c r="Q90" s="1278"/>
      <c r="R90" s="1278"/>
      <c r="S90" s="1278"/>
      <c r="T90" s="1154" t="s">
        <v>689</v>
      </c>
      <c r="U90" s="1154"/>
      <c r="V90" s="1154"/>
      <c r="W90" s="1154"/>
      <c r="X90" s="1154"/>
      <c r="Y90" s="1321"/>
      <c r="Z90" s="1157"/>
      <c r="AA90" s="1160"/>
      <c r="AB90" s="1157"/>
      <c r="AC90" s="1157"/>
      <c r="AD90" s="1157"/>
    </row>
    <row customHeight="1" ht="18">
      <c r="A91" s="1156"/>
      <c r="B91" s="1216">
        <v>74</v>
      </c>
      <c r="C91" s="1154"/>
      <c r="D91" s="1288" t="s">
        <v>684</v>
      </c>
      <c r="E91" s="1154" t="s">
        <v>684</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152</v>
      </c>
      <c r="Q91" s="1278" t="s">
        <v>152</v>
      </c>
      <c r="R91" s="1278"/>
      <c r="S91" s="1278"/>
      <c r="T91" s="1154"/>
      <c r="U91" s="1154" t="s">
        <v>690</v>
      </c>
      <c r="V91" s="1154" t="s">
        <v>690</v>
      </c>
      <c r="W91" s="1154"/>
      <c r="X91" s="1154"/>
      <c r="Y91" s="1321"/>
      <c r="Z91" s="1157"/>
      <c r="AA91" s="1160"/>
      <c r="AB91" s="1157"/>
      <c r="AC91" s="1157"/>
      <c r="AD91" s="1157"/>
    </row>
    <row customHeight="1" ht="27">
      <c r="A92" s="1156"/>
      <c r="B92" s="1216">
        <v>75</v>
      </c>
      <c r="C92" s="1154"/>
      <c r="D92" s="1288" t="s">
        <v>686</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153</v>
      </c>
      <c r="Q92" s="1278"/>
      <c r="R92" s="1278"/>
      <c r="S92" s="1278"/>
      <c r="T92" s="1154"/>
      <c r="U92" s="1154" t="s">
        <v>691</v>
      </c>
      <c r="V92" s="1154"/>
      <c r="W92" s="1154"/>
      <c r="X92" s="1154"/>
      <c r="Y92" s="1321"/>
      <c r="Z92" s="1157"/>
      <c r="AA92" s="1160" t="s">
        <v>692</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578</v>
      </c>
      <c r="Q93" s="1278"/>
      <c r="R93" s="1278"/>
      <c r="S93" s="1278"/>
      <c r="T93" s="1154"/>
      <c r="U93" s="1154" t="s">
        <v>693</v>
      </c>
      <c r="V93" s="1154"/>
      <c r="W93" s="1154"/>
      <c r="X93" s="1154"/>
      <c r="Y93" s="1321"/>
      <c r="Z93" s="1157"/>
      <c r="AA93" s="1160" t="s">
        <v>694</v>
      </c>
      <c r="AB93" s="1157"/>
      <c r="AC93" s="1157"/>
      <c r="AD93" s="1157"/>
    </row>
    <row customHeight="1" ht="45">
      <c r="A94" s="1156"/>
      <c r="B94" s="1216">
        <v>77</v>
      </c>
      <c r="C94" s="1154"/>
      <c r="D94" s="1288" t="s">
        <v>688</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695</v>
      </c>
      <c r="Q94" s="1278"/>
      <c r="R94" s="1278"/>
      <c r="S94" s="1278"/>
      <c r="T94" s="1154"/>
      <c r="U94" s="1154" t="s">
        <v>696</v>
      </c>
      <c r="V94" s="1154"/>
      <c r="W94" s="1154"/>
      <c r="X94" s="1154"/>
      <c r="Y94" s="1321"/>
      <c r="Z94" s="1157"/>
      <c r="AA94" s="1160" t="s">
        <v>697</v>
      </c>
      <c r="AB94" s="1157"/>
      <c r="AC94" s="1157"/>
      <c r="AD94" s="1157"/>
    </row>
    <row customHeight="1" ht="99">
      <c r="A95" s="1156"/>
      <c r="B95" s="1216">
        <v>78</v>
      </c>
      <c r="C95" s="1154" t="s">
        <v>698</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695</v>
      </c>
      <c r="P95" s="1278"/>
      <c r="Q95" s="1278"/>
      <c r="R95" s="1278"/>
      <c r="S95" s="1278"/>
      <c r="T95" s="1154" t="s">
        <v>699</v>
      </c>
      <c r="U95" s="1154"/>
      <c r="V95" s="1154"/>
      <c r="W95" s="1154"/>
      <c r="X95" s="1154"/>
      <c r="Y95" s="1321"/>
      <c r="Z95" s="1157"/>
      <c r="AA95" s="1160"/>
      <c r="AB95" s="1157"/>
      <c r="AC95" s="1157"/>
      <c r="AD95" s="1157"/>
    </row>
    <row customHeight="1" ht="99">
      <c r="A96" s="1156"/>
      <c r="B96" s="1216">
        <v>79</v>
      </c>
      <c r="C96" s="1154" t="s">
        <v>700</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397</v>
      </c>
      <c r="P96" s="1278"/>
      <c r="Q96" s="1278"/>
      <c r="R96" s="1278"/>
      <c r="S96" s="1278"/>
      <c r="T96" s="1154" t="s">
        <v>701</v>
      </c>
      <c r="U96" s="1154"/>
      <c r="V96" s="1154"/>
      <c r="W96" s="1154"/>
      <c r="X96" s="1154"/>
      <c r="Y96" s="1321"/>
      <c r="Z96" s="1157" t="s">
        <v>702</v>
      </c>
      <c r="AA96" s="1160"/>
      <c r="AB96" s="1157"/>
      <c r="AC96" s="1157"/>
      <c r="AD96" s="1157"/>
    </row>
    <row customHeight="1" ht="63">
      <c r="A97" s="1156"/>
      <c r="B97" s="1216">
        <v>80</v>
      </c>
      <c r="C97" s="1154" t="s">
        <v>703</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704</v>
      </c>
      <c r="P97" s="1278"/>
      <c r="Q97" s="1278"/>
      <c r="R97" s="1278"/>
      <c r="S97" s="1278"/>
      <c r="T97" s="1154" t="s">
        <v>705</v>
      </c>
      <c r="U97" s="1154"/>
      <c r="V97" s="1154"/>
      <c r="W97" s="1154"/>
      <c r="X97" s="1154"/>
      <c r="Y97" s="1321"/>
      <c r="Z97" s="1157" t="s">
        <v>706</v>
      </c>
      <c r="AA97" s="1160"/>
      <c r="AB97" s="1157"/>
      <c r="AC97" s="1157"/>
      <c r="AD97" s="1157"/>
    </row>
    <row customHeight="1" ht="63">
      <c r="A98" s="1156"/>
      <c r="B98" s="1216">
        <v>81</v>
      </c>
      <c r="C98" s="1154" t="s">
        <v>707</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708</v>
      </c>
      <c r="P98" s="1278"/>
      <c r="Q98" s="1278"/>
      <c r="R98" s="1278"/>
      <c r="S98" s="1278"/>
      <c r="T98" s="1154" t="s">
        <v>709</v>
      </c>
      <c r="U98" s="1154"/>
      <c r="V98" s="1154"/>
      <c r="W98" s="1154"/>
      <c r="X98" s="1154"/>
      <c r="Y98" s="1321"/>
      <c r="Z98" s="1157" t="s">
        <v>706</v>
      </c>
      <c r="AA98" s="1160"/>
      <c r="AB98" s="1157"/>
      <c r="AC98" s="1157"/>
      <c r="AD98" s="1157"/>
    </row>
    <row customHeight="1" ht="90">
      <c r="A99" s="1156"/>
      <c r="B99" s="1216">
        <v>82</v>
      </c>
      <c r="C99" s="1154" t="s">
        <v>710</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459</v>
      </c>
      <c r="P99" s="1278"/>
      <c r="Q99" s="1278"/>
      <c r="R99" s="1278"/>
      <c r="S99" s="1278"/>
      <c r="T99" s="1154" t="s">
        <v>711</v>
      </c>
      <c r="U99" s="1154"/>
      <c r="V99" s="1154"/>
      <c r="W99" s="1154"/>
      <c r="X99" s="1154"/>
      <c r="Y99" s="1321"/>
      <c r="Z99" s="1157" t="s">
        <v>712</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713</v>
      </c>
      <c r="P100" s="1278"/>
      <c r="Q100" s="1278"/>
      <c r="R100" s="1278"/>
      <c r="S100" s="1278"/>
      <c r="T100" s="1154" t="s">
        <v>714</v>
      </c>
      <c r="U100" s="1154"/>
      <c r="V100" s="1154"/>
      <c r="W100" s="1154"/>
      <c r="X100" s="1154"/>
      <c r="Y100" s="1321"/>
      <c r="Z100" s="1157" t="s">
        <v>712</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715</v>
      </c>
      <c r="P101" s="1278"/>
      <c r="Q101" s="1278"/>
      <c r="R101" s="1278"/>
      <c r="S101" s="1278"/>
      <c r="T101" s="1154" t="s">
        <v>716</v>
      </c>
      <c r="U101" s="1154"/>
      <c r="V101" s="1154"/>
      <c r="W101" s="1154"/>
      <c r="X101" s="1154"/>
      <c r="Y101" s="1321"/>
      <c r="Z101" s="1157" t="s">
        <v>712</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717</v>
      </c>
      <c r="B148" s="1156"/>
      <c r="C148" s="1154" t="s">
        <v>718</v>
      </c>
      <c r="D148" s="1154" t="s">
        <v>719</v>
      </c>
      <c r="E148" s="1154" t="s">
        <v>720</v>
      </c>
      <c r="F148" s="1154" t="s">
        <v>721</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722</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723</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724</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725</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726</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B102BC-00C8-0A21-FD1B-77EEF3774B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33" width="32.57421875" customWidth="1"/>
    <col min="2" max="2" style="11334" width="11.00390625" customWidth="1"/>
    <col min="3" max="3" style="11334" width="9.140625"/>
    <col min="4" max="4" style="11334" width="26.57421875" customWidth="1"/>
    <col min="5" max="5" style="11335" width="27.7109375" customWidth="1"/>
    <col min="6" max="6" style="11335" width="23.57421875" customWidth="1"/>
    <col min="7" max="7" style="11335" width="31.421875" customWidth="1"/>
    <col min="8" max="8" style="11335" width="40.8515625" customWidth="1"/>
    <col min="9" max="9" style="11335" width="14.57421875" customWidth="1"/>
    <col min="10" max="10" style="11335" width="26.8515625" customWidth="1"/>
    <col min="11" max="11" style="11335" width="50.00390625" customWidth="1"/>
    <col min="12" max="13" style="11335" width="10.7109375" customWidth="1"/>
    <col min="14" max="14" style="11335" width="55.140625" customWidth="1"/>
    <col min="15" max="15" style="11335" width="31.8515625" customWidth="1"/>
    <col min="16" max="16" style="11335" width="23.8515625" customWidth="1"/>
    <col min="17" max="17" style="11335" width="46.57421875" customWidth="1"/>
    <col min="18" max="18" style="11335" width="24.00390625" customWidth="1"/>
    <col min="19" max="19" style="11335" width="20.57421875" customWidth="1"/>
    <col min="20" max="20" style="11335" width="22.00390625" customWidth="1"/>
    <col min="21" max="22" style="11335" width="26.421875" customWidth="1"/>
    <col min="23" max="23" style="11335" width="8.28125" hidden="1" customWidth="1"/>
    <col min="24" max="24" style="11335" width="59.7109375" customWidth="1"/>
    <col min="25" max="25" style="11335" width="49.140625" customWidth="1"/>
    <col min="26" max="26" style="11335" width="11.140625" customWidth="1"/>
    <col min="27" max="30" style="11335" width="29.00390625" customWidth="1"/>
    <col min="31" max="31" style="11335" width="9.140625"/>
    <col min="32" max="32" style="11335" width="34.7109375" customWidth="1"/>
    <col min="33" max="33" style="11335" width="9.140625"/>
    <col min="34" max="35" style="11335" width="34.421875" customWidth="1"/>
    <col min="36" max="36" style="11335" width="9.140625"/>
    <col min="37" max="37" style="11335" width="24.57421875" customWidth="1"/>
    <col min="38" max="38" style="11335" width="9.140625"/>
    <col min="39" max="39" style="11335" width="26.140625" customWidth="1"/>
    <col min="40" max="40" style="11335" width="1.7109375" customWidth="1"/>
    <col min="41" max="41" style="11335" width="9.140625"/>
    <col min="42" max="43" style="11335" width="47.8515625" customWidth="1"/>
    <col min="44" max="44" style="11335" width="1.7109375" customWidth="1"/>
    <col min="45" max="45" style="11335" width="21.421875" customWidth="1"/>
    <col min="46" max="46" style="11335" width="1.7109375" customWidth="1"/>
    <col min="47" max="47" style="11335" width="31.28125" customWidth="1"/>
    <col min="48" max="48" style="11335" width="1.7109375" customWidth="1"/>
    <col min="49" max="50" style="11336" width="9.140625"/>
    <col min="51" max="51" style="11335" width="3.7109375" customWidth="1"/>
    <col min="52" max="52" style="11335" width="55.00390625" customWidth="1"/>
    <col min="53" max="53" style="11335" width="9.140625"/>
    <col min="54" max="54" style="11335" width="35.140625" customWidth="1"/>
    <col min="55" max="55" style="11335" width="9.140625"/>
    <col min="56" max="56" style="11335" width="1.7109375" customWidth="1"/>
    <col min="57" max="57" style="11337" width="12.57421875" customWidth="1"/>
    <col min="58" max="58" style="11337" width="14.28125" customWidth="1"/>
    <col min="59" max="59" style="11335" width="30.7109375" customWidth="1"/>
    <col min="60" max="60" style="11338" width="40.7109375" customWidth="1"/>
    <col min="61" max="61" style="11338" width="15.00390625" customWidth="1"/>
    <col min="62" max="62" style="11338" width="40.7109375" customWidth="1"/>
    <col min="63" max="63" style="11338" width="2.7109375" customWidth="1"/>
    <col min="64" max="64" style="11338" width="44.7109375" customWidth="1"/>
    <col min="65" max="65" style="11338" width="2.7109375" customWidth="1"/>
    <col min="66" max="66" style="11338" width="40.7109375" customWidth="1"/>
    <col min="67" max="68" style="11335" width="9.140625"/>
    <col min="69" max="69" style="11335" width="18.140625" customWidth="1"/>
    <col min="70" max="70" style="11335" width="57.8515625" customWidth="1"/>
    <col min="71" max="71" style="11339" width="1.7109375" customWidth="1"/>
    <col min="72" max="72" style="11335" width="22.57421875" customWidth="1"/>
    <col min="73" max="73" style="11335" width="57.8515625" customWidth="1"/>
    <col min="74" max="74" style="11335" width="1.7109375" customWidth="1"/>
    <col min="75" max="75" style="11335" width="22.57421875" customWidth="1"/>
    <col min="76" max="76" style="11335" width="57.8515625" customWidth="1"/>
    <col min="77" max="77" style="11335" width="1.7109375" customWidth="1"/>
    <col min="78" max="78" style="11335" width="22.57421875" customWidth="1"/>
    <col min="79" max="79" style="11335" width="57.8515625" customWidth="1"/>
    <col min="80" max="81" style="11335" width="9.140625"/>
    <col min="82" max="82" style="11335" width="49.57421875" customWidth="1"/>
  </cols>
  <sheetData>
    <row s="11239" customFormat="1" customHeight="1" ht="11.25">
      <c r="A1" s="1392" t="s">
        <v>727</v>
      </c>
      <c r="B1" s="1392" t="s">
        <v>728</v>
      </c>
      <c r="C1" s="1392" t="s">
        <v>729</v>
      </c>
      <c r="D1" s="1392" t="s">
        <v>730</v>
      </c>
      <c r="E1" s="1392" t="s">
        <v>731</v>
      </c>
      <c r="F1" s="1392" t="s">
        <v>732</v>
      </c>
      <c r="G1" s="1392" t="s">
        <v>733</v>
      </c>
      <c r="H1" s="1392" t="s">
        <v>734</v>
      </c>
      <c r="I1" s="1392" t="s">
        <v>735</v>
      </c>
      <c r="J1" s="1392" t="s">
        <v>736</v>
      </c>
      <c r="K1" s="1392" t="s">
        <v>737</v>
      </c>
      <c r="L1" s="1392"/>
      <c r="M1" s="1392"/>
      <c r="N1" s="1392" t="s">
        <v>738</v>
      </c>
      <c r="O1" s="1392" t="s">
        <v>739</v>
      </c>
      <c r="P1" s="1392" t="s">
        <v>740</v>
      </c>
      <c r="Q1" s="1392" t="s">
        <v>741</v>
      </c>
      <c r="R1" s="1392" t="s">
        <v>742</v>
      </c>
      <c r="S1" s="1392" t="s">
        <v>743</v>
      </c>
      <c r="T1" s="1392" t="s">
        <v>744</v>
      </c>
      <c r="U1" s="1392" t="s">
        <v>745</v>
      </c>
      <c r="V1" s="1392"/>
      <c r="W1" s="1102" t="s">
        <v>746</v>
      </c>
      <c r="X1" s="1392" t="s">
        <v>747</v>
      </c>
      <c r="Y1" s="1392" t="s">
        <v>748</v>
      </c>
      <c r="Z1" s="1392"/>
      <c r="AA1" s="1392" t="s">
        <v>749</v>
      </c>
      <c r="AB1" s="1392"/>
      <c r="AC1" s="1392" t="s">
        <v>750</v>
      </c>
      <c r="AD1" s="1392"/>
      <c r="AF1" s="1392" t="s">
        <v>751</v>
      </c>
      <c r="AH1" s="1392" t="s">
        <v>752</v>
      </c>
      <c r="AI1" s="1392" t="s">
        <v>753</v>
      </c>
      <c r="AK1" s="1392" t="s">
        <v>754</v>
      </c>
      <c r="AM1" s="1392" t="s">
        <v>755</v>
      </c>
      <c r="AP1" s="1392" t="s">
        <v>756</v>
      </c>
      <c r="AQ1" s="1392" t="s">
        <v>757</v>
      </c>
      <c r="AS1" s="1392" t="s">
        <v>758</v>
      </c>
      <c r="AU1" s="1392" t="s">
        <v>759</v>
      </c>
      <c r="AW1" s="1392" t="s">
        <v>760</v>
      </c>
      <c r="AX1" s="1392" t="s">
        <v>761</v>
      </c>
      <c r="AZ1" s="1478" t="s">
        <v>762</v>
      </c>
      <c r="BB1" s="1392" t="s">
        <v>763</v>
      </c>
      <c r="BC1" s="1392"/>
      <c r="BE1" s="1392" t="s">
        <v>764</v>
      </c>
      <c r="BF1" s="1392" t="s">
        <v>765</v>
      </c>
      <c r="BH1" s="1394" t="s">
        <v>391</v>
      </c>
      <c r="BI1" s="1395"/>
      <c r="BJ1" s="1396" t="s">
        <v>766</v>
      </c>
      <c r="BK1" s="1395"/>
      <c r="BL1" s="1397" t="s">
        <v>393</v>
      </c>
      <c r="BM1" s="1395"/>
      <c r="BN1" s="1398" t="s">
        <v>767</v>
      </c>
      <c r="BS1" s="1789"/>
    </row>
    <row customHeight="1" ht="11.25">
      <c r="A2" s="1399" t="s">
        <v>768</v>
      </c>
      <c r="B2" s="1400">
        <v>2000</v>
      </c>
      <c r="C2" s="1400">
        <v>2022</v>
      </c>
      <c r="D2" s="1400" t="s">
        <v>63</v>
      </c>
      <c r="E2" s="1401" t="s">
        <v>769</v>
      </c>
      <c r="F2" s="1401" t="s">
        <v>770</v>
      </c>
      <c r="G2" s="1401" t="s">
        <v>771</v>
      </c>
      <c r="H2" s="1402" t="s">
        <v>54</v>
      </c>
      <c r="I2" s="1401" t="s">
        <v>99</v>
      </c>
      <c r="J2" s="1401" t="s">
        <v>772</v>
      </c>
      <c r="K2" s="1403" t="s">
        <v>773</v>
      </c>
      <c r="L2" s="1404" t="s">
        <v>773</v>
      </c>
      <c r="M2" s="1403">
        <v>1</v>
      </c>
      <c r="N2" s="1488" t="s">
        <v>774</v>
      </c>
      <c r="O2" s="1402" t="s">
        <v>775</v>
      </c>
      <c r="P2" s="1405" t="s">
        <v>32</v>
      </c>
      <c r="Q2" s="1406" t="s">
        <v>776</v>
      </c>
      <c r="R2" s="414" t="s">
        <v>777</v>
      </c>
      <c r="S2" s="414" t="s">
        <v>778</v>
      </c>
      <c r="T2" s="1407" t="s">
        <v>779</v>
      </c>
      <c r="U2" s="1404" t="s">
        <v>780</v>
      </c>
      <c r="V2" s="1408">
        <v>1</v>
      </c>
      <c r="W2" s="1409"/>
      <c r="X2" s="1409" t="s">
        <v>781</v>
      </c>
      <c r="Y2" s="1400" t="s">
        <v>782</v>
      </c>
      <c r="Z2" s="1410"/>
      <c r="AA2" s="1400" t="s">
        <v>783</v>
      </c>
      <c r="AB2" s="1411" t="s">
        <v>783</v>
      </c>
      <c r="AC2" s="1400" t="s">
        <v>784</v>
      </c>
      <c r="AD2" s="1411" t="s">
        <v>784</v>
      </c>
      <c r="AF2" s="1402" t="s">
        <v>780</v>
      </c>
      <c r="AH2" s="1401" t="s">
        <v>785</v>
      </c>
      <c r="AI2" s="1401" t="s">
        <v>785</v>
      </c>
      <c r="AK2" s="1401" t="s">
        <v>786</v>
      </c>
      <c r="AM2" s="1401" t="s">
        <v>787</v>
      </c>
      <c r="AP2" s="1412" t="s">
        <v>781</v>
      </c>
      <c r="AQ2" s="1413" t="s">
        <v>781</v>
      </c>
      <c r="AS2" s="1400" t="s">
        <v>788</v>
      </c>
      <c r="AU2" s="1446" t="s">
        <v>789</v>
      </c>
      <c r="AW2" s="1446" t="s">
        <v>790</v>
      </c>
      <c r="AX2" s="1446" t="s">
        <v>790</v>
      </c>
      <c r="AZ2" s="1446" t="s">
        <v>52</v>
      </c>
      <c r="BB2" s="1446" t="s">
        <v>791</v>
      </c>
      <c r="BC2" s="1446" t="s">
        <v>792</v>
      </c>
      <c r="BE2" s="1446">
        <v>2000</v>
      </c>
      <c r="BF2" s="1446" t="s">
        <v>793</v>
      </c>
    </row>
    <row customHeight="1" ht="11.25">
      <c r="A3" s="1399" t="s">
        <v>794</v>
      </c>
      <c r="B3" s="1400">
        <v>2001</v>
      </c>
      <c r="C3" s="1400">
        <v>2023</v>
      </c>
      <c r="D3" s="1400" t="s">
        <v>56</v>
      </c>
      <c r="E3" s="1401" t="s">
        <v>795</v>
      </c>
      <c r="F3" s="1401" t="s">
        <v>796</v>
      </c>
      <c r="G3" s="1401" t="s">
        <v>797</v>
      </c>
      <c r="H3" s="1402" t="s">
        <v>798</v>
      </c>
      <c r="I3" s="1401" t="s">
        <v>109</v>
      </c>
      <c r="J3" s="1401" t="s">
        <v>799</v>
      </c>
      <c r="K3" s="1403" t="s">
        <v>800</v>
      </c>
      <c r="L3" s="1403" t="s">
        <v>800</v>
      </c>
      <c r="M3" s="1403">
        <v>2</v>
      </c>
      <c r="N3" s="1488" t="s">
        <v>801</v>
      </c>
      <c r="O3" s="1402" t="s">
        <v>802</v>
      </c>
      <c r="P3" s="1405" t="s">
        <v>803</v>
      </c>
      <c r="Q3" s="1406" t="s">
        <v>804</v>
      </c>
      <c r="R3" s="414" t="s">
        <v>805</v>
      </c>
      <c r="S3" s="414" t="s">
        <v>806</v>
      </c>
      <c r="T3" s="1407" t="s">
        <v>807</v>
      </c>
      <c r="U3" s="1404" t="s">
        <v>808</v>
      </c>
      <c r="V3" s="1408">
        <v>2</v>
      </c>
      <c r="W3" s="1409"/>
      <c r="X3" s="1409" t="s">
        <v>809</v>
      </c>
      <c r="Y3" s="1400" t="s">
        <v>782</v>
      </c>
      <c r="Z3" s="1410"/>
      <c r="AA3" s="1400" t="s">
        <v>810</v>
      </c>
      <c r="AB3" s="1411" t="s">
        <v>810</v>
      </c>
      <c r="AC3" s="1400" t="s">
        <v>811</v>
      </c>
      <c r="AD3" s="1411" t="s">
        <v>811</v>
      </c>
      <c r="AF3" s="1402" t="s">
        <v>808</v>
      </c>
      <c r="AH3" s="1401" t="s">
        <v>812</v>
      </c>
      <c r="AI3" s="1401" t="s">
        <v>813</v>
      </c>
      <c r="AK3" s="1401" t="s">
        <v>814</v>
      </c>
      <c r="AM3" s="1401" t="s">
        <v>815</v>
      </c>
      <c r="AP3" s="1412" t="s">
        <v>816</v>
      </c>
      <c r="AQ3" s="1413" t="s">
        <v>816</v>
      </c>
      <c r="AS3" s="1400" t="s">
        <v>817</v>
      </c>
      <c r="AU3" s="1446" t="s">
        <v>818</v>
      </c>
      <c r="AW3" s="1446" t="s">
        <v>819</v>
      </c>
      <c r="AX3" s="1446" t="s">
        <v>819</v>
      </c>
      <c r="AZ3" s="1446" t="s">
        <v>820</v>
      </c>
      <c r="BB3" s="1446" t="s">
        <v>821</v>
      </c>
      <c r="BC3" s="1446" t="s">
        <v>792</v>
      </c>
      <c r="BE3" s="1446">
        <v>2001</v>
      </c>
      <c r="BF3" s="1446" t="s">
        <v>822</v>
      </c>
      <c r="BH3" s="1392" t="s">
        <v>823</v>
      </c>
      <c r="BJ3" s="1392" t="s">
        <v>824</v>
      </c>
      <c r="BL3" s="1392" t="s">
        <v>825</v>
      </c>
      <c r="BN3" s="1392" t="s">
        <v>826</v>
      </c>
      <c r="BR3" s="1392" t="s">
        <v>827</v>
      </c>
      <c r="BS3" s="1790"/>
      <c r="BT3" s="1395"/>
      <c r="BU3" s="1392" t="s">
        <v>828</v>
      </c>
      <c r="BV3" s="1395"/>
      <c r="BW3" s="2068"/>
      <c r="BX3" s="2070" t="s">
        <v>829</v>
      </c>
      <c r="CA3" s="1392" t="s">
        <v>830</v>
      </c>
    </row>
    <row customHeight="1" ht="11.25">
      <c r="A4" s="1399" t="s">
        <v>831</v>
      </c>
      <c r="B4" s="1400">
        <v>2002</v>
      </c>
      <c r="C4" s="1400">
        <v>2024</v>
      </c>
      <c r="E4" s="1401" t="s">
        <v>832</v>
      </c>
      <c r="F4" s="1401" t="s">
        <v>833</v>
      </c>
      <c r="H4" s="1402" t="s">
        <v>834</v>
      </c>
      <c r="I4" s="1401" t="s">
        <v>90</v>
      </c>
      <c r="J4" s="1401" t="s">
        <v>835</v>
      </c>
      <c r="K4" s="1403" t="s">
        <v>836</v>
      </c>
      <c r="L4" s="1403" t="s">
        <v>836</v>
      </c>
      <c r="M4" s="1403">
        <v>3</v>
      </c>
      <c r="N4" s="1488" t="s">
        <v>837</v>
      </c>
      <c r="O4" s="1401" t="s">
        <v>838</v>
      </c>
      <c r="Q4" s="1406" t="s">
        <v>839</v>
      </c>
      <c r="R4" s="414" t="s">
        <v>840</v>
      </c>
      <c r="S4" s="414" t="s">
        <v>841</v>
      </c>
      <c r="T4" s="1407" t="s">
        <v>842</v>
      </c>
      <c r="U4" s="1404" t="s">
        <v>843</v>
      </c>
      <c r="V4" s="1408">
        <v>3</v>
      </c>
      <c r="W4" s="1409"/>
      <c r="X4" s="1409" t="s">
        <v>844</v>
      </c>
      <c r="Y4" s="1400" t="s">
        <v>782</v>
      </c>
      <c r="Z4" s="1416"/>
      <c r="AC4" s="1400" t="s">
        <v>845</v>
      </c>
      <c r="AD4" s="1411" t="s">
        <v>845</v>
      </c>
      <c r="AF4" s="1402" t="s">
        <v>843</v>
      </c>
      <c r="AH4" s="1402" t="s">
        <v>846</v>
      </c>
      <c r="AK4" s="1401" t="s">
        <v>847</v>
      </c>
      <c r="AM4" s="1401" t="s">
        <v>848</v>
      </c>
      <c r="AP4" s="1412" t="s">
        <v>809</v>
      </c>
      <c r="AQ4" s="1413" t="s">
        <v>809</v>
      </c>
      <c r="AS4" s="1400" t="s">
        <v>849</v>
      </c>
      <c r="AU4" s="1446" t="s">
        <v>850</v>
      </c>
      <c r="AW4" s="1446" t="s">
        <v>851</v>
      </c>
      <c r="AX4" s="1446" t="s">
        <v>851</v>
      </c>
      <c r="AZ4" s="1446" t="s">
        <v>852</v>
      </c>
      <c r="BB4" s="1446" t="s">
        <v>853</v>
      </c>
      <c r="BC4" s="1446" t="s">
        <v>854</v>
      </c>
      <c r="BE4" s="1446">
        <v>2002</v>
      </c>
      <c r="BF4" s="1446" t="s">
        <v>855</v>
      </c>
      <c r="BH4" s="1393" t="s">
        <v>856</v>
      </c>
      <c r="BJ4" s="1393" t="s">
        <v>856</v>
      </c>
      <c r="BL4" s="1393" t="s">
        <v>856</v>
      </c>
      <c r="BN4" s="1393" t="s">
        <v>856</v>
      </c>
      <c r="BQ4" s="1794" t="s">
        <v>857</v>
      </c>
      <c r="BR4" s="1485" t="s">
        <v>858</v>
      </c>
      <c r="BS4" s="547"/>
      <c r="BT4" s="1794" t="s">
        <v>859</v>
      </c>
      <c r="BU4" s="1485" t="s">
        <v>860</v>
      </c>
      <c r="BV4" s="1395"/>
      <c r="BW4" s="2075" t="s">
        <v>861</v>
      </c>
      <c r="BX4" s="2069" t="s">
        <v>862</v>
      </c>
      <c r="BZ4" s="1794" t="s">
        <v>863</v>
      </c>
      <c r="CA4" s="1485" t="s">
        <v>864</v>
      </c>
    </row>
    <row customHeight="1" ht="11.25">
      <c r="A5" s="1399" t="s">
        <v>865</v>
      </c>
      <c r="B5" s="1400">
        <v>2003</v>
      </c>
      <c r="C5" s="1400">
        <v>2025</v>
      </c>
      <c r="E5" s="1401" t="s">
        <v>866</v>
      </c>
      <c r="F5" s="1401" t="s">
        <v>867</v>
      </c>
      <c r="H5" s="1402" t="s">
        <v>868</v>
      </c>
      <c r="I5" s="1401" t="s">
        <v>91</v>
      </c>
      <c r="K5" s="1403" t="s">
        <v>869</v>
      </c>
      <c r="L5" s="1403" t="s">
        <v>869</v>
      </c>
      <c r="M5" s="1403">
        <v>4</v>
      </c>
      <c r="N5" s="1417" t="s">
        <v>870</v>
      </c>
      <c r="O5" s="1401" t="s">
        <v>871</v>
      </c>
      <c r="Q5" s="1406" t="s">
        <v>872</v>
      </c>
      <c r="R5" s="414" t="s">
        <v>873</v>
      </c>
      <c r="T5" s="1402" t="s">
        <v>874</v>
      </c>
      <c r="U5" s="1404" t="s">
        <v>875</v>
      </c>
      <c r="V5" s="1408">
        <v>4</v>
      </c>
      <c r="W5" s="1409"/>
      <c r="X5" s="1409" t="s">
        <v>168</v>
      </c>
      <c r="Y5" s="1400" t="s">
        <v>876</v>
      </c>
      <c r="Z5" s="1416">
        <v>1</v>
      </c>
      <c r="AF5" s="1402" t="s">
        <v>877</v>
      </c>
      <c r="AH5" s="1401" t="s">
        <v>878</v>
      </c>
      <c r="AK5" s="1401" t="s">
        <v>879</v>
      </c>
      <c r="AM5" s="1401" t="s">
        <v>880</v>
      </c>
      <c r="AP5" s="1412" t="s">
        <v>168</v>
      </c>
      <c r="AQ5" s="1413" t="s">
        <v>168</v>
      </c>
      <c r="AU5" s="1446" t="s">
        <v>881</v>
      </c>
      <c r="AW5" s="1446" t="s">
        <v>882</v>
      </c>
      <c r="AX5" s="1446" t="s">
        <v>882</v>
      </c>
      <c r="AZ5" s="1446" t="s">
        <v>883</v>
      </c>
      <c r="BB5" s="1446" t="s">
        <v>884</v>
      </c>
      <c r="BC5" s="1446" t="s">
        <v>885</v>
      </c>
      <c r="BE5" s="1446">
        <v>2003</v>
      </c>
      <c r="BF5" s="1446" t="s">
        <v>886</v>
      </c>
      <c r="BH5" s="1393" t="s">
        <v>887</v>
      </c>
      <c r="BJ5" s="1393" t="s">
        <v>887</v>
      </c>
      <c r="BL5" s="1393" t="s">
        <v>887</v>
      </c>
      <c r="BN5" s="1393" t="s">
        <v>888</v>
      </c>
      <c r="BQ5" s="1636">
        <v>4213775</v>
      </c>
      <c r="BR5" s="1393" t="s">
        <v>781</v>
      </c>
      <c r="BS5" s="1791"/>
      <c r="BT5" s="1636">
        <v>64236871</v>
      </c>
      <c r="BU5" s="1393" t="s">
        <v>220</v>
      </c>
      <c r="BV5" s="1395"/>
      <c r="BW5" s="2073">
        <v>4213767</v>
      </c>
      <c r="BX5" s="2071" t="s">
        <v>889</v>
      </c>
      <c r="BZ5" s="1636">
        <v>64237509</v>
      </c>
      <c r="CA5" s="1651" t="s">
        <v>890</v>
      </c>
    </row>
    <row customHeight="1" ht="11.25">
      <c r="A6" s="1399" t="s">
        <v>891</v>
      </c>
      <c r="B6" s="1400">
        <v>2004</v>
      </c>
      <c r="C6" s="1400">
        <v>2026</v>
      </c>
      <c r="E6" s="1401" t="s">
        <v>892</v>
      </c>
      <c r="F6" s="1418"/>
      <c r="H6" s="1402" t="s">
        <v>893</v>
      </c>
      <c r="I6" s="1401" t="s">
        <v>110</v>
      </c>
      <c r="J6" s="1392" t="s">
        <v>894</v>
      </c>
      <c r="N6" s="1417" t="s">
        <v>895</v>
      </c>
      <c r="O6" s="1401" t="s">
        <v>896</v>
      </c>
      <c r="R6" s="414" t="s">
        <v>776</v>
      </c>
      <c r="T6" s="1402" t="s">
        <v>897</v>
      </c>
      <c r="U6" s="1404" t="s">
        <v>877</v>
      </c>
      <c r="V6" s="1408">
        <v>5</v>
      </c>
      <c r="W6" s="1409"/>
      <c r="X6" s="1400" t="s">
        <v>174</v>
      </c>
      <c r="Y6" s="1400" t="s">
        <v>898</v>
      </c>
      <c r="Z6" s="1416"/>
      <c r="AA6" s="1419"/>
      <c r="AH6" s="1401" t="s">
        <v>899</v>
      </c>
      <c r="AK6" s="1401" t="s">
        <v>900</v>
      </c>
      <c r="AM6" s="1401" t="s">
        <v>901</v>
      </c>
      <c r="AP6" s="1412" t="s">
        <v>174</v>
      </c>
      <c r="AQ6" s="1413" t="s">
        <v>174</v>
      </c>
      <c r="AU6" s="1446" t="s">
        <v>902</v>
      </c>
      <c r="AW6" s="1446" t="s">
        <v>903</v>
      </c>
      <c r="AX6" s="1446" t="s">
        <v>903</v>
      </c>
      <c r="BB6" s="1446" t="s">
        <v>904</v>
      </c>
      <c r="BC6" s="1446" t="s">
        <v>885</v>
      </c>
      <c r="BE6" s="1446">
        <v>2004</v>
      </c>
      <c r="BF6" s="1446" t="s">
        <v>905</v>
      </c>
      <c r="BH6" s="1393" t="s">
        <v>906</v>
      </c>
      <c r="BJ6" s="1393" t="s">
        <v>907</v>
      </c>
      <c r="BL6" s="1393" t="s">
        <v>907</v>
      </c>
      <c r="BN6" s="1393" t="s">
        <v>908</v>
      </c>
      <c r="BQ6" s="1636">
        <v>4213784</v>
      </c>
      <c r="BR6" s="1651" t="s">
        <v>816</v>
      </c>
      <c r="BS6" s="1792"/>
      <c r="BT6" s="1636">
        <v>64236872</v>
      </c>
      <c r="BU6" s="1393" t="s">
        <v>225</v>
      </c>
      <c r="BV6" s="1395"/>
      <c r="BW6" s="2073">
        <v>4213768</v>
      </c>
      <c r="BX6" s="2071" t="s">
        <v>245</v>
      </c>
      <c r="BZ6" s="1636">
        <v>64237510</v>
      </c>
      <c r="CA6" s="1393" t="s">
        <v>909</v>
      </c>
    </row>
    <row customHeight="1" ht="11.25">
      <c r="A7" s="1399" t="s">
        <v>910</v>
      </c>
      <c r="B7" s="1400">
        <v>2005</v>
      </c>
      <c r="E7" s="1401" t="s">
        <v>911</v>
      </c>
      <c r="F7" s="1418"/>
      <c r="H7" s="1402" t="s">
        <v>912</v>
      </c>
      <c r="I7" s="1401" t="s">
        <v>92</v>
      </c>
      <c r="J7" s="1401" t="s">
        <v>913</v>
      </c>
      <c r="N7" s="1421" t="s">
        <v>914</v>
      </c>
      <c r="O7" s="1401" t="s">
        <v>915</v>
      </c>
      <c r="U7" s="1404" t="s">
        <v>56</v>
      </c>
      <c r="V7" s="660" t="s">
        <v>92</v>
      </c>
      <c r="W7" s="1409"/>
      <c r="X7" s="1400" t="s">
        <v>180</v>
      </c>
      <c r="Y7" s="1400" t="s">
        <v>876</v>
      </c>
      <c r="Z7" s="1416"/>
      <c r="AA7" s="1419"/>
      <c r="AH7" s="1401" t="s">
        <v>916</v>
      </c>
      <c r="AK7" s="1401" t="s">
        <v>917</v>
      </c>
      <c r="AM7" s="1401" t="s">
        <v>918</v>
      </c>
      <c r="AP7" s="1412" t="s">
        <v>180</v>
      </c>
      <c r="AQ7" s="1413" t="s">
        <v>180</v>
      </c>
      <c r="AU7" s="1446" t="s">
        <v>919</v>
      </c>
      <c r="AW7" s="1446" t="s">
        <v>920</v>
      </c>
      <c r="AX7" s="1446" t="s">
        <v>920</v>
      </c>
      <c r="AZ7" s="1392" t="s">
        <v>921</v>
      </c>
      <c r="BB7" s="1446" t="s">
        <v>922</v>
      </c>
      <c r="BC7" s="1446" t="s">
        <v>885</v>
      </c>
      <c r="BE7" s="1446">
        <v>2005</v>
      </c>
      <c r="BF7" s="1446" t="s">
        <v>923</v>
      </c>
      <c r="BH7" s="1393" t="s">
        <v>924</v>
      </c>
      <c r="BJ7" s="1393" t="s">
        <v>906</v>
      </c>
      <c r="BL7" s="1393" t="s">
        <v>906</v>
      </c>
      <c r="BN7" s="1393" t="s">
        <v>925</v>
      </c>
      <c r="BQ7" s="1636">
        <v>4213781</v>
      </c>
      <c r="BR7" s="1393" t="s">
        <v>809</v>
      </c>
      <c r="BS7" s="1791"/>
      <c r="BT7" s="1636">
        <v>64236873</v>
      </c>
      <c r="BU7" s="1393" t="s">
        <v>230</v>
      </c>
      <c r="BV7" s="1395"/>
      <c r="BW7" s="2073">
        <v>4213769</v>
      </c>
      <c r="BX7" s="2071" t="s">
        <v>926</v>
      </c>
      <c r="BZ7" s="1636">
        <v>64237511</v>
      </c>
      <c r="CA7" s="1393" t="s">
        <v>260</v>
      </c>
    </row>
    <row customHeight="1" ht="11.25">
      <c r="A8" s="1399" t="s">
        <v>927</v>
      </c>
      <c r="B8" s="1400">
        <v>2006</v>
      </c>
      <c r="E8" s="1401" t="s">
        <v>928</v>
      </c>
      <c r="F8" s="1418"/>
      <c r="I8" s="1401" t="s">
        <v>93</v>
      </c>
      <c r="J8" s="1401" t="s">
        <v>929</v>
      </c>
      <c r="N8" s="1489" t="s">
        <v>930</v>
      </c>
      <c r="O8" s="1401" t="s">
        <v>931</v>
      </c>
      <c r="V8" s="660" t="s">
        <v>93</v>
      </c>
      <c r="W8" s="1409"/>
      <c r="X8" s="1400" t="s">
        <v>186</v>
      </c>
      <c r="Y8" s="1400" t="s">
        <v>876</v>
      </c>
      <c r="Z8" s="1416"/>
      <c r="AA8" s="1419"/>
      <c r="AK8" s="1401" t="s">
        <v>932</v>
      </c>
      <c r="AP8" s="1412" t="s">
        <v>186</v>
      </c>
      <c r="AQ8" s="1413" t="s">
        <v>186</v>
      </c>
      <c r="AU8" s="1446" t="s">
        <v>933</v>
      </c>
      <c r="AW8" s="1446" t="s">
        <v>934</v>
      </c>
      <c r="AX8" s="1446" t="s">
        <v>934</v>
      </c>
      <c r="AZ8" s="1446" t="s">
        <v>935</v>
      </c>
      <c r="BB8" s="1446" t="s">
        <v>936</v>
      </c>
      <c r="BC8" s="1446" t="s">
        <v>885</v>
      </c>
      <c r="BE8" s="1446">
        <v>2006</v>
      </c>
      <c r="BF8" s="1446" t="s">
        <v>937</v>
      </c>
      <c r="BH8" s="1393" t="s">
        <v>938</v>
      </c>
      <c r="BJ8" s="1393" t="s">
        <v>939</v>
      </c>
      <c r="BL8" s="1393" t="s">
        <v>939</v>
      </c>
      <c r="BN8" s="1393" t="s">
        <v>940</v>
      </c>
      <c r="BQ8" s="1636">
        <v>4213776</v>
      </c>
      <c r="BR8" s="1393" t="s">
        <v>168</v>
      </c>
      <c r="BS8" s="1791"/>
      <c r="BT8" s="1636">
        <v>64236874</v>
      </c>
      <c r="BU8" s="1651" t="s">
        <v>941</v>
      </c>
      <c r="BV8" s="1395"/>
      <c r="BW8" s="2073">
        <v>4213770</v>
      </c>
      <c r="BX8" s="2074" t="s">
        <v>942</v>
      </c>
      <c r="BZ8" s="1636">
        <v>64237512</v>
      </c>
      <c r="CA8" s="1393" t="s">
        <v>255</v>
      </c>
    </row>
    <row customHeight="1" ht="11.25">
      <c r="A9" s="1399" t="s">
        <v>943</v>
      </c>
      <c r="B9" s="1400">
        <v>2007</v>
      </c>
      <c r="E9" s="1401" t="s">
        <v>944</v>
      </c>
      <c r="F9" s="1418"/>
      <c r="G9" s="1392" t="s">
        <v>945</v>
      </c>
      <c r="H9" s="1392" t="s">
        <v>946</v>
      </c>
      <c r="I9" s="1401" t="s">
        <v>111</v>
      </c>
      <c r="O9" s="1401" t="s">
        <v>947</v>
      </c>
      <c r="V9" s="660" t="s">
        <v>111</v>
      </c>
      <c r="W9" s="1409"/>
      <c r="X9" s="1400" t="s">
        <v>195</v>
      </c>
      <c r="Y9" s="1400" t="s">
        <v>782</v>
      </c>
      <c r="Z9" s="1416">
        <v>1</v>
      </c>
      <c r="AA9" s="1419"/>
      <c r="AK9" s="1401" t="s">
        <v>948</v>
      </c>
      <c r="AP9" s="1412" t="s">
        <v>949</v>
      </c>
      <c r="AQ9" s="1413" t="s">
        <v>949</v>
      </c>
      <c r="AW9" s="1446" t="s">
        <v>950</v>
      </c>
      <c r="AX9" s="1446" t="s">
        <v>950</v>
      </c>
      <c r="AZ9" s="1446" t="s">
        <v>951</v>
      </c>
      <c r="BB9" s="1446" t="s">
        <v>952</v>
      </c>
      <c r="BC9" s="1446" t="s">
        <v>885</v>
      </c>
      <c r="BE9" s="1446">
        <v>2007</v>
      </c>
      <c r="BF9" s="1446" t="s">
        <v>953</v>
      </c>
      <c r="BH9" s="1393" t="s">
        <v>954</v>
      </c>
      <c r="BJ9" s="1393" t="s">
        <v>955</v>
      </c>
      <c r="BL9" s="1393" t="s">
        <v>955</v>
      </c>
      <c r="BN9" s="1393" t="s">
        <v>956</v>
      </c>
      <c r="BQ9" s="1636">
        <v>4213777</v>
      </c>
      <c r="BR9" s="1393" t="s">
        <v>174</v>
      </c>
      <c r="BS9" s="1791"/>
      <c r="BT9" s="1636">
        <v>64236875</v>
      </c>
      <c r="BU9" s="1393" t="s">
        <v>235</v>
      </c>
      <c r="BV9" s="1395"/>
      <c r="BW9" s="2068"/>
      <c r="BX9" s="2068"/>
    </row>
    <row customHeight="1" ht="11.25">
      <c r="A10" s="1399" t="s">
        <v>957</v>
      </c>
      <c r="B10" s="1400">
        <v>2008</v>
      </c>
      <c r="E10" s="1401" t="s">
        <v>958</v>
      </c>
      <c r="F10" s="1418"/>
      <c r="G10" s="1401" t="s">
        <v>959</v>
      </c>
      <c r="H10" s="1401" t="s">
        <v>960</v>
      </c>
      <c r="I10" s="1401" t="s">
        <v>148</v>
      </c>
      <c r="J10" s="1392" t="s">
        <v>961</v>
      </c>
      <c r="K10" s="1392" t="s">
        <v>962</v>
      </c>
      <c r="O10" s="1401" t="s">
        <v>963</v>
      </c>
      <c r="V10" s="661" t="s">
        <v>148</v>
      </c>
      <c r="W10" s="1422"/>
      <c r="X10" s="1422" t="s">
        <v>964</v>
      </c>
      <c r="Y10" s="1423" t="s">
        <v>965</v>
      </c>
      <c r="Z10" s="1416"/>
      <c r="AP10" s="1412" t="s">
        <v>964</v>
      </c>
      <c r="AQ10" s="1413" t="s">
        <v>964</v>
      </c>
      <c r="AW10" s="1446" t="s">
        <v>966</v>
      </c>
      <c r="AX10" s="1446" t="s">
        <v>966</v>
      </c>
      <c r="AZ10" s="1446" t="s">
        <v>967</v>
      </c>
      <c r="BB10" s="1446" t="s">
        <v>968</v>
      </c>
      <c r="BC10" s="1446" t="s">
        <v>885</v>
      </c>
      <c r="BE10" s="1446">
        <v>2008</v>
      </c>
      <c r="BF10" s="1446" t="s">
        <v>969</v>
      </c>
      <c r="BH10" s="1393" t="s">
        <v>970</v>
      </c>
      <c r="BJ10" s="1393" t="s">
        <v>971</v>
      </c>
      <c r="BL10" s="1393" t="s">
        <v>971</v>
      </c>
      <c r="BN10" s="1393" t="s">
        <v>972</v>
      </c>
      <c r="BQ10" s="1636">
        <v>4213778</v>
      </c>
      <c r="BR10" s="1393" t="s">
        <v>180</v>
      </c>
      <c r="BS10" s="1791"/>
      <c r="BT10" s="1636">
        <v>64236876</v>
      </c>
      <c r="BU10" s="1393" t="s">
        <v>215</v>
      </c>
      <c r="BV10" s="1395"/>
      <c r="BW10" s="2068"/>
      <c r="BX10" s="2068"/>
    </row>
    <row customHeight="1" ht="11.25">
      <c r="A11" s="1399" t="s">
        <v>973</v>
      </c>
      <c r="B11" s="1400">
        <v>2009</v>
      </c>
      <c r="E11" s="1401" t="s">
        <v>974</v>
      </c>
      <c r="F11" s="1418"/>
      <c r="G11" s="1401" t="s">
        <v>975</v>
      </c>
      <c r="H11" s="1401" t="s">
        <v>976</v>
      </c>
      <c r="I11" s="1401" t="s">
        <v>149</v>
      </c>
      <c r="J11" s="1402" t="s">
        <v>977</v>
      </c>
      <c r="K11" s="1424" t="s">
        <v>978</v>
      </c>
      <c r="O11" s="1402" t="s">
        <v>979</v>
      </c>
      <c r="V11" s="660" t="s">
        <v>149</v>
      </c>
      <c r="W11" s="548"/>
      <c r="X11" s="1409" t="s">
        <v>949</v>
      </c>
      <c r="Y11" s="1400" t="s">
        <v>980</v>
      </c>
      <c r="Z11" s="1416"/>
      <c r="AP11" s="1412" t="s">
        <v>195</v>
      </c>
      <c r="AQ11" s="1414" t="s">
        <v>195</v>
      </c>
      <c r="AW11" s="1446" t="s">
        <v>981</v>
      </c>
      <c r="AX11" s="1446" t="s">
        <v>981</v>
      </c>
      <c r="AZ11" s="1446" t="s">
        <v>982</v>
      </c>
      <c r="BB11" s="1446" t="s">
        <v>983</v>
      </c>
      <c r="BC11" s="1446" t="s">
        <v>885</v>
      </c>
      <c r="BE11" s="1446">
        <v>2009</v>
      </c>
      <c r="BF11" s="1446" t="s">
        <v>984</v>
      </c>
      <c r="BH11" s="1393" t="s">
        <v>985</v>
      </c>
      <c r="BJ11" s="1393" t="s">
        <v>954</v>
      </c>
      <c r="BL11" s="1393" t="s">
        <v>954</v>
      </c>
      <c r="BN11" s="1393" t="s">
        <v>986</v>
      </c>
      <c r="BQ11" s="1636">
        <v>4213780</v>
      </c>
      <c r="BR11" s="1393" t="s">
        <v>186</v>
      </c>
      <c r="BS11" s="1791"/>
      <c r="BW11" s="2068"/>
      <c r="BX11" s="2068"/>
    </row>
    <row customHeight="1" ht="11.25">
      <c r="A12" s="1399" t="s">
        <v>987</v>
      </c>
      <c r="B12" s="1400">
        <v>2010</v>
      </c>
      <c r="E12" s="1401" t="s">
        <v>988</v>
      </c>
      <c r="F12" s="1418"/>
      <c r="G12" s="1401" t="s">
        <v>976</v>
      </c>
      <c r="I12" s="1401" t="s">
        <v>150</v>
      </c>
      <c r="J12" s="1402" t="s">
        <v>989</v>
      </c>
      <c r="K12" s="1424" t="s">
        <v>990</v>
      </c>
      <c r="O12" s="1402" t="s">
        <v>776</v>
      </c>
      <c r="V12" s="660" t="s">
        <v>150</v>
      </c>
      <c r="W12" s="1414"/>
      <c r="X12" s="1409" t="s">
        <v>991</v>
      </c>
      <c r="Y12" s="1400" t="s">
        <v>782</v>
      </c>
      <c r="AP12" s="1412"/>
      <c r="AW12" s="1446" t="s">
        <v>149</v>
      </c>
      <c r="AX12" s="1446" t="s">
        <v>149</v>
      </c>
      <c r="AZ12" s="1446" t="s">
        <v>992</v>
      </c>
      <c r="BB12" s="1446" t="s">
        <v>993</v>
      </c>
      <c r="BC12" s="1446" t="s">
        <v>885</v>
      </c>
      <c r="BE12" s="1446">
        <v>2010</v>
      </c>
      <c r="BF12" s="1446" t="s">
        <v>994</v>
      </c>
      <c r="BH12" s="1393" t="s">
        <v>995</v>
      </c>
      <c r="BJ12" s="1393" t="s">
        <v>996</v>
      </c>
      <c r="BL12" s="1393" t="s">
        <v>996</v>
      </c>
      <c r="BN12" s="1393" t="s">
        <v>997</v>
      </c>
      <c r="BQ12" s="1636">
        <v>4213779</v>
      </c>
      <c r="BR12" s="1393" t="s">
        <v>949</v>
      </c>
      <c r="BS12" s="1791"/>
      <c r="BT12" s="1395"/>
      <c r="BU12" s="1395"/>
      <c r="BV12" s="1395"/>
      <c r="BW12" s="2068"/>
      <c r="BX12" s="2068"/>
    </row>
    <row customHeight="1" ht="11.25">
      <c r="A13" s="1399" t="s">
        <v>998</v>
      </c>
      <c r="B13" s="1400">
        <v>2011</v>
      </c>
      <c r="E13" s="1401" t="s">
        <v>999</v>
      </c>
      <c r="F13" s="1418"/>
      <c r="I13" s="1401" t="s">
        <v>151</v>
      </c>
      <c r="K13" s="1424" t="s">
        <v>948</v>
      </c>
      <c r="V13" s="660" t="s">
        <v>151</v>
      </c>
      <c r="W13" s="1414"/>
      <c r="X13" s="1414"/>
      <c r="Y13" s="1414"/>
      <c r="AW13" s="1446" t="s">
        <v>150</v>
      </c>
      <c r="AX13" s="1446" t="s">
        <v>150</v>
      </c>
      <c r="BB13" s="1446" t="s">
        <v>1000</v>
      </c>
      <c r="BC13" s="1446" t="s">
        <v>1001</v>
      </c>
      <c r="BE13" s="1446">
        <v>2011</v>
      </c>
      <c r="BF13" s="1446" t="s">
        <v>1002</v>
      </c>
      <c r="BH13" s="1393" t="s">
        <v>1003</v>
      </c>
      <c r="BJ13" s="1393" t="s">
        <v>985</v>
      </c>
      <c r="BL13" s="1393" t="s">
        <v>985</v>
      </c>
      <c r="BN13" s="1393" t="s">
        <v>1004</v>
      </c>
      <c r="BQ13" s="1636">
        <v>4213783</v>
      </c>
      <c r="BR13" s="1393" t="s">
        <v>964</v>
      </c>
      <c r="BS13" s="1791"/>
      <c r="BT13" s="1395"/>
      <c r="BU13" s="1395"/>
      <c r="BV13" s="1395"/>
      <c r="BW13" s="2072"/>
      <c r="BX13" s="2068"/>
    </row>
    <row customHeight="1" ht="11.25">
      <c r="A14" s="1399" t="s">
        <v>1005</v>
      </c>
      <c r="B14" s="1400">
        <v>2012</v>
      </c>
      <c r="I14" s="1401" t="s">
        <v>152</v>
      </c>
      <c r="J14" s="1392" t="s">
        <v>1006</v>
      </c>
      <c r="N14" s="1392" t="s">
        <v>1007</v>
      </c>
      <c r="V14" s="1408">
        <v>13</v>
      </c>
      <c r="W14" s="1409"/>
      <c r="X14" s="1409" t="s">
        <v>816</v>
      </c>
      <c r="Y14" s="1400" t="s">
        <v>782</v>
      </c>
      <c r="AW14" s="1446" t="s">
        <v>151</v>
      </c>
      <c r="AX14" s="1446" t="s">
        <v>151</v>
      </c>
      <c r="AZ14" s="1392" t="s">
        <v>1008</v>
      </c>
      <c r="BB14" s="1446" t="s">
        <v>1009</v>
      </c>
      <c r="BC14" s="1446" t="s">
        <v>1001</v>
      </c>
      <c r="BE14" s="1446">
        <v>2012</v>
      </c>
      <c r="BH14" s="1393" t="s">
        <v>925</v>
      </c>
      <c r="BJ14" s="1554" t="s">
        <v>1010</v>
      </c>
      <c r="BL14" s="1554" t="s">
        <v>1010</v>
      </c>
      <c r="BN14" s="1393" t="s">
        <v>1011</v>
      </c>
      <c r="BQ14" s="1636">
        <v>4213782</v>
      </c>
      <c r="BR14" s="1393" t="s">
        <v>195</v>
      </c>
      <c r="BS14" s="1791"/>
      <c r="BT14" s="1395"/>
      <c r="BU14" s="1395"/>
      <c r="BV14" s="1395"/>
      <c r="BW14" s="2072"/>
      <c r="BX14" s="2068"/>
    </row>
    <row customHeight="1" ht="19.5">
      <c r="A15" s="1399" t="s">
        <v>1012</v>
      </c>
      <c r="B15" s="1400">
        <v>2013</v>
      </c>
      <c r="E15" s="2076" t="s">
        <v>1013</v>
      </c>
      <c r="G15" s="1392" t="s">
        <v>1014</v>
      </c>
      <c r="H15" s="1392" t="s">
        <v>1015</v>
      </c>
      <c r="I15" s="1403" t="s">
        <v>153</v>
      </c>
      <c r="J15" s="1414" t="s">
        <v>1016</v>
      </c>
      <c r="N15" s="1484" t="s">
        <v>1017</v>
      </c>
      <c r="X15" s="1412"/>
      <c r="AW15" s="1446" t="s">
        <v>152</v>
      </c>
      <c r="AX15" s="1446" t="s">
        <v>152</v>
      </c>
      <c r="AZ15" s="1446" t="s">
        <v>935</v>
      </c>
      <c r="BB15" s="1446" t="s">
        <v>1018</v>
      </c>
      <c r="BC15" s="1446" t="s">
        <v>1001</v>
      </c>
      <c r="BE15" s="1446">
        <v>2013</v>
      </c>
      <c r="BH15" s="1393" t="s">
        <v>940</v>
      </c>
      <c r="BJ15" s="1554" t="s">
        <v>1019</v>
      </c>
      <c r="BL15" s="1554" t="s">
        <v>1019</v>
      </c>
      <c r="BN15" s="1393" t="s">
        <v>1020</v>
      </c>
      <c r="BR15" s="1395"/>
      <c r="BS15" s="1793"/>
      <c r="BT15" s="1395"/>
      <c r="BU15" s="1395"/>
      <c r="BV15" s="1395"/>
      <c r="BW15" s="2072"/>
      <c r="BX15" s="2068"/>
    </row>
    <row customHeight="1" ht="21">
      <c r="A16" s="1399" t="s">
        <v>1021</v>
      </c>
      <c r="B16" s="1400">
        <v>2014</v>
      </c>
      <c r="E16" s="2077" t="s">
        <v>1022</v>
      </c>
      <c r="G16" s="1401" t="s">
        <v>1023</v>
      </c>
      <c r="H16" s="1401" t="s">
        <v>1024</v>
      </c>
      <c r="I16" s="1403" t="s">
        <v>695</v>
      </c>
      <c r="J16" s="1414" t="s">
        <v>799</v>
      </c>
      <c r="N16" s="1484" t="s">
        <v>1025</v>
      </c>
      <c r="AW16" s="1446" t="s">
        <v>153</v>
      </c>
      <c r="AX16" s="1446" t="s">
        <v>153</v>
      </c>
      <c r="AZ16" s="1446" t="s">
        <v>951</v>
      </c>
      <c r="BB16" s="1446" t="s">
        <v>1026</v>
      </c>
      <c r="BC16" s="1446" t="s">
        <v>1001</v>
      </c>
      <c r="BE16" s="1446">
        <v>2014</v>
      </c>
      <c r="BH16" s="1393" t="s">
        <v>956</v>
      </c>
      <c r="BJ16" s="1554" t="s">
        <v>1027</v>
      </c>
      <c r="BL16" s="1554" t="s">
        <v>1027</v>
      </c>
      <c r="BN16" s="1393" t="s">
        <v>1028</v>
      </c>
      <c r="BR16" s="1395"/>
      <c r="BS16" s="1793"/>
      <c r="BT16" s="1395"/>
      <c r="BU16" s="1395"/>
      <c r="BV16" s="1395"/>
      <c r="BW16" s="2072"/>
      <c r="BX16" s="2068"/>
    </row>
    <row customHeight="1" ht="21">
      <c r="A17" s="1399" t="s">
        <v>1029</v>
      </c>
      <c r="B17" s="1400">
        <v>2015</v>
      </c>
      <c r="G17" s="1401" t="s">
        <v>976</v>
      </c>
      <c r="H17" s="1401" t="s">
        <v>976</v>
      </c>
      <c r="I17" s="1401" t="s">
        <v>397</v>
      </c>
      <c r="N17" s="1484" t="s">
        <v>1030</v>
      </c>
      <c r="X17" s="1412"/>
      <c r="AW17" s="1446" t="s">
        <v>695</v>
      </c>
      <c r="AX17" s="1446" t="s">
        <v>695</v>
      </c>
      <c r="AZ17" s="1446" t="s">
        <v>1031</v>
      </c>
      <c r="BB17" s="1446" t="s">
        <v>1032</v>
      </c>
      <c r="BC17" s="1446" t="s">
        <v>885</v>
      </c>
      <c r="BE17" s="1446">
        <v>2015</v>
      </c>
      <c r="BH17" s="1393" t="s">
        <v>972</v>
      </c>
      <c r="BJ17" s="1554" t="s">
        <v>1033</v>
      </c>
      <c r="BL17" s="1554" t="s">
        <v>1033</v>
      </c>
      <c r="BN17" s="1393" t="s">
        <v>1034</v>
      </c>
      <c r="BR17" s="1392" t="s">
        <v>827</v>
      </c>
      <c r="BS17" s="1790"/>
      <c r="BU17" s="1392" t="s">
        <v>1035</v>
      </c>
      <c r="BV17" s="1395"/>
      <c r="BW17" s="2068"/>
      <c r="BX17" s="2070" t="s">
        <v>1036</v>
      </c>
      <c r="CA17" s="1392" t="s">
        <v>1037</v>
      </c>
      <c r="CD17" s="1392" t="s">
        <v>1038</v>
      </c>
    </row>
    <row customHeight="1" ht="21">
      <c r="A18" s="1399" t="s">
        <v>1039</v>
      </c>
      <c r="B18" s="1400">
        <v>2016</v>
      </c>
      <c r="I18" s="1401" t="s">
        <v>704</v>
      </c>
      <c r="N18" s="1484" t="s">
        <v>1040</v>
      </c>
      <c r="X18" s="1412"/>
      <c r="AW18" s="1446" t="s">
        <v>397</v>
      </c>
      <c r="AX18" s="1446" t="s">
        <v>397</v>
      </c>
      <c r="BB18" s="1446" t="s">
        <v>1041</v>
      </c>
      <c r="BC18" s="1446" t="s">
        <v>885</v>
      </c>
      <c r="BE18" s="1446">
        <v>2016</v>
      </c>
      <c r="BH18" s="1393" t="s">
        <v>986</v>
      </c>
      <c r="BJ18" s="1554" t="s">
        <v>1042</v>
      </c>
      <c r="BL18" s="1554" t="s">
        <v>1042</v>
      </c>
      <c r="BN18" s="1393" t="s">
        <v>1043</v>
      </c>
      <c r="BQ18" s="1794" t="s">
        <v>857</v>
      </c>
      <c r="BR18" s="1485" t="s">
        <v>858</v>
      </c>
      <c r="BS18" s="547"/>
      <c r="BT18" s="1794" t="s">
        <v>1044</v>
      </c>
      <c r="BU18" s="1485" t="s">
        <v>1045</v>
      </c>
      <c r="BV18" s="1395"/>
      <c r="BW18" s="2075" t="s">
        <v>1046</v>
      </c>
      <c r="BX18" s="2069" t="s">
        <v>1047</v>
      </c>
      <c r="BZ18" s="1794" t="s">
        <v>1048</v>
      </c>
      <c r="CA18" s="1485" t="s">
        <v>1049</v>
      </c>
      <c r="CC18" s="1794" t="s">
        <v>1050</v>
      </c>
      <c r="CD18" s="1485" t="s">
        <v>1051</v>
      </c>
    </row>
    <row customHeight="1" ht="21">
      <c r="A19" s="1399" t="s">
        <v>1052</v>
      </c>
      <c r="B19" s="1400">
        <v>2017</v>
      </c>
      <c r="I19" s="1401" t="s">
        <v>708</v>
      </c>
      <c r="N19" s="1484" t="s">
        <v>1053</v>
      </c>
      <c r="X19" s="1412"/>
      <c r="AW19" s="1446" t="s">
        <v>704</v>
      </c>
      <c r="AX19" s="1446" t="s">
        <v>704</v>
      </c>
      <c r="AZ19" s="1392" t="s">
        <v>1054</v>
      </c>
      <c r="BB19" s="1446" t="s">
        <v>1055</v>
      </c>
      <c r="BC19" s="1446" t="s">
        <v>885</v>
      </c>
      <c r="BE19" s="1446">
        <v>2017</v>
      </c>
      <c r="BH19" s="1393" t="s">
        <v>1056</v>
      </c>
      <c r="BJ19" s="1554" t="s">
        <v>1057</v>
      </c>
      <c r="BL19" s="1554" t="s">
        <v>1057</v>
      </c>
      <c r="BQ19" s="1636">
        <v>4190064</v>
      </c>
      <c r="BR19" s="1393" t="s">
        <v>1058</v>
      </c>
      <c r="BS19" s="1791"/>
      <c r="BT19" s="1636">
        <v>64235586</v>
      </c>
      <c r="BU19" s="1393" t="s">
        <v>1059</v>
      </c>
      <c r="BV19" s="1395"/>
      <c r="BW19" s="2073">
        <v>4189706</v>
      </c>
      <c r="BX19" s="2071" t="s">
        <v>1060</v>
      </c>
      <c r="BZ19" s="1636">
        <v>64235589</v>
      </c>
      <c r="CA19" s="1393" t="s">
        <v>1061</v>
      </c>
      <c r="CC19" s="1636">
        <v>4189708</v>
      </c>
      <c r="CD19" s="1393" t="s">
        <v>1062</v>
      </c>
    </row>
    <row customHeight="1" ht="21">
      <c r="A20" s="1399" t="s">
        <v>1063</v>
      </c>
      <c r="B20" s="1400">
        <v>2018</v>
      </c>
      <c r="I20" s="1401" t="s">
        <v>459</v>
      </c>
      <c r="N20" s="1484" t="s">
        <v>1064</v>
      </c>
      <c r="AW20" s="1446" t="s">
        <v>708</v>
      </c>
      <c r="AX20" s="1446" t="s">
        <v>708</v>
      </c>
      <c r="AZ20" s="1446" t="s">
        <v>1065</v>
      </c>
      <c r="BB20" s="1446" t="s">
        <v>1066</v>
      </c>
      <c r="BC20" s="1446" t="s">
        <v>1001</v>
      </c>
      <c r="BE20" s="1446">
        <v>2018</v>
      </c>
      <c r="BH20" s="1393" t="s">
        <v>997</v>
      </c>
      <c r="BJ20" s="1393" t="s">
        <v>925</v>
      </c>
      <c r="BL20" s="1393" t="s">
        <v>925</v>
      </c>
      <c r="BQ20" s="1636">
        <v>4190065</v>
      </c>
      <c r="BR20" s="1393" t="s">
        <v>1067</v>
      </c>
      <c r="BS20" s="1791"/>
      <c r="BT20" s="1636">
        <v>64235587</v>
      </c>
      <c r="BU20" s="1393" t="s">
        <v>1068</v>
      </c>
      <c r="BV20" s="1395"/>
      <c r="BW20" s="2073">
        <v>4189705</v>
      </c>
      <c r="BX20" s="2071" t="s">
        <v>1069</v>
      </c>
      <c r="BZ20" s="1636">
        <v>64235590</v>
      </c>
      <c r="CA20" s="1393" t="s">
        <v>1070</v>
      </c>
      <c r="CC20" s="1636">
        <v>4189709</v>
      </c>
      <c r="CD20" s="1393" t="s">
        <v>1071</v>
      </c>
    </row>
    <row customHeight="1" ht="21">
      <c r="A21" s="1399" t="s">
        <v>1072</v>
      </c>
      <c r="B21" s="1400">
        <v>2019</v>
      </c>
      <c r="I21" s="1401" t="s">
        <v>1073</v>
      </c>
      <c r="N21" s="1484" t="s">
        <v>1074</v>
      </c>
      <c r="AW21" s="1446" t="s">
        <v>459</v>
      </c>
      <c r="AX21" s="1446" t="s">
        <v>459</v>
      </c>
      <c r="AZ21" s="1446" t="s">
        <v>1075</v>
      </c>
      <c r="BB21" s="1446" t="s">
        <v>1076</v>
      </c>
      <c r="BC21" s="1446" t="s">
        <v>885</v>
      </c>
      <c r="BE21" s="1446">
        <v>2019</v>
      </c>
      <c r="BH21" s="1393" t="s">
        <v>1004</v>
      </c>
      <c r="BJ21" s="1393" t="s">
        <v>940</v>
      </c>
      <c r="BL21" s="1393" t="s">
        <v>940</v>
      </c>
      <c r="BQ21" s="1636">
        <v>4190066</v>
      </c>
      <c r="BR21" s="1393" t="s">
        <v>1077</v>
      </c>
      <c r="BS21" s="1791"/>
      <c r="BT21" s="1636">
        <v>64235585</v>
      </c>
      <c r="BU21" s="1393" t="s">
        <v>1078</v>
      </c>
      <c r="BV21" s="1395"/>
      <c r="BW21" s="2073">
        <v>4189707</v>
      </c>
      <c r="BX21" s="2071" t="s">
        <v>1079</v>
      </c>
      <c r="BZ21" s="1636">
        <v>64235591</v>
      </c>
      <c r="CA21" s="1393" t="s">
        <v>1080</v>
      </c>
      <c r="CC21" s="1636">
        <v>4189710</v>
      </c>
      <c r="CD21" s="1393" t="s">
        <v>1081</v>
      </c>
    </row>
    <row customHeight="1" ht="21">
      <c r="A22" s="1399" t="s">
        <v>1082</v>
      </c>
      <c r="B22" s="1400">
        <v>2020</v>
      </c>
      <c r="N22" s="1484" t="s">
        <v>1083</v>
      </c>
      <c r="AW22" s="1446" t="s">
        <v>1073</v>
      </c>
      <c r="AX22" s="1446" t="s">
        <v>1073</v>
      </c>
      <c r="AZ22" s="1446" t="s">
        <v>1084</v>
      </c>
      <c r="BB22" s="1446" t="s">
        <v>1085</v>
      </c>
      <c r="BC22" s="1446" t="s">
        <v>885</v>
      </c>
      <c r="BE22" s="1446">
        <v>2020</v>
      </c>
      <c r="BH22" s="1393" t="s">
        <v>1011</v>
      </c>
      <c r="BJ22" s="1393" t="s">
        <v>956</v>
      </c>
      <c r="BL22" s="1393" t="s">
        <v>956</v>
      </c>
      <c r="BQ22" s="1636">
        <v>4190067</v>
      </c>
      <c r="BR22" s="1393" t="s">
        <v>1086</v>
      </c>
      <c r="BS22" s="1791"/>
      <c r="BT22" s="1395"/>
      <c r="BU22" s="1395"/>
      <c r="BV22" s="1395"/>
      <c r="BW22" s="1395"/>
      <c r="CC22" s="1636">
        <v>4189711</v>
      </c>
      <c r="CD22" s="1393" t="s">
        <v>284</v>
      </c>
    </row>
    <row customHeight="1" ht="21">
      <c r="A23" s="1399" t="s">
        <v>1087</v>
      </c>
      <c r="B23" s="1400">
        <v>2021</v>
      </c>
      <c r="AW23" s="1446" t="s">
        <v>1088</v>
      </c>
      <c r="AX23" s="1446" t="s">
        <v>1088</v>
      </c>
      <c r="AZ23" s="1446" t="s">
        <v>1089</v>
      </c>
      <c r="BB23" s="1446" t="s">
        <v>1090</v>
      </c>
      <c r="BC23" s="1446" t="s">
        <v>792</v>
      </c>
      <c r="BE23" s="1446">
        <v>2021</v>
      </c>
      <c r="BH23" s="1393" t="s">
        <v>1020</v>
      </c>
      <c r="BJ23" s="1393" t="s">
        <v>972</v>
      </c>
      <c r="BL23" s="1393" t="s">
        <v>972</v>
      </c>
      <c r="BQ23" s="1636">
        <v>4190068</v>
      </c>
      <c r="BR23" s="1393" t="s">
        <v>1091</v>
      </c>
      <c r="BS23" s="1791"/>
      <c r="BT23" s="1395"/>
      <c r="BU23" s="1395"/>
      <c r="BV23" s="1395"/>
      <c r="BW23" s="1395"/>
      <c r="CC23" s="1636">
        <v>5110778</v>
      </c>
      <c r="CD23" s="1393" t="s">
        <v>1092</v>
      </c>
    </row>
    <row customHeight="1" ht="21">
      <c r="A24" s="1399" t="s">
        <v>1093</v>
      </c>
      <c r="B24" s="1400">
        <v>2022</v>
      </c>
      <c r="AW24" s="1446" t="s">
        <v>1094</v>
      </c>
      <c r="AX24" s="1446" t="s">
        <v>1094</v>
      </c>
      <c r="AZ24" s="1446" t="s">
        <v>1095</v>
      </c>
      <c r="BB24" s="1446" t="s">
        <v>1096</v>
      </c>
      <c r="BC24" s="1446" t="s">
        <v>1097</v>
      </c>
      <c r="BE24" s="1446">
        <v>2022</v>
      </c>
      <c r="BH24" s="1393" t="s">
        <v>1028</v>
      </c>
      <c r="BJ24" s="1393" t="s">
        <v>986</v>
      </c>
      <c r="BL24" s="1393" t="s">
        <v>986</v>
      </c>
      <c r="BQ24" s="1636">
        <v>4190069</v>
      </c>
      <c r="BR24" s="1393" t="s">
        <v>1098</v>
      </c>
      <c r="BS24" s="1791"/>
      <c r="BT24" s="1395"/>
      <c r="BU24" s="1395"/>
      <c r="BV24" s="1395"/>
      <c r="BW24" s="1395"/>
    </row>
    <row customHeight="1" ht="11.25">
      <c r="A25" s="1399" t="s">
        <v>1099</v>
      </c>
      <c r="B25" s="1400">
        <v>2023</v>
      </c>
      <c r="AW25" s="1446" t="s">
        <v>1100</v>
      </c>
      <c r="AX25" s="1446" t="s">
        <v>1100</v>
      </c>
      <c r="AZ25" s="1446" t="s">
        <v>1101</v>
      </c>
      <c r="BB25" s="1446" t="s">
        <v>1102</v>
      </c>
      <c r="BC25" s="1446" t="s">
        <v>1097</v>
      </c>
      <c r="BE25" s="1446">
        <v>2023</v>
      </c>
      <c r="BH25" s="1393" t="s">
        <v>1034</v>
      </c>
      <c r="BJ25" s="1393" t="s">
        <v>1056</v>
      </c>
      <c r="BL25" s="1393" t="s">
        <v>1056</v>
      </c>
      <c r="BQ25" s="1636">
        <v>4190070</v>
      </c>
      <c r="BR25" s="1393" t="s">
        <v>1103</v>
      </c>
      <c r="BS25" s="1791"/>
      <c r="BT25" s="1395"/>
      <c r="BU25" s="1395"/>
      <c r="BV25" s="1395"/>
      <c r="BW25" s="1395"/>
    </row>
    <row customHeight="1" ht="11.25">
      <c r="A26" s="1399" t="s">
        <v>1104</v>
      </c>
      <c r="B26" s="1400">
        <v>2024</v>
      </c>
      <c r="J26" s="2111" t="s">
        <v>1105</v>
      </c>
      <c r="AX26" s="1446" t="s">
        <v>472</v>
      </c>
      <c r="AZ26" s="1446" t="s">
        <v>979</v>
      </c>
      <c r="BB26" s="1446" t="s">
        <v>1106</v>
      </c>
      <c r="BC26" s="1446" t="s">
        <v>1097</v>
      </c>
      <c r="BE26" s="1446">
        <v>2024</v>
      </c>
      <c r="BH26" s="1393" t="s">
        <v>1043</v>
      </c>
      <c r="BJ26" s="1393" t="s">
        <v>997</v>
      </c>
      <c r="BL26" s="1393" t="s">
        <v>997</v>
      </c>
      <c r="BQ26" s="1636">
        <v>4190071</v>
      </c>
      <c r="BR26" s="1393" t="s">
        <v>1107</v>
      </c>
      <c r="BS26" s="1791"/>
      <c r="BT26" s="1395"/>
      <c r="BU26" s="1395"/>
      <c r="BV26" s="1395"/>
      <c r="BW26" s="1395"/>
    </row>
    <row customHeight="1" ht="11.25">
      <c r="A27" s="1399" t="s">
        <v>1108</v>
      </c>
      <c r="B27" s="1400">
        <v>2025</v>
      </c>
      <c r="J27" s="449" t="s">
        <v>1109</v>
      </c>
      <c r="AX27" s="1446" t="s">
        <v>471</v>
      </c>
      <c r="BB27" s="1446" t="s">
        <v>1110</v>
      </c>
      <c r="BC27" s="1446" t="s">
        <v>1097</v>
      </c>
      <c r="BE27" s="1446">
        <v>2025</v>
      </c>
      <c r="BH27" s="1395" t="s">
        <v>17</v>
      </c>
      <c r="BJ27" s="1393" t="s">
        <v>1004</v>
      </c>
      <c r="BL27" s="1393" t="s">
        <v>1004</v>
      </c>
      <c r="BN27" s="1395" t="s">
        <v>17</v>
      </c>
      <c r="BQ27" s="1636">
        <v>4190072</v>
      </c>
      <c r="BR27" s="1393" t="s">
        <v>1111</v>
      </c>
      <c r="BS27" s="1791"/>
      <c r="BT27" s="1395"/>
      <c r="BU27" s="1395"/>
      <c r="BV27" s="1395"/>
      <c r="BW27" s="1395"/>
    </row>
    <row customHeight="1" ht="11.25">
      <c r="A28" s="1399" t="s">
        <v>1112</v>
      </c>
      <c r="D28" s="1426"/>
      <c r="E28" s="1427"/>
      <c r="F28" s="1427"/>
      <c r="H28" s="1428" t="s">
        <v>1113</v>
      </c>
      <c r="AX28" s="1446" t="s">
        <v>719</v>
      </c>
      <c r="AZ28" s="1392" t="s">
        <v>1114</v>
      </c>
      <c r="BB28" s="1446" t="s">
        <v>1115</v>
      </c>
      <c r="BC28" s="1446" t="s">
        <v>1116</v>
      </c>
      <c r="BE28" s="1446">
        <v>2026</v>
      </c>
      <c r="BH28" s="1395" t="s">
        <v>17</v>
      </c>
      <c r="BJ28" s="1393" t="s">
        <v>1011</v>
      </c>
      <c r="BL28" s="1393" t="s">
        <v>1011</v>
      </c>
      <c r="BN28" s="1395" t="s">
        <v>17</v>
      </c>
      <c r="BQ28" s="1636">
        <v>4190073</v>
      </c>
      <c r="BR28" s="1393" t="s">
        <v>1117</v>
      </c>
      <c r="BS28" s="1791"/>
      <c r="BT28" s="1395"/>
      <c r="BU28" s="1395"/>
      <c r="BV28" s="1395"/>
      <c r="BW28" s="1395"/>
    </row>
    <row customHeight="1" ht="11.25">
      <c r="A29" s="1399" t="s">
        <v>1118</v>
      </c>
      <c r="D29" s="1429" t="s">
        <v>1119</v>
      </c>
      <c r="E29" s="1430" t="str">
        <f>IF(TEMPLATE_GROUP="","",INDEX(StartDateList,MATCH(TEMPLATE_GROUP,CodeTemplateList,0),1))</f>
        <v>01.01.2023</v>
      </c>
      <c r="F29" s="1430" t="str">
        <f>IF(TEMPLATE_GROUP="","",INDEX(EndDateList,MATCH(TEMPLATE_GROUP,CodeTemplateList,0),1))</f>
        <v>31.12.2023</v>
      </c>
      <c r="H29" s="1431" t="s">
        <v>1120</v>
      </c>
      <c r="AX29" s="1446" t="s">
        <v>454</v>
      </c>
      <c r="AZ29" s="1446" t="s">
        <v>777</v>
      </c>
      <c r="BB29" s="1446" t="s">
        <v>979</v>
      </c>
      <c r="BC29" s="1416"/>
      <c r="BE29" s="1446">
        <v>2027</v>
      </c>
      <c r="BJ29" s="1393" t="s">
        <v>1020</v>
      </c>
      <c r="BL29" s="1393" t="s">
        <v>1020</v>
      </c>
    </row>
    <row customHeight="1" ht="11.25">
      <c r="A30" s="1399" t="s">
        <v>1121</v>
      </c>
      <c r="D30" s="1432"/>
      <c r="E30" s="1433"/>
      <c r="F30" s="1433"/>
      <c r="AX30" s="1446" t="s">
        <v>1122</v>
      </c>
      <c r="AZ30" s="1446" t="s">
        <v>805</v>
      </c>
      <c r="BE30" s="1446">
        <v>2028</v>
      </c>
      <c r="BJ30" s="1393" t="s">
        <v>1123</v>
      </c>
      <c r="BL30" s="1393" t="s">
        <v>1123</v>
      </c>
    </row>
    <row customHeight="1" ht="12.75">
      <c r="A31" s="1399" t="s">
        <v>1124</v>
      </c>
      <c r="D31" s="1426"/>
      <c r="E31" s="1427"/>
      <c r="F31" s="1427"/>
      <c r="H31" s="1434"/>
      <c r="AX31" s="1446" t="s">
        <v>1125</v>
      </c>
      <c r="AZ31" s="1446" t="s">
        <v>1126</v>
      </c>
      <c r="BE31" s="1446">
        <v>2029</v>
      </c>
      <c r="BJ31" s="1393" t="s">
        <v>1127</v>
      </c>
      <c r="BL31" s="1393" t="s">
        <v>1127</v>
      </c>
    </row>
    <row customHeight="1" ht="11.25">
      <c r="A32" s="1399" t="s">
        <v>1128</v>
      </c>
      <c r="D32" s="1429" t="s">
        <v>1129</v>
      </c>
      <c r="E32" s="1430" t="str">
        <f>IF(TEMPLATE_GROUP="","",INDEX(StartDateList,MATCH(TEMPLATE_GROUP,CodeTemplateList,0),1))</f>
        <v>01.01.2023</v>
      </c>
      <c r="F32" s="1430" t="str">
        <f>IF(TEMPLATE_GROUP="","",INDEX(EndDateList,MATCH(TEMPLATE_GROUP,CodeTemplateList,0),1))</f>
        <v>31.12.2023</v>
      </c>
      <c r="H32" s="1435" t="s">
        <v>1130</v>
      </c>
      <c r="O32" s="1399" t="s">
        <v>775</v>
      </c>
      <c r="AX32" s="1446" t="s">
        <v>1131</v>
      </c>
      <c r="AZ32" s="1446" t="s">
        <v>873</v>
      </c>
      <c r="BE32" s="1446">
        <v>2030</v>
      </c>
      <c r="BJ32" s="1393" t="s">
        <v>1028</v>
      </c>
      <c r="BL32" s="1393" t="s">
        <v>1028</v>
      </c>
    </row>
    <row customHeight="1" ht="11.25">
      <c r="A33" s="1399" t="s">
        <v>1132</v>
      </c>
      <c r="O33" s="1399" t="s">
        <v>802</v>
      </c>
      <c r="AX33" s="1446" t="s">
        <v>1133</v>
      </c>
      <c r="AZ33" s="1446" t="s">
        <v>776</v>
      </c>
      <c r="BE33" s="1446">
        <v>2031</v>
      </c>
      <c r="BJ33" s="1393" t="s">
        <v>1034</v>
      </c>
      <c r="BL33" s="1393" t="s">
        <v>1034</v>
      </c>
    </row>
    <row customHeight="1" ht="11.25">
      <c r="A34" s="1399" t="s">
        <v>1134</v>
      </c>
      <c r="O34" s="1399" t="s">
        <v>838</v>
      </c>
      <c r="AX34" s="1446" t="s">
        <v>1135</v>
      </c>
      <c r="BE34" s="1446">
        <v>2032</v>
      </c>
      <c r="BJ34" s="1393" t="s">
        <v>1043</v>
      </c>
      <c r="BL34" s="1393" t="s">
        <v>1043</v>
      </c>
    </row>
    <row customHeight="1" ht="11.25">
      <c r="A35" s="1399" t="s">
        <v>1136</v>
      </c>
      <c r="O35" s="1399" t="s">
        <v>871</v>
      </c>
      <c r="AX35" s="1446" t="s">
        <v>1137</v>
      </c>
      <c r="AZ35" s="1392" t="s">
        <v>1138</v>
      </c>
      <c r="BE35" s="1446">
        <v>2033</v>
      </c>
      <c r="BL35" s="1393" t="s">
        <v>1139</v>
      </c>
    </row>
    <row customHeight="1" ht="11.25">
      <c r="A36" s="1399" t="s">
        <v>1140</v>
      </c>
      <c r="D36" s="1436" t="s">
        <v>1141</v>
      </c>
      <c r="E36" s="1437" t="s">
        <v>391</v>
      </c>
      <c r="F36" s="1438" t="str">
        <f>INDEX(E37:E41,MATCH(TEMPLATE_SPHERE,F37:F41,0))</f>
        <v>теплоснабжения</v>
      </c>
      <c r="G36" s="1438" t="str">
        <f>INDEX(G37:G41,MATCH(TEMPLATE_SPHERE,F37:F41,0))</f>
        <v>теплоснабжение</v>
      </c>
      <c r="O36" s="1399" t="s">
        <v>896</v>
      </c>
      <c r="AX36" s="1446" t="s">
        <v>1142</v>
      </c>
      <c r="AZ36" s="1446" t="s">
        <v>776</v>
      </c>
      <c r="BE36" s="1446">
        <v>2034</v>
      </c>
      <c r="BL36" s="1393" t="s">
        <v>1143</v>
      </c>
    </row>
    <row customHeight="1" ht="11.25">
      <c r="A37" s="1399" t="s">
        <v>1144</v>
      </c>
      <c r="E37" s="708" t="s">
        <v>1145</v>
      </c>
      <c r="F37" s="1439" t="s">
        <v>391</v>
      </c>
      <c r="G37" s="708" t="s">
        <v>1146</v>
      </c>
      <c r="O37" s="1399" t="s">
        <v>915</v>
      </c>
      <c r="AX37" s="1446" t="s">
        <v>1147</v>
      </c>
      <c r="AZ37" s="1446" t="s">
        <v>804</v>
      </c>
      <c r="BE37" s="1446">
        <v>2035</v>
      </c>
    </row>
    <row customHeight="1" ht="11.25">
      <c r="A38" s="1399" t="s">
        <v>1148</v>
      </c>
      <c r="E38" s="708" t="s">
        <v>1149</v>
      </c>
      <c r="F38" s="1440" t="s">
        <v>392</v>
      </c>
      <c r="G38" s="708" t="s">
        <v>1150</v>
      </c>
      <c r="O38" s="1399" t="s">
        <v>931</v>
      </c>
      <c r="AX38" s="1446" t="s">
        <v>1151</v>
      </c>
      <c r="AZ38" s="1446" t="s">
        <v>839</v>
      </c>
      <c r="BE38" s="1446">
        <v>2036</v>
      </c>
      <c r="BH38" s="1392" t="s">
        <v>1152</v>
      </c>
      <c r="BJ38" s="1392" t="s">
        <v>1153</v>
      </c>
      <c r="BL38" s="1392" t="s">
        <v>1154</v>
      </c>
      <c r="BN38" s="1392" t="s">
        <v>1155</v>
      </c>
    </row>
    <row customHeight="1" ht="11.25">
      <c r="A39" s="1399" t="s">
        <v>1156</v>
      </c>
      <c r="E39" s="708" t="s">
        <v>1157</v>
      </c>
      <c r="F39" s="1440" t="s">
        <v>393</v>
      </c>
      <c r="G39" s="708" t="s">
        <v>1158</v>
      </c>
      <c r="O39" s="1399" t="s">
        <v>947</v>
      </c>
      <c r="AX39" s="1446" t="s">
        <v>1159</v>
      </c>
      <c r="AZ39" s="1446" t="s">
        <v>872</v>
      </c>
      <c r="BE39" s="1446">
        <v>2037</v>
      </c>
      <c r="BH39" s="1393" t="s">
        <v>1160</v>
      </c>
      <c r="BJ39" s="1554" t="s">
        <v>1160</v>
      </c>
      <c r="BL39" s="1554" t="s">
        <v>1160</v>
      </c>
      <c r="BN39" s="1393" t="s">
        <v>1161</v>
      </c>
    </row>
    <row customHeight="1" ht="11.25">
      <c r="A40" s="1399" t="s">
        <v>1162</v>
      </c>
      <c r="E40" s="708" t="s">
        <v>1163</v>
      </c>
      <c r="F40" s="1440" t="s">
        <v>394</v>
      </c>
      <c r="G40" s="708" t="s">
        <v>1164</v>
      </c>
      <c r="O40" s="1399" t="s">
        <v>963</v>
      </c>
      <c r="AX40" s="1446" t="s">
        <v>1165</v>
      </c>
      <c r="BE40" s="1446">
        <v>2038</v>
      </c>
      <c r="BH40" s="1393" t="s">
        <v>1166</v>
      </c>
      <c r="BJ40" s="1554" t="s">
        <v>1167</v>
      </c>
      <c r="BL40" s="1554" t="s">
        <v>1167</v>
      </c>
      <c r="BN40" s="1393" t="s">
        <v>1168</v>
      </c>
    </row>
    <row customHeight="1" ht="11.25">
      <c r="A41" s="1399" t="s">
        <v>1169</v>
      </c>
      <c r="E41" s="708" t="s">
        <v>1170</v>
      </c>
      <c r="F41" s="1440" t="s">
        <v>395</v>
      </c>
      <c r="G41" s="708" t="s">
        <v>1170</v>
      </c>
      <c r="O41" s="1399" t="s">
        <v>979</v>
      </c>
      <c r="AX41" s="1446" t="s">
        <v>1171</v>
      </c>
      <c r="AZ41" s="1392" t="s">
        <v>1172</v>
      </c>
      <c r="BE41" s="1446">
        <v>2039</v>
      </c>
      <c r="BH41" s="1393" t="s">
        <v>1173</v>
      </c>
      <c r="BJ41" s="1554" t="s">
        <v>1174</v>
      </c>
      <c r="BL41" s="1554" t="s">
        <v>1174</v>
      </c>
      <c r="BN41" s="1393" t="s">
        <v>1175</v>
      </c>
    </row>
    <row customHeight="1" ht="11.25">
      <c r="A42" s="1399" t="s">
        <v>1176</v>
      </c>
      <c r="AX42" s="1446" t="s">
        <v>1177</v>
      </c>
      <c r="AZ42" s="1446" t="s">
        <v>775</v>
      </c>
      <c r="BE42" s="1446">
        <v>2040</v>
      </c>
      <c r="BH42" s="1393" t="s">
        <v>1178</v>
      </c>
      <c r="BJ42" s="1554" t="s">
        <v>1179</v>
      </c>
      <c r="BL42" s="1554" t="s">
        <v>1179</v>
      </c>
      <c r="BN42" s="1393" t="s">
        <v>1180</v>
      </c>
    </row>
    <row customHeight="1" ht="11.25">
      <c r="A43" s="1399" t="s">
        <v>1181</v>
      </c>
      <c r="AX43" s="1446" t="s">
        <v>1182</v>
      </c>
      <c r="AZ43" s="1446" t="s">
        <v>802</v>
      </c>
      <c r="BE43" s="1446">
        <v>2041</v>
      </c>
      <c r="BH43" s="1393" t="s">
        <v>1183</v>
      </c>
      <c r="BJ43" s="1554" t="s">
        <v>1173</v>
      </c>
      <c r="BL43" s="1554" t="s">
        <v>1173</v>
      </c>
      <c r="BN43" s="1393" t="s">
        <v>1184</v>
      </c>
    </row>
    <row customHeight="1" ht="11.25">
      <c r="A44" s="1399" t="s">
        <v>1185</v>
      </c>
      <c r="I44" s="1104" t="s">
        <v>1186</v>
      </c>
      <c r="J44" s="1414" t="s">
        <v>1187</v>
      </c>
      <c r="K44" s="1414" t="s">
        <v>1188</v>
      </c>
      <c r="AX44" s="1446" t="s">
        <v>1189</v>
      </c>
      <c r="AZ44" s="1446" t="s">
        <v>838</v>
      </c>
      <c r="BE44" s="1446">
        <v>2042</v>
      </c>
      <c r="BH44" s="1393" t="s">
        <v>1190</v>
      </c>
      <c r="BJ44" s="1554" t="s">
        <v>1178</v>
      </c>
      <c r="BL44" s="1554" t="s">
        <v>1178</v>
      </c>
      <c r="BN44" s="1393" t="s">
        <v>1191</v>
      </c>
    </row>
    <row customHeight="1" ht="11.25">
      <c r="A45" s="1399" t="s">
        <v>1192</v>
      </c>
      <c r="D45" s="1436" t="s">
        <v>1193</v>
      </c>
      <c r="E45" s="1437" t="s">
        <v>1194</v>
      </c>
      <c r="F45" s="1102" t="s">
        <v>1195</v>
      </c>
      <c r="G45" s="1101" t="s">
        <v>1196</v>
      </c>
      <c r="H45" s="1104" t="s">
        <v>1197</v>
      </c>
      <c r="I45" s="2124">
        <f>INDEX(PeriodIsEmptyList,MATCH(TEMPLATE_GROUP,CodeTemplateList,0),1)</f>
        <v>0</v>
      </c>
      <c r="J45" s="213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46" t="s">
        <v>1198</v>
      </c>
      <c r="AZ45" s="1446" t="s">
        <v>871</v>
      </c>
      <c r="BE45" s="1446">
        <v>2043</v>
      </c>
      <c r="BH45" s="1393" t="s">
        <v>1199</v>
      </c>
      <c r="BJ45" s="1554" t="s">
        <v>1200</v>
      </c>
      <c r="BL45" s="1554" t="s">
        <v>1200</v>
      </c>
      <c r="BN45" s="1393" t="s">
        <v>1201</v>
      </c>
    </row>
    <row customHeight="1" ht="11.25">
      <c r="A46" s="1399" t="s">
        <v>1202</v>
      </c>
      <c r="E46" s="708" t="s">
        <v>22</v>
      </c>
      <c r="F46" s="1439" t="s">
        <v>1203</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1204</v>
      </c>
      <c r="AZ46" s="1446" t="s">
        <v>896</v>
      </c>
      <c r="BE46" s="1446">
        <v>2044</v>
      </c>
      <c r="BH46" s="1393" t="s">
        <v>1175</v>
      </c>
      <c r="BJ46" s="1554" t="s">
        <v>1205</v>
      </c>
      <c r="BL46" s="1554" t="s">
        <v>1205</v>
      </c>
      <c r="BN46" s="1393" t="s">
        <v>1206</v>
      </c>
    </row>
    <row customHeight="1" ht="11.25">
      <c r="A47" s="1399" t="s">
        <v>1207</v>
      </c>
      <c r="E47" s="708" t="s">
        <v>28</v>
      </c>
      <c r="F47" s="1440" t="s">
        <v>1208</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473</v>
      </c>
      <c r="AZ47" s="1446" t="s">
        <v>915</v>
      </c>
      <c r="BE47" s="1446">
        <v>2045</v>
      </c>
      <c r="BH47" s="1393" t="s">
        <v>1180</v>
      </c>
      <c r="BJ47" s="1554" t="s">
        <v>1209</v>
      </c>
      <c r="BL47" s="1554" t="s">
        <v>1209</v>
      </c>
      <c r="BN47" s="1393" t="s">
        <v>1210</v>
      </c>
    </row>
    <row customHeight="1" ht="11.25">
      <c r="A48" s="1399" t="s">
        <v>1211</v>
      </c>
      <c r="E48" s="708" t="s">
        <v>492</v>
      </c>
      <c r="F48" s="1440" t="s">
        <v>1194</v>
      </c>
      <c r="G48" s="1442" t="str">
        <f>IF(f_year="","","01.01."&amp;f_year)</f>
        <v>01.01.2023</v>
      </c>
      <c r="H48" s="1442" t="str">
        <f>IF(f_year="","","31.12."&amp;f_year)</f>
        <v>31.12.2023</v>
      </c>
      <c r="I48" s="2125">
        <f>IF(f_year="",TRUE,FALSE)</f>
        <v>0</v>
      </c>
      <c r="J48" s="2133" t="s">
        <v>1212</v>
      </c>
      <c r="K48" s="2134"/>
      <c r="AX48" s="1446" t="s">
        <v>1213</v>
      </c>
      <c r="AZ48" s="1446" t="s">
        <v>931</v>
      </c>
      <c r="BE48" s="1446">
        <v>2046</v>
      </c>
      <c r="BH48" s="1393" t="s">
        <v>1184</v>
      </c>
      <c r="BJ48" s="1554" t="s">
        <v>1214</v>
      </c>
      <c r="BL48" s="1554" t="s">
        <v>1214</v>
      </c>
      <c r="BN48" s="1393" t="s">
        <v>1215</v>
      </c>
    </row>
    <row customHeight="1" ht="11.25">
      <c r="A49" s="1399" t="s">
        <v>1216</v>
      </c>
      <c r="E49" s="708" t="s">
        <v>717</v>
      </c>
      <c r="F49" s="1440" t="s">
        <v>1217</v>
      </c>
      <c r="G49" s="1442" t="str">
        <f>IF(f_year="","","01.01."&amp;f_year)</f>
        <v>01.01.2023</v>
      </c>
      <c r="H49" s="1442" t="str">
        <f>IF(f_year="","","31.12."&amp;f_year)</f>
        <v>31.12.2023</v>
      </c>
      <c r="I49" s="2125">
        <f>IF(f_year="",TRUE,FALSE)</f>
        <v>0</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720</v>
      </c>
      <c r="AZ49" s="1446" t="s">
        <v>947</v>
      </c>
      <c r="BE49" s="1446">
        <v>2047</v>
      </c>
      <c r="BH49" s="1393" t="s">
        <v>1218</v>
      </c>
      <c r="BJ49" s="1554" t="s">
        <v>1219</v>
      </c>
      <c r="BL49" s="1554" t="s">
        <v>1219</v>
      </c>
    </row>
    <row customHeight="1" ht="11.25">
      <c r="A50" s="1399" t="s">
        <v>1220</v>
      </c>
      <c r="E50" s="708" t="s">
        <v>724</v>
      </c>
      <c r="F50" s="1440" t="s">
        <v>1221</v>
      </c>
      <c r="G50" s="1442" t="str">
        <f>IF(f_year="","","01.01."&amp;f_year)</f>
        <v>01.01.2023</v>
      </c>
      <c r="H50" s="1442" t="str">
        <f>IF(f_year="","","31.12."&amp;f_year)</f>
        <v>31.12.2023</v>
      </c>
      <c r="I50" s="2125">
        <f>IF(f_year="",TRUE,FALSE)</f>
        <v>0</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1222</v>
      </c>
      <c r="AZ50" s="1446" t="s">
        <v>963</v>
      </c>
      <c r="BE50" s="1446">
        <v>2048</v>
      </c>
      <c r="BH50" s="1393" t="s">
        <v>1191</v>
      </c>
      <c r="BJ50" s="1554" t="s">
        <v>1223</v>
      </c>
      <c r="BL50" s="1554" t="s">
        <v>1223</v>
      </c>
    </row>
    <row customHeight="1" ht="11.25">
      <c r="A51" s="1399" t="s">
        <v>1224</v>
      </c>
      <c r="E51" s="708" t="s">
        <v>725</v>
      </c>
      <c r="F51" s="1440" t="s">
        <v>1225</v>
      </c>
      <c r="G51" s="1442" t="str">
        <f>IF(TITLE_PERIOD_START="","",TITLE_PERIOD_START)</f>
        <v/>
      </c>
      <c r="H51" s="1442" t="str">
        <f>IF(TITLE_PERIOD_END="","",TITLE_PERIOD_END)</f>
        <v/>
      </c>
      <c r="I51" s="2126">
        <f>IF(OR(TITLE_PERIOD_START="",TITLE_PERIOD_END=""),TRUE,FALSE)</f>
        <v>1</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1226</v>
      </c>
      <c r="AZ51" s="1446" t="s">
        <v>979</v>
      </c>
      <c r="BE51" s="1446">
        <v>2049</v>
      </c>
      <c r="BH51" s="1393" t="s">
        <v>1201</v>
      </c>
      <c r="BJ51" s="1554" t="s">
        <v>1227</v>
      </c>
      <c r="BL51" s="1554" t="s">
        <v>1227</v>
      </c>
    </row>
    <row customHeight="1" ht="11.25">
      <c r="A52" s="1399" t="s">
        <v>1228</v>
      </c>
      <c r="E52" s="708" t="s">
        <v>726</v>
      </c>
      <c r="F52" s="1440" t="s">
        <v>1229</v>
      </c>
      <c r="G52" s="1442" t="str">
        <f>IF(TITLE_PERIOD_START="","",TITLE_PERIOD_START)</f>
        <v/>
      </c>
      <c r="H52" s="1442" t="str">
        <f>IF(TITLE_PERIOD_END="","",TITLE_PERIOD_END)</f>
        <v/>
      </c>
      <c r="I52" s="2126">
        <f>IF(OR(TITLE_PERIOD_START="",TITLE_PERIOD_END=""),TRUE,FALSE)</f>
        <v>1</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1230</v>
      </c>
      <c r="AZ52" s="1446" t="s">
        <v>776</v>
      </c>
      <c r="BE52" s="1446">
        <v>2050</v>
      </c>
      <c r="BH52" s="1393" t="s">
        <v>1206</v>
      </c>
      <c r="BJ52" s="1554" t="s">
        <v>1175</v>
      </c>
      <c r="BL52" s="1554" t="s">
        <v>1175</v>
      </c>
    </row>
    <row customHeight="1" ht="11.25">
      <c r="A53" s="1399" t="s">
        <v>1231</v>
      </c>
      <c r="E53" s="708" t="s">
        <v>1232</v>
      </c>
      <c r="F53" s="1440" t="s">
        <v>1232</v>
      </c>
      <c r="G53" s="1442" t="str">
        <f>IF(f_year="","","01.01."&amp;f_year)</f>
        <v>01.01.2023</v>
      </c>
      <c r="H53" s="1442" t="str">
        <f>IF(f_year="","","31.12."&amp;f_year)</f>
        <v>31.12.2023</v>
      </c>
      <c r="I53" s="2125">
        <f>IF(f_year="",TRUE,FALSE)</f>
        <v>0</v>
      </c>
      <c r="J53" s="2133" t="s">
        <v>1233</v>
      </c>
      <c r="K53" s="2134"/>
      <c r="AX53" s="1446" t="s">
        <v>1234</v>
      </c>
      <c r="BE53" s="1446">
        <v>2051</v>
      </c>
      <c r="BH53" s="1393" t="s">
        <v>1210</v>
      </c>
      <c r="BJ53" s="1554" t="s">
        <v>1180</v>
      </c>
      <c r="BL53" s="1554" t="s">
        <v>1180</v>
      </c>
    </row>
    <row customHeight="1" ht="11.25">
      <c r="A54" s="1399" t="s">
        <v>14</v>
      </c>
      <c r="AX54" s="1446" t="s">
        <v>1235</v>
      </c>
      <c r="AZ54" s="1392" t="s">
        <v>1236</v>
      </c>
      <c r="BE54" s="1446">
        <v>2052</v>
      </c>
      <c r="BH54" s="1393" t="s">
        <v>1215</v>
      </c>
      <c r="BJ54" s="1554" t="s">
        <v>1184</v>
      </c>
      <c r="BL54" s="1554" t="s">
        <v>1184</v>
      </c>
    </row>
    <row customHeight="1" ht="11.25">
      <c r="A55" s="1399" t="s">
        <v>1237</v>
      </c>
      <c r="AX55" s="1446" t="s">
        <v>1238</v>
      </c>
      <c r="AZ55" s="1446" t="s">
        <v>778</v>
      </c>
      <c r="BE55" s="1446">
        <v>2053</v>
      </c>
      <c r="BH55" s="1395" t="s">
        <v>17</v>
      </c>
      <c r="BJ55" s="1554" t="s">
        <v>1218</v>
      </c>
      <c r="BL55" s="1554" t="s">
        <v>1218</v>
      </c>
    </row>
    <row customHeight="1" ht="11.25">
      <c r="A56" s="1399" t="s">
        <v>1239</v>
      </c>
      <c r="D56" s="1444" t="s">
        <v>1240</v>
      </c>
      <c r="E56" s="1420">
        <v>55</v>
      </c>
      <c r="F56" s="1399" t="s">
        <v>1241</v>
      </c>
      <c r="AX56" s="1446" t="s">
        <v>1242</v>
      </c>
      <c r="AZ56" s="1446" t="s">
        <v>806</v>
      </c>
      <c r="BE56" s="1446">
        <v>2054</v>
      </c>
      <c r="BH56" s="1395" t="s">
        <v>17</v>
      </c>
      <c r="BJ56" s="1554" t="s">
        <v>1191</v>
      </c>
      <c r="BL56" s="1554" t="s">
        <v>1191</v>
      </c>
    </row>
    <row customHeight="1" ht="11.25">
      <c r="A57" s="1399" t="s">
        <v>1243</v>
      </c>
      <c r="D57" s="1444" t="s">
        <v>1244</v>
      </c>
      <c r="E57" s="1420">
        <v>66</v>
      </c>
      <c r="F57" s="1399" t="s">
        <v>1241</v>
      </c>
      <c r="AX57" s="1446" t="s">
        <v>1245</v>
      </c>
      <c r="AZ57" s="1446" t="s">
        <v>841</v>
      </c>
      <c r="BE57" s="1446">
        <v>2055</v>
      </c>
      <c r="BJ57" s="1554" t="s">
        <v>1201</v>
      </c>
      <c r="BL57" s="1554" t="s">
        <v>1201</v>
      </c>
    </row>
    <row customHeight="1" ht="11.25">
      <c r="A58" s="1399" t="s">
        <v>1246</v>
      </c>
      <c r="D58" s="1444" t="s">
        <v>1247</v>
      </c>
      <c r="E58" s="1420">
        <v>44</v>
      </c>
      <c r="F58" s="1399" t="s">
        <v>1241</v>
      </c>
      <c r="AX58" s="1446" t="s">
        <v>1248</v>
      </c>
      <c r="BE58" s="1446">
        <v>2056</v>
      </c>
      <c r="BJ58" s="1554" t="s">
        <v>1206</v>
      </c>
      <c r="BL58" s="1554" t="s">
        <v>1206</v>
      </c>
    </row>
    <row customHeight="1" ht="11.25">
      <c r="A59" s="1399" t="s">
        <v>1249</v>
      </c>
      <c r="D59" s="1444" t="s">
        <v>131</v>
      </c>
      <c r="E59" s="1420" t="s">
        <v>1073</v>
      </c>
      <c r="F59" s="1399" t="s">
        <v>1250</v>
      </c>
      <c r="AX59" s="1446" t="s">
        <v>1251</v>
      </c>
      <c r="AZ59" s="1392" t="s">
        <v>1252</v>
      </c>
      <c r="BE59" s="1446">
        <v>2057</v>
      </c>
      <c r="BJ59" s="1554" t="s">
        <v>1210</v>
      </c>
      <c r="BL59" s="1554" t="s">
        <v>1210</v>
      </c>
    </row>
    <row customHeight="1" ht="11.25">
      <c r="A60" s="1399" t="s">
        <v>1253</v>
      </c>
      <c r="D60" s="1444" t="s">
        <v>1254</v>
      </c>
      <c r="E60" s="1420" t="s">
        <v>1073</v>
      </c>
      <c r="F60" s="1399" t="s">
        <v>1250</v>
      </c>
      <c r="AX60" s="1446" t="s">
        <v>1255</v>
      </c>
      <c r="AZ60" s="1446" t="s">
        <v>779</v>
      </c>
      <c r="BE60" s="1446">
        <v>2058</v>
      </c>
      <c r="BJ60" s="1554" t="s">
        <v>1215</v>
      </c>
      <c r="BL60" s="1554" t="s">
        <v>1215</v>
      </c>
    </row>
    <row customHeight="1" ht="11.25">
      <c r="A61" s="1399" t="s">
        <v>1256</v>
      </c>
      <c r="D61" s="1444" t="s">
        <v>1257</v>
      </c>
      <c r="E61" s="1420">
        <v>26</v>
      </c>
      <c r="F61" s="1399" t="s">
        <v>1250</v>
      </c>
      <c r="AX61" s="1446" t="s">
        <v>1258</v>
      </c>
      <c r="AZ61" s="1446" t="s">
        <v>807</v>
      </c>
      <c r="BE61" s="1446">
        <v>2059</v>
      </c>
      <c r="BL61" s="1554" t="s">
        <v>1259</v>
      </c>
    </row>
    <row customHeight="1" ht="11.25">
      <c r="A62" s="1399" t="s">
        <v>1260</v>
      </c>
      <c r="D62" s="1444" t="s">
        <v>130</v>
      </c>
      <c r="E62" s="1420">
        <v>30</v>
      </c>
      <c r="F62" s="1399" t="s">
        <v>1250</v>
      </c>
      <c r="AZ62" s="1446" t="s">
        <v>842</v>
      </c>
      <c r="BE62" s="1446">
        <v>2060</v>
      </c>
      <c r="BL62" s="1554" t="s">
        <v>1261</v>
      </c>
    </row>
    <row customHeight="1" ht="11.25">
      <c r="A63" s="1399" t="s">
        <v>1262</v>
      </c>
      <c r="D63" s="1444" t="s">
        <v>1263</v>
      </c>
      <c r="E63" s="1420">
        <v>30</v>
      </c>
      <c r="F63" s="1399" t="s">
        <v>1250</v>
      </c>
      <c r="AZ63" s="1446" t="s">
        <v>874</v>
      </c>
      <c r="BE63" s="1446">
        <v>2061</v>
      </c>
    </row>
    <row customHeight="1" ht="11.25">
      <c r="A64" s="1399" t="s">
        <v>1264</v>
      </c>
      <c r="D64" s="1444" t="s">
        <v>1265</v>
      </c>
      <c r="E64" s="1420">
        <v>30</v>
      </c>
      <c r="F64" s="1399" t="s">
        <v>1250</v>
      </c>
      <c r="AZ64" s="1446" t="s">
        <v>897</v>
      </c>
      <c r="BE64" s="1446">
        <v>2062</v>
      </c>
    </row>
    <row customHeight="1" ht="11.25">
      <c r="A65" s="1399" t="s">
        <v>1266</v>
      </c>
      <c r="D65" s="1399"/>
      <c r="BE65" s="1446">
        <v>2063</v>
      </c>
    </row>
    <row customHeight="1" ht="11.25">
      <c r="A66" s="1399" t="s">
        <v>1267</v>
      </c>
      <c r="AZ66" s="1392" t="s">
        <v>1268</v>
      </c>
      <c r="BE66" s="1446">
        <v>2064</v>
      </c>
    </row>
    <row customHeight="1" ht="11.25">
      <c r="A67" s="1399" t="s">
        <v>1269</v>
      </c>
      <c r="AZ67" s="1446" t="s">
        <v>780</v>
      </c>
      <c r="BE67" s="1446">
        <v>2065</v>
      </c>
    </row>
    <row customHeight="1" ht="11.25">
      <c r="A68" s="1399" t="s">
        <v>1270</v>
      </c>
      <c r="AZ68" s="1446" t="s">
        <v>808</v>
      </c>
      <c r="BE68" s="1446">
        <v>2066</v>
      </c>
      <c r="BH68" s="1392" t="s">
        <v>1271</v>
      </c>
      <c r="BJ68" s="1392" t="s">
        <v>1272</v>
      </c>
      <c r="BL68" s="1392" t="s">
        <v>1273</v>
      </c>
      <c r="BN68" s="1392" t="s">
        <v>1274</v>
      </c>
    </row>
    <row customHeight="1" ht="11.25">
      <c r="A69" s="1399" t="s">
        <v>1275</v>
      </c>
      <c r="AZ69" s="1446" t="s">
        <v>843</v>
      </c>
      <c r="BE69" s="1446">
        <v>2067</v>
      </c>
      <c r="BH69" s="1393" t="s">
        <v>1276</v>
      </c>
      <c r="BI69" s="1443" t="s">
        <v>99</v>
      </c>
      <c r="BJ69" s="1393" t="s">
        <v>1277</v>
      </c>
      <c r="BK69" s="1443" t="s">
        <v>99</v>
      </c>
      <c r="BL69" s="1393" t="s">
        <v>1278</v>
      </c>
      <c r="BN69" s="1393" t="s">
        <v>1279</v>
      </c>
    </row>
    <row customHeight="1" ht="11.25">
      <c r="A70" s="1399" t="s">
        <v>1280</v>
      </c>
      <c r="AZ70" s="1446" t="s">
        <v>875</v>
      </c>
      <c r="BE70" s="1446">
        <v>2068</v>
      </c>
      <c r="BH70" s="1393" t="s">
        <v>1281</v>
      </c>
      <c r="BJ70" s="1393" t="s">
        <v>1282</v>
      </c>
      <c r="BL70" s="1393" t="s">
        <v>1283</v>
      </c>
      <c r="BN70" s="1393" t="s">
        <v>1284</v>
      </c>
    </row>
    <row customHeight="1" ht="11.25">
      <c r="A71" s="1399" t="s">
        <v>1285</v>
      </c>
      <c r="AZ71" s="1446" t="s">
        <v>877</v>
      </c>
      <c r="BE71" s="1446">
        <v>2069</v>
      </c>
      <c r="BH71" s="1393" t="s">
        <v>1286</v>
      </c>
      <c r="BI71" s="1443" t="s">
        <v>90</v>
      </c>
      <c r="BJ71" s="1393" t="s">
        <v>1287</v>
      </c>
      <c r="BK71" s="1443" t="s">
        <v>90</v>
      </c>
      <c r="BL71" s="1393" t="s">
        <v>1288</v>
      </c>
      <c r="BN71" s="1393" t="s">
        <v>1289</v>
      </c>
    </row>
    <row customHeight="1" ht="11.25">
      <c r="A72" s="1399" t="s">
        <v>1290</v>
      </c>
      <c r="AZ72" s="1446" t="s">
        <v>56</v>
      </c>
      <c r="BE72" s="1446">
        <v>2070</v>
      </c>
      <c r="BH72" s="1393" t="s">
        <v>1291</v>
      </c>
      <c r="BJ72" s="1393" t="s">
        <v>1291</v>
      </c>
      <c r="BL72" s="1393" t="s">
        <v>1291</v>
      </c>
      <c r="BN72" s="1393" t="s">
        <v>1292</v>
      </c>
    </row>
    <row customHeight="1" ht="11.25">
      <c r="A73" s="1399" t="s">
        <v>1293</v>
      </c>
      <c r="BH73" s="1393" t="s">
        <v>1294</v>
      </c>
      <c r="BI73" s="1443" t="s">
        <v>110</v>
      </c>
      <c r="BJ73" s="1393" t="s">
        <v>1295</v>
      </c>
      <c r="BK73" s="1443" t="s">
        <v>110</v>
      </c>
      <c r="BL73" s="1393" t="s">
        <v>1296</v>
      </c>
      <c r="BN73" s="1393" t="s">
        <v>1297</v>
      </c>
    </row>
    <row customHeight="1" ht="11.25">
      <c r="A74" s="1399" t="s">
        <v>1298</v>
      </c>
      <c r="BH74" s="1393" t="s">
        <v>1299</v>
      </c>
      <c r="BJ74" s="1393" t="s">
        <v>1300</v>
      </c>
      <c r="BL74" s="1393" t="s">
        <v>1301</v>
      </c>
      <c r="BN74" s="1393" t="s">
        <v>1302</v>
      </c>
    </row>
    <row customHeight="1" ht="11.25">
      <c r="A75" s="1399" t="s">
        <v>1303</v>
      </c>
      <c r="AZ75" s="1392" t="s">
        <v>1304</v>
      </c>
      <c r="BH75" s="1393" t="s">
        <v>1305</v>
      </c>
      <c r="BJ75" s="1393" t="s">
        <v>1305</v>
      </c>
      <c r="BL75" s="1393" t="s">
        <v>1305</v>
      </c>
    </row>
    <row customHeight="1" ht="11.25">
      <c r="A76" s="1399" t="s">
        <v>1306</v>
      </c>
      <c r="AZ76" s="1446" t="s">
        <v>789</v>
      </c>
      <c r="BH76" s="1393" t="s">
        <v>1307</v>
      </c>
      <c r="BJ76" s="1393" t="s">
        <v>1308</v>
      </c>
      <c r="BL76" s="1393" t="s">
        <v>1309</v>
      </c>
    </row>
    <row customHeight="1" ht="11.25">
      <c r="A77" s="1399" t="s">
        <v>1310</v>
      </c>
      <c r="AZ77" s="1446" t="s">
        <v>818</v>
      </c>
    </row>
    <row customHeight="1" ht="11.25">
      <c r="A78" s="1399" t="s">
        <v>1311</v>
      </c>
      <c r="AZ78" s="1446" t="s">
        <v>850</v>
      </c>
    </row>
    <row customHeight="1" ht="11.25">
      <c r="A79" s="1399" t="s">
        <v>1312</v>
      </c>
      <c r="AZ79" s="1446" t="s">
        <v>881</v>
      </c>
      <c r="BH79" s="1392" t="s">
        <v>1313</v>
      </c>
      <c r="BJ79" s="1392" t="s">
        <v>1314</v>
      </c>
      <c r="BL79" s="1392" t="s">
        <v>1315</v>
      </c>
    </row>
    <row customHeight="1" ht="11.25">
      <c r="A80" s="1399" t="s">
        <v>1316</v>
      </c>
      <c r="AZ80" s="1446" t="s">
        <v>902</v>
      </c>
      <c r="BH80" s="1393" t="s">
        <v>1317</v>
      </c>
      <c r="BJ80" s="1393" t="s">
        <v>1318</v>
      </c>
      <c r="BL80" s="1393" t="s">
        <v>1319</v>
      </c>
    </row>
    <row customHeight="1" ht="11.25">
      <c r="A81" s="1399" t="s">
        <v>1320</v>
      </c>
      <c r="AZ81" s="1446" t="s">
        <v>919</v>
      </c>
      <c r="BH81" s="1393" t="s">
        <v>1321</v>
      </c>
      <c r="BJ81" s="1393" t="s">
        <v>1322</v>
      </c>
      <c r="BL81" s="1393" t="s">
        <v>1323</v>
      </c>
    </row>
    <row customHeight="1" ht="11.25">
      <c r="A82" s="1399" t="s">
        <v>1324</v>
      </c>
      <c r="AZ82" s="1446" t="s">
        <v>933</v>
      </c>
      <c r="BH82" s="1393" t="s">
        <v>1325</v>
      </c>
      <c r="BJ82" s="1393" t="s">
        <v>1326</v>
      </c>
      <c r="BL82" s="1393" t="s">
        <v>1327</v>
      </c>
    </row>
    <row customHeight="1" ht="11.25">
      <c r="A83" s="1399" t="s">
        <v>1328</v>
      </c>
      <c r="BH83" s="1393" t="s">
        <v>1329</v>
      </c>
      <c r="BJ83" s="1393" t="s">
        <v>1330</v>
      </c>
      <c r="BL83" s="1393" t="s">
        <v>1331</v>
      </c>
    </row>
    <row customHeight="1" ht="11.25">
      <c r="A84" s="1399" t="s">
        <v>1332</v>
      </c>
      <c r="AZ84" s="1392" t="s">
        <v>1333</v>
      </c>
    </row>
    <row customHeight="1" ht="11.25">
      <c r="A85" s="1399" t="s">
        <v>1334</v>
      </c>
      <c r="AZ85" s="1446" t="s">
        <v>1335</v>
      </c>
    </row>
    <row customHeight="1" ht="11.25">
      <c r="A86" s="1399" t="s">
        <v>1336</v>
      </c>
      <c r="AZ86" s="1446" t="s">
        <v>1337</v>
      </c>
      <c r="BH86" s="1392" t="s">
        <v>1338</v>
      </c>
      <c r="BJ86" s="1392" t="s">
        <v>1339</v>
      </c>
      <c r="BL86" s="1392" t="s">
        <v>1340</v>
      </c>
    </row>
    <row customHeight="1" ht="11.25">
      <c r="A87" s="1399" t="s">
        <v>1341</v>
      </c>
      <c r="AZ87" s="1446" t="s">
        <v>1342</v>
      </c>
      <c r="BH87" s="1393" t="s">
        <v>1343</v>
      </c>
      <c r="BJ87" s="1393" t="s">
        <v>1344</v>
      </c>
      <c r="BL87" s="1393" t="s">
        <v>1345</v>
      </c>
    </row>
    <row customHeight="1" ht="11.25">
      <c r="AZ88" s="1984"/>
      <c r="BH88" s="1393" t="s">
        <v>1346</v>
      </c>
      <c r="BJ88" s="1393" t="s">
        <v>1347</v>
      </c>
      <c r="BL88" s="1393" t="s">
        <v>1348</v>
      </c>
    </row>
    <row customHeight="1" ht="11.25">
      <c r="AZ89" s="1392" t="s">
        <v>1349</v>
      </c>
    </row>
    <row customHeight="1" ht="11.25">
      <c r="AZ90" s="1446" t="s">
        <v>1221</v>
      </c>
    </row>
    <row customHeight="1" ht="11.25">
      <c r="AZ91" s="1446" t="s">
        <v>1350</v>
      </c>
      <c r="BH91" s="1392" t="s">
        <v>1351</v>
      </c>
      <c r="BJ91" s="1392" t="s">
        <v>1352</v>
      </c>
      <c r="BL91" s="1392" t="s">
        <v>1353</v>
      </c>
    </row>
    <row customHeight="1" ht="11.25">
      <c r="AZ92" s="1446" t="s">
        <v>1354</v>
      </c>
      <c r="BH92" s="1393" t="s">
        <v>1355</v>
      </c>
      <c r="BJ92" s="1393" t="s">
        <v>1356</v>
      </c>
      <c r="BL92" s="1393" t="s">
        <v>1357</v>
      </c>
    </row>
    <row customHeight="1" ht="11.25">
      <c r="AZ93" s="1446" t="s">
        <v>1358</v>
      </c>
      <c r="BH93" s="1393" t="s">
        <v>1359</v>
      </c>
      <c r="BJ93" s="1393" t="s">
        <v>1360</v>
      </c>
      <c r="BL93" s="1393" t="s">
        <v>1361</v>
      </c>
    </row>
    <row customHeight="1" ht="11.25">
      <c r="AZ94" s="1446" t="s">
        <v>1362</v>
      </c>
    </row>
    <row r="96" customHeight="1" ht="11.25">
      <c r="BH96" s="1392" t="s">
        <v>1363</v>
      </c>
      <c r="BJ96" s="1392" t="s">
        <v>1364</v>
      </c>
      <c r="BL96" s="1392" t="s">
        <v>1365</v>
      </c>
      <c r="BN96" s="1392" t="s">
        <v>1366</v>
      </c>
    </row>
    <row customHeight="1" ht="11.25">
      <c r="BH97" s="1393" t="s">
        <v>1367</v>
      </c>
      <c r="BJ97" s="1393" t="s">
        <v>1368</v>
      </c>
      <c r="BL97" s="1393" t="s">
        <v>1369</v>
      </c>
      <c r="BN97" s="1393" t="s">
        <v>1370</v>
      </c>
    </row>
    <row customHeight="1" ht="11.25">
      <c r="BH98" s="1393" t="s">
        <v>1371</v>
      </c>
      <c r="BJ98" s="1393" t="s">
        <v>1372</v>
      </c>
      <c r="BL98" s="1393" t="s">
        <v>1373</v>
      </c>
      <c r="BN98" s="1393" t="s">
        <v>1374</v>
      </c>
    </row>
    <row customHeight="1" ht="11.25">
      <c r="BH99" s="1393" t="s">
        <v>1375</v>
      </c>
      <c r="BJ99" s="1393" t="s">
        <v>1376</v>
      </c>
      <c r="BL99" s="1393" t="s">
        <v>1377</v>
      </c>
      <c r="BN99" s="1393" t="s">
        <v>1378</v>
      </c>
    </row>
    <row customHeight="1" ht="11.25">
      <c r="BJ100" s="1393" t="s">
        <v>979</v>
      </c>
      <c r="BL100" s="1393" t="s">
        <v>979</v>
      </c>
      <c r="BN100" s="1393" t="s">
        <v>1379</v>
      </c>
    </row>
    <row customHeight="1" ht="11.25">
      <c r="BN101" s="1393" t="s">
        <v>1380</v>
      </c>
    </row>
    <row customHeight="1" ht="11.25">
      <c r="BN102" s="1393" t="s">
        <v>1381</v>
      </c>
    </row>
    <row customHeight="1" ht="11.25">
      <c r="BN103" s="1393" t="s">
        <v>1382</v>
      </c>
    </row>
    <row customHeight="1" ht="11.25">
      <c r="BN104" s="1393" t="s">
        <v>1383</v>
      </c>
    </row>
    <row r="107" customHeight="1" ht="11.25">
      <c r="BH107" s="1392" t="s">
        <v>1384</v>
      </c>
      <c r="BJ107" s="1392" t="s">
        <v>1385</v>
      </c>
      <c r="BL107" s="1392" t="s">
        <v>1386</v>
      </c>
      <c r="BN107" s="1392" t="s">
        <v>1387</v>
      </c>
    </row>
    <row customHeight="1" ht="11.25">
      <c r="BH108" s="1393" t="s">
        <v>1388</v>
      </c>
      <c r="BJ108" s="1393" t="s">
        <v>1389</v>
      </c>
      <c r="BL108" s="1393" t="s">
        <v>1390</v>
      </c>
      <c r="BN108" s="1393" t="s">
        <v>1391</v>
      </c>
    </row>
    <row customHeight="1" ht="11.25">
      <c r="BH109" s="1393" t="s">
        <v>1392</v>
      </c>
    </row>
    <row customHeight="1" ht="11.25">
      <c r="BH110" s="1393" t="s">
        <v>1392</v>
      </c>
    </row>
    <row r="114" customHeight="1" ht="11.25">
      <c r="BH114" s="1392" t="s">
        <v>1393</v>
      </c>
    </row>
    <row customHeight="1" ht="11.25">
      <c r="BH115" s="1393" t="s">
        <v>776</v>
      </c>
    </row>
    <row customHeight="1" ht="11.25">
      <c r="BH116" s="1393" t="s">
        <v>804</v>
      </c>
    </row>
    <row customHeight="1" ht="11.25">
      <c r="BH117" s="1393" t="s">
        <v>839</v>
      </c>
    </row>
    <row customHeight="1" ht="11.25">
      <c r="BH118" s="1393"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97AC8-E87A-C806-29AC-9933DCC252D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697" width="26.57421875" customWidth="1"/>
    <col min="2" max="2" style="11697" width="10.00390625" customWidth="1"/>
    <col min="4" max="4" style="11697" width="11.140625" customWidth="1"/>
    <col min="5" max="5" style="11697" width="16.57421875" customWidth="1"/>
    <col min="6" max="6" style="11697" width="16.28125" customWidth="1"/>
    <col min="7" max="7" style="11697" width="19.140625" customWidth="1"/>
    <col min="8" max="11" style="11697" width="10.00390625" customWidth="1"/>
    <col min="12" max="12" style="11697" width="12.7109375" customWidth="1"/>
    <col min="13" max="13" style="11697" width="61.28125" customWidth="1"/>
    <col min="14" max="14" style="11697" width="10.00390625" customWidth="1"/>
    <col min="15" max="17" style="11697" width="23.7109375" customWidth="1"/>
    <col min="18" max="18" style="11697" width="11.7109375" customWidth="1"/>
    <col min="19" max="19" style="11697" width="8.57421875" customWidth="1"/>
    <col min="20" max="20" style="11697" width="11.7109375" customWidth="1"/>
    <col min="21" max="21" style="11697" width="8.57421875" customWidth="1"/>
    <col min="22" max="22" style="11697" width="4.7109375" customWidth="1"/>
    <col min="23" max="23" style="11697" width="115.7109375" customWidth="1"/>
    <col min="24" max="24" style="11697" width="115.28125" customWidth="1"/>
    <col min="28" max="28" style="11697" width="115.7109375" customWidth="1"/>
    <col min="30" max="90" style="11697" width="115.7109375" customWidth="1"/>
  </cols>
  <sheetData>
    <row s="11340" customFormat="1" customHeight="1" ht="17.25"/>
    <row s="11341" customFormat="1" customHeight="1" ht="17.25">
      <c r="A2" s="349" t="s">
        <v>1394</v>
      </c>
    </row>
    <row s="11340" customFormat="1" customHeight="1" ht="17.25"/>
    <row s="11343" customFormat="1" customHeight="1" ht="15">
      <c r="C4" s="407"/>
      <c r="D4" s="383"/>
      <c r="E4" s="670"/>
    </row>
    <row r="6" s="11341" customFormat="1" customHeight="1" ht="17.25">
      <c r="A6" s="349" t="s">
        <v>1395</v>
      </c>
    </row>
    <row r="8" s="11343" customFormat="1" customHeight="1" ht="17.25">
      <c r="C8" s="358"/>
      <c r="D8" s="383"/>
      <c r="E8" s="384"/>
    </row>
    <row r="10" s="11340" customFormat="1" customHeight="1" ht="17.25"/>
    <row s="11341" customFormat="1" customHeight="1" ht="17.25">
      <c r="A11" s="349" t="s">
        <v>1396</v>
      </c>
    </row>
    <row s="11340" customFormat="1" customHeight="1" ht="17.25"/>
    <row s="10620" customFormat="1" customHeight="1" ht="14.25">
      <c r="A13" s="2335">
        <v>1</v>
      </c>
      <c r="B13" s="718"/>
      <c r="C13" s="1106" t="s">
        <v>1109</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629" customFormat="1" customHeight="1" ht="15">
      <c r="A14" s="2335"/>
      <c r="B14" s="718">
        <v>1</v>
      </c>
      <c r="C14" s="718"/>
      <c r="D14" s="1105" t="s">
        <v>1109</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629" customFormat="1" customHeight="1" ht="15">
      <c r="A15" s="2335"/>
      <c r="B15" s="718"/>
      <c r="C15" s="713"/>
      <c r="D15" s="1106"/>
      <c r="E15" s="722"/>
      <c r="F15" s="450"/>
      <c r="G15" s="716" t="s">
        <v>102</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340" customFormat="1" customHeight="1" ht="17.25"/>
    <row s="10950" customFormat="1" customHeight="1" ht="15">
      <c r="A17" s="349" t="s">
        <v>1397</v>
      </c>
      <c r="B17" s="349"/>
      <c r="C17" s="349"/>
      <c r="D17" s="349"/>
      <c r="E17" s="349"/>
      <c r="F17" s="349"/>
      <c r="G17" s="349"/>
      <c r="H17" s="349"/>
      <c r="I17" s="349"/>
      <c r="J17" s="349"/>
      <c r="K17" s="349"/>
      <c r="L17" s="349"/>
      <c r="M17" s="349"/>
      <c r="N17" s="349"/>
      <c r="O17" s="349"/>
      <c r="P17" s="349"/>
      <c r="Q17" s="349"/>
      <c r="R17" s="349"/>
      <c r="S17" s="349"/>
      <c r="T17" s="349"/>
      <c r="U17" s="456"/>
      <c r="V17" s="349"/>
      <c r="W17" s="349"/>
    </row>
    <row s="10950" customFormat="1" customHeight="1" ht="15">
      <c r="U18" s="457"/>
    </row>
    <row s="10697" customFormat="1" customHeight="1" ht="15">
      <c r="A19" s="568"/>
      <c r="B19" s="568"/>
      <c r="C19" s="2106" t="s">
        <v>1109</v>
      </c>
      <c r="D19" s="2208" t="s">
        <v>99</v>
      </c>
      <c r="E19" s="2429"/>
      <c r="F19" s="2207" t="s">
        <v>56</v>
      </c>
      <c r="G19" s="2430"/>
      <c r="H19" s="2342">
        <v>1</v>
      </c>
      <c r="I19" s="2432" t="str">
        <f>IF(U19="","",INDEX(TERRITORY_MR_LIST,MATCH(U19,TERRITORY_LIST_ID,0)))</f>
        <v/>
      </c>
      <c r="J19" s="2207" t="s">
        <v>56</v>
      </c>
      <c r="K19" s="1142"/>
      <c r="L19" s="1113" t="s">
        <v>99</v>
      </c>
      <c r="M19" s="905"/>
      <c r="N19" s="906"/>
      <c r="O19" s="906"/>
      <c r="P19" s="906"/>
      <c r="Q19" s="906"/>
      <c r="R19" s="906"/>
      <c r="S19" s="906"/>
      <c r="T19" s="906"/>
      <c r="U19" s="907"/>
      <c r="V19" s="906"/>
      <c r="W19" s="906"/>
      <c r="X19" s="897"/>
      <c r="Y19" s="897" t="s">
        <v>118</v>
      </c>
      <c r="Z19" s="897">
        <v>1705000</v>
      </c>
      <c r="AA19" s="897"/>
      <c r="AB19" s="897"/>
      <c r="AC19" s="897"/>
      <c r="AD19" s="897"/>
      <c r="AE19" s="897"/>
      <c r="AF19" s="897"/>
      <c r="AG19" s="897"/>
      <c r="AH19" s="897"/>
      <c r="AI19" s="897"/>
      <c r="AJ19" s="897"/>
      <c r="AK19" s="897"/>
      <c r="AL19" s="897"/>
    </row>
    <row s="10697" customFormat="1" customHeight="1" ht="15">
      <c r="A20" s="568"/>
      <c r="B20" s="568"/>
      <c r="C20" s="449"/>
      <c r="D20" s="2208"/>
      <c r="E20" s="2429"/>
      <c r="F20" s="2207"/>
      <c r="G20" s="2431"/>
      <c r="H20" s="2342"/>
      <c r="I20" s="2433"/>
      <c r="J20" s="2207"/>
      <c r="K20" s="722"/>
      <c r="L20" s="450"/>
      <c r="M20" s="909" t="s">
        <v>119</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697" customFormat="1" customHeight="1" ht="15">
      <c r="A21" s="568"/>
      <c r="B21" s="568"/>
      <c r="C21" s="449"/>
      <c r="D21" s="2208"/>
      <c r="E21" s="2429"/>
      <c r="F21" s="2207"/>
      <c r="G21" s="722"/>
      <c r="H21" s="450"/>
      <c r="I21" s="882" t="s">
        <v>120</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0950" customFormat="1" customHeight="1" ht="15">
      <c r="U22" s="457"/>
    </row>
    <row s="10950" customFormat="1" customHeight="1" ht="15">
      <c r="A23" s="349" t="s">
        <v>1398</v>
      </c>
      <c r="B23" s="349"/>
      <c r="C23" s="349"/>
      <c r="D23" s="349"/>
      <c r="E23" s="349"/>
      <c r="F23" s="349"/>
      <c r="G23" s="349"/>
      <c r="H23" s="349"/>
      <c r="I23" s="349"/>
      <c r="J23" s="349"/>
      <c r="K23" s="349"/>
      <c r="L23" s="349"/>
      <c r="M23" s="349"/>
      <c r="N23" s="349"/>
      <c r="O23" s="349"/>
      <c r="P23" s="349"/>
      <c r="Q23" s="349"/>
      <c r="R23" s="349"/>
      <c r="S23" s="349"/>
      <c r="T23" s="349"/>
      <c r="U23" s="456"/>
      <c r="V23" s="349"/>
      <c r="W23" s="349"/>
    </row>
    <row s="10950" customFormat="1" customHeight="1" ht="15">
      <c r="U24" s="457"/>
    </row>
    <row s="10697" customFormat="1" customHeight="1" ht="15">
      <c r="A25" s="568"/>
      <c r="B25" s="568"/>
      <c r="C25" s="449"/>
      <c r="D25" s="2108"/>
      <c r="E25" s="2108"/>
      <c r="F25" s="2108"/>
      <c r="G25" s="2434" t="s">
        <v>1109</v>
      </c>
      <c r="H25" s="2203">
        <v>1</v>
      </c>
      <c r="I25" s="2435" t="str">
        <f>IF(U25="","",INDEX(TERRITORY_MR_LIST,MATCH(U25,TERRITORY_LIST_ID,0)))</f>
        <v/>
      </c>
      <c r="J25" s="2207" t="s">
        <v>56</v>
      </c>
      <c r="K25" s="1142"/>
      <c r="L25" s="1113" t="s">
        <v>99</v>
      </c>
      <c r="M25" s="905"/>
      <c r="N25" s="906"/>
      <c r="O25" s="906"/>
      <c r="P25" s="906"/>
      <c r="Q25" s="906"/>
      <c r="R25" s="906"/>
      <c r="S25" s="906"/>
      <c r="T25" s="906"/>
      <c r="U25" s="907"/>
      <c r="V25" s="906"/>
      <c r="W25" s="906"/>
      <c r="X25" s="897"/>
      <c r="Y25" s="897" t="s">
        <v>118</v>
      </c>
      <c r="Z25" s="897">
        <v>1705000</v>
      </c>
      <c r="AA25" s="897"/>
      <c r="AB25" s="897"/>
      <c r="AC25" s="897"/>
      <c r="AD25" s="897"/>
      <c r="AE25" s="897"/>
      <c r="AF25" s="897"/>
      <c r="AG25" s="897"/>
      <c r="AH25" s="897"/>
      <c r="AI25" s="897"/>
      <c r="AJ25" s="897"/>
      <c r="AK25" s="897"/>
      <c r="AL25" s="897"/>
    </row>
    <row s="10697" customFormat="1" customHeight="1" ht="15">
      <c r="A26" s="568"/>
      <c r="B26" s="568"/>
      <c r="C26" s="449"/>
      <c r="D26" s="2108"/>
      <c r="E26" s="2108"/>
      <c r="F26" s="2108"/>
      <c r="G26" s="2434"/>
      <c r="H26" s="2203"/>
      <c r="I26" s="2435"/>
      <c r="J26" s="2207"/>
      <c r="K26" s="722"/>
      <c r="L26" s="450"/>
      <c r="M26" s="909" t="s">
        <v>119</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0950" customFormat="1" customHeight="1" ht="15">
      <c r="U27" s="457"/>
    </row>
    <row s="10950" customFormat="1" customHeight="1" ht="15">
      <c r="A28" s="349" t="s">
        <v>1399</v>
      </c>
      <c r="B28" s="349"/>
      <c r="C28" s="349"/>
      <c r="D28" s="349"/>
      <c r="E28" s="349"/>
      <c r="F28" s="349"/>
      <c r="G28" s="349"/>
      <c r="H28" s="349"/>
      <c r="I28" s="349"/>
      <c r="J28" s="349"/>
      <c r="K28" s="349"/>
      <c r="L28" s="349"/>
      <c r="M28" s="349"/>
      <c r="N28" s="349"/>
      <c r="O28" s="349"/>
      <c r="P28" s="349"/>
      <c r="Q28" s="349"/>
      <c r="R28" s="349"/>
      <c r="S28" s="349"/>
      <c r="T28" s="349"/>
      <c r="U28" s="456"/>
      <c r="V28" s="349"/>
      <c r="W28" s="349"/>
    </row>
    <row s="10950" customFormat="1" customHeight="1" ht="15">
      <c r="U29" s="457"/>
    </row>
    <row s="10697" customFormat="1" customHeight="1" ht="15">
      <c r="A30" s="568"/>
      <c r="B30" s="568"/>
      <c r="C30" s="449"/>
      <c r="D30" s="2108"/>
      <c r="E30" s="2108"/>
      <c r="F30" s="2108"/>
      <c r="G30" s="2108"/>
      <c r="H30" s="2108"/>
      <c r="I30" s="2108"/>
      <c r="J30" s="2108"/>
      <c r="K30" s="2109" t="s">
        <v>1109</v>
      </c>
      <c r="L30" s="2107" t="s">
        <v>99</v>
      </c>
      <c r="M30" s="1119"/>
      <c r="N30" s="1120"/>
      <c r="O30" s="906"/>
      <c r="P30" s="906"/>
      <c r="Q30" s="906"/>
      <c r="R30" s="906"/>
      <c r="S30" s="906"/>
      <c r="T30" s="906"/>
      <c r="U30" s="907"/>
      <c r="V30" s="906"/>
      <c r="W30" s="906"/>
      <c r="X30" s="897"/>
      <c r="Y30" s="897" t="s">
        <v>118</v>
      </c>
      <c r="Z30" s="897">
        <v>1705000</v>
      </c>
      <c r="AA30" s="897"/>
      <c r="AB30" s="897"/>
      <c r="AC30" s="897"/>
      <c r="AD30" s="897"/>
      <c r="AE30" s="897"/>
      <c r="AF30" s="897"/>
      <c r="AG30" s="897"/>
      <c r="AH30" s="897"/>
      <c r="AI30" s="897"/>
      <c r="AJ30" s="897"/>
      <c r="AK30" s="897"/>
      <c r="AL30" s="897"/>
    </row>
    <row s="10950" customFormat="1" customHeight="1" ht="15">
      <c r="U31" s="457"/>
    </row>
    <row s="10950" customFormat="1" customHeight="1" ht="15">
      <c r="U32" s="457"/>
    </row>
    <row s="11341" customFormat="1" customHeight="1" ht="11.25">
      <c r="A33" s="349" t="s">
        <v>1400</v>
      </c>
    </row>
    <row s="11340" customFormat="1" customHeight="1" ht="11.25"/>
    <row s="11038" customFormat="1" customHeight="1" ht="22.5">
      <c r="A35" s="1169"/>
      <c r="B35" s="759"/>
      <c r="C35" s="1170"/>
      <c r="D35" s="742"/>
      <c r="E35" s="1171"/>
      <c r="F35" s="1172"/>
      <c r="G35" s="1130"/>
      <c r="H35" s="777"/>
    </row>
    <row s="11340" customFormat="1" customHeight="1" ht="11.25"/>
    <row s="11341" customFormat="1" customHeight="1" ht="11.25">
      <c r="A37" s="349" t="s">
        <v>1401</v>
      </c>
    </row>
    <row s="11340" customFormat="1" customHeight="1" ht="11.25"/>
    <row s="11038" customFormat="1" customHeight="1" ht="22.5">
      <c r="A39" s="759"/>
      <c r="B39" s="759"/>
      <c r="C39" s="759"/>
      <c r="D39" s="742"/>
      <c r="E39" s="1171"/>
      <c r="F39" s="1173"/>
      <c r="G39" s="1130"/>
      <c r="H39" s="777"/>
    </row>
    <row s="11340" customFormat="1" customHeight="1" ht="17.25"/>
    <row s="11340" customFormat="1" customHeight="1" ht="17.25"/>
    <row s="11341" customFormat="1" customHeight="1" ht="17.25">
      <c r="A42" s="349" t="s">
        <v>1402</v>
      </c>
    </row>
    <row s="11340" customFormat="1" customHeight="1" ht="17.25"/>
    <row s="11053" customFormat="1" customHeight="1" ht="18.75">
      <c r="A44" s="663"/>
      <c r="B44" s="806"/>
      <c r="C44" s="806"/>
      <c r="D44" s="1178"/>
      <c r="E44" s="1137"/>
      <c r="F44" s="1180">
        <v>13</v>
      </c>
      <c r="G44" s="1179"/>
      <c r="H44" s="1098"/>
      <c r="I44" s="1096"/>
      <c r="J44" s="822" t="s">
        <v>63</v>
      </c>
      <c r="K44" s="1487" t="s">
        <v>17</v>
      </c>
      <c r="L44" s="663"/>
      <c r="M44" s="813"/>
      <c r="N44" s="813"/>
      <c r="O44" s="813"/>
      <c r="P44" s="818" t="s">
        <v>385</v>
      </c>
      <c r="Q44" s="818" t="s">
        <v>386</v>
      </c>
      <c r="R44" s="819" t="s">
        <v>387</v>
      </c>
      <c r="S44" s="813" t="s">
        <v>388</v>
      </c>
      <c r="T44" s="813"/>
      <c r="U44" s="813"/>
      <c r="V44" s="813"/>
    </row>
    <row s="11340" customFormat="1" customHeight="1" ht="17.25"/>
    <row s="11341" customFormat="1" customHeight="1" ht="11.25">
      <c r="A46" s="349" t="s">
        <v>1403</v>
      </c>
    </row>
    <row s="11340" customFormat="1" customHeight="1" ht="17.25"/>
    <row s="10656"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374</v>
      </c>
      <c r="AQ48" s="802" t="s">
        <v>374</v>
      </c>
      <c r="AR48" s="813"/>
      <c r="AS48" s="813"/>
    </row>
    <row s="11340" customFormat="1" customHeight="1" ht="17.25"/>
    <row s="11341" customFormat="1" customHeight="1" ht="11.25">
      <c r="A50" s="349" t="s">
        <v>1404</v>
      </c>
    </row>
    <row s="11340" customFormat="1" customHeight="1" ht="17.25"/>
    <row s="11381" customFormat="1" customHeight="1" ht="14.25">
      <c r="A52" s="416" t="s">
        <v>90</v>
      </c>
      <c r="B52" s="395" t="s">
        <v>17</v>
      </c>
      <c r="C52" s="396"/>
      <c r="D52" s="398"/>
      <c r="E52" s="677"/>
      <c r="F52" s="677"/>
      <c r="G52" s="2114"/>
      <c r="H52" s="678"/>
      <c r="I52" s="1147"/>
      <c r="K52" s="545"/>
      <c r="L52" s="546"/>
    </row>
    <row s="11340" customFormat="1" customHeight="1" ht="17.25"/>
    <row s="11341" customFormat="1" customHeight="1" ht="11.25">
      <c r="A54" s="349" t="s">
        <v>1405</v>
      </c>
    </row>
    <row s="11340" customFormat="1" customHeight="1" ht="17.25"/>
    <row s="10656" customFormat="1" customHeight="1" ht="14.25">
      <c r="A56" s="629"/>
      <c r="B56" s="718"/>
      <c r="C56" s="667"/>
      <c r="D56" s="1198"/>
      <c r="E56" s="3735"/>
      <c r="F56" s="678"/>
      <c r="G56" s="663"/>
      <c r="I56" s="802"/>
      <c r="J56" s="802"/>
    </row>
    <row s="11340" customFormat="1" customHeight="1" ht="17.25"/>
    <row s="11341" customFormat="1" customHeight="1" ht="11.25">
      <c r="A58" s="349" t="s">
        <v>1406</v>
      </c>
    </row>
    <row s="11340" customFormat="1" customHeight="1" ht="17.25"/>
    <row s="11396" customFormat="1" customHeight="1" ht="27">
      <c r="A60" s="1492"/>
      <c r="B60" s="1492"/>
      <c r="C60" s="1492"/>
      <c r="D60" s="1486"/>
      <c r="E60" s="1524"/>
      <c r="F60" s="2459"/>
      <c r="G60" s="2460"/>
      <c r="H60" s="2461" t="s">
        <v>63</v>
      </c>
      <c r="I60" s="2463"/>
      <c r="J60" s="2424"/>
      <c r="K60" s="2465"/>
      <c r="L60" s="2426"/>
      <c r="M60" s="2426"/>
      <c r="N60" s="2427"/>
      <c r="O60" s="2427"/>
      <c r="P60" s="2428">
        <f>DATEDIF(DATEVALUE(N60),DATEVALUE(O60),"y")&amp;"г. "&amp;DATEDIF(DATEVALUE(N60),DATEVALUE(O60),"ym")&amp;"мес. "&amp;DATEVALUE(O60)-DATE(YEAR(DATEVALUE(O60)),MONTH(DATEVALUE(O60)),1)&amp;"дн. "</f>
      </c>
      <c r="Q60" s="2423"/>
      <c r="R60" s="2423"/>
      <c r="S60" s="2423"/>
      <c r="T60" s="2424"/>
      <c r="U60" s="2423"/>
      <c r="V60" s="2423"/>
      <c r="W60" s="2423"/>
      <c r="X60" s="2424"/>
      <c r="Y60" s="2421" t="s">
        <v>63</v>
      </c>
      <c r="Z60" s="1522"/>
      <c r="AA60" s="1523">
        <v>1</v>
      </c>
      <c r="AB60" s="1585"/>
      <c r="AD60" s="813" t="s">
        <v>1407</v>
      </c>
    </row>
    <row s="11396" customFormat="1" customHeight="1" ht="10.5">
      <c r="A61" s="1492"/>
      <c r="B61" s="1492"/>
      <c r="C61" s="1492"/>
      <c r="D61" s="1486"/>
      <c r="E61" s="1268"/>
      <c r="F61" s="2459"/>
      <c r="G61" s="2460"/>
      <c r="H61" s="2462"/>
      <c r="I61" s="2464"/>
      <c r="J61" s="2425"/>
      <c r="K61" s="2465"/>
      <c r="L61" s="2426"/>
      <c r="M61" s="2426"/>
      <c r="N61" s="2427"/>
      <c r="O61" s="2427"/>
      <c r="P61" s="2428"/>
      <c r="Q61" s="2423"/>
      <c r="R61" s="2423"/>
      <c r="S61" s="2423"/>
      <c r="T61" s="2425"/>
      <c r="U61" s="2423"/>
      <c r="V61" s="2423"/>
      <c r="W61" s="2423"/>
      <c r="X61" s="2425"/>
      <c r="Y61" s="2422"/>
      <c r="Z61" s="633"/>
      <c r="AA61" s="874"/>
      <c r="AB61" s="954" t="s">
        <v>1408</v>
      </c>
    </row>
    <row s="11340" customFormat="1" customHeight="1" ht="17.25"/>
    <row s="11341" customFormat="1" customHeight="1" ht="11.25">
      <c r="A63" s="349" t="s">
        <v>1409</v>
      </c>
    </row>
    <row s="11340" customFormat="1" customHeight="1" ht="17.25"/>
    <row s="11422"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1407</v>
      </c>
    </row>
    <row s="11340" customFormat="1" customHeight="1" ht="17.25"/>
    <row s="11341" customFormat="1" customHeight="1" ht="11.25">
      <c r="A67" s="349" t="s">
        <v>1410</v>
      </c>
    </row>
    <row s="11340" customFormat="1" customHeight="1" ht="17.25"/>
    <row s="11396"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396" customFormat="1" customHeight="1" ht="11.25">
      <c r="A70" s="1492"/>
      <c r="B70" s="1492"/>
      <c r="C70" s="1492"/>
      <c r="D70" s="1486"/>
      <c r="E70" s="1496"/>
      <c r="F70" s="2419"/>
      <c r="G70" s="2396"/>
      <c r="H70" s="2396" t="s">
        <v>99</v>
      </c>
      <c r="I70" s="2397"/>
      <c r="J70" s="2398"/>
      <c r="K70" s="2399"/>
      <c r="L70" s="2388" t="s">
        <v>56</v>
      </c>
      <c r="M70" s="2400"/>
      <c r="N70" s="1505"/>
      <c r="O70" s="1504" t="s">
        <v>369</v>
      </c>
      <c r="P70" s="1505"/>
      <c r="Q70" s="1505"/>
      <c r="R70" s="1505"/>
      <c r="S70" s="1505"/>
      <c r="T70" s="1505"/>
      <c r="U70" s="1505"/>
      <c r="V70" s="1505"/>
      <c r="W70" s="1505"/>
      <c r="X70" s="1505"/>
      <c r="Y70" s="1505"/>
      <c r="Z70" s="1505"/>
      <c r="AA70" s="1505"/>
      <c r="AB70" s="1505"/>
      <c r="AC70" s="1505"/>
      <c r="AD70" s="1505"/>
      <c r="AE70" s="1505"/>
      <c r="AF70" s="2387"/>
      <c r="AG70" s="2388"/>
      <c r="AH70" s="2388"/>
      <c r="AI70" s="2387"/>
      <c r="AJ70" s="2388"/>
      <c r="AK70" s="238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396" customFormat="1" customHeight="1" ht="11.25">
      <c r="A71" s="1492"/>
      <c r="B71" s="1492"/>
      <c r="C71" s="1492"/>
      <c r="D71" s="1486"/>
      <c r="E71" s="1496"/>
      <c r="F71" s="2419"/>
      <c r="G71" s="2396"/>
      <c r="H71" s="2396"/>
      <c r="I71" s="2397"/>
      <c r="J71" s="2398"/>
      <c r="K71" s="2399"/>
      <c r="L71" s="2388"/>
      <c r="M71" s="2400"/>
      <c r="N71" s="2389"/>
      <c r="O71" s="2390">
        <v>1</v>
      </c>
      <c r="P71" s="3798" t="s">
        <v>56</v>
      </c>
      <c r="Q71" s="3799" t="s">
        <v>17</v>
      </c>
      <c r="R71" s="3799" t="s">
        <v>17</v>
      </c>
      <c r="S71" s="3799" t="s">
        <v>17</v>
      </c>
      <c r="T71" s="3799" t="s">
        <v>17</v>
      </c>
      <c r="U71" s="3799" t="s">
        <v>17</v>
      </c>
      <c r="V71" s="3799" t="s">
        <v>17</v>
      </c>
      <c r="W71" s="3799" t="s">
        <v>17</v>
      </c>
      <c r="X71" s="3799" t="s">
        <v>17</v>
      </c>
      <c r="Y71" s="3799"/>
      <c r="Z71" s="1502"/>
      <c r="AA71" s="1503"/>
      <c r="AB71" s="1503"/>
      <c r="AC71" s="3802"/>
      <c r="AD71" s="3802"/>
      <c r="AE71" s="3803"/>
      <c r="AF71" s="2387"/>
      <c r="AG71" s="2388"/>
      <c r="AH71" s="2388"/>
      <c r="AI71" s="2387"/>
      <c r="AJ71" s="2388"/>
      <c r="AK71" s="238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396" customFormat="1" customHeight="1" ht="11.25">
      <c r="A72" s="1492"/>
      <c r="B72" s="1492"/>
      <c r="C72" s="1492"/>
      <c r="D72" s="1486"/>
      <c r="E72" s="1496"/>
      <c r="F72" s="2419"/>
      <c r="G72" s="2396"/>
      <c r="H72" s="2396"/>
      <c r="I72" s="2397"/>
      <c r="J72" s="2398"/>
      <c r="K72" s="2399"/>
      <c r="L72" s="2388"/>
      <c r="M72" s="2400"/>
      <c r="N72" s="2389"/>
      <c r="O72" s="2390"/>
      <c r="P72" s="3804"/>
      <c r="Q72" s="3799"/>
      <c r="R72" s="3799"/>
      <c r="S72" s="3805"/>
      <c r="T72" s="3799"/>
      <c r="U72" s="3799"/>
      <c r="V72" s="3799"/>
      <c r="W72" s="3799"/>
      <c r="X72" s="3799"/>
      <c r="Y72" s="3799"/>
      <c r="Z72" s="1506"/>
      <c r="AA72" s="1507">
        <v>1</v>
      </c>
      <c r="AB72" s="3808"/>
      <c r="AC72" s="1495"/>
      <c r="AD72" s="3808">
        <f>AB72</f>
        <v>0</v>
      </c>
      <c r="AE72" s="1495"/>
      <c r="AF72" s="2387"/>
      <c r="AG72" s="2388"/>
      <c r="AH72" s="2388"/>
      <c r="AI72" s="2387"/>
      <c r="AJ72" s="2388"/>
      <c r="AK72" s="238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396" customFormat="1" customHeight="1" ht="11.25">
      <c r="A73" s="1492"/>
      <c r="B73" s="1492"/>
      <c r="C73" s="1492"/>
      <c r="D73" s="1486"/>
      <c r="E73" s="1496"/>
      <c r="F73" s="2419"/>
      <c r="G73" s="2396"/>
      <c r="H73" s="2396"/>
      <c r="I73" s="2397"/>
      <c r="J73" s="2398"/>
      <c r="K73" s="2399"/>
      <c r="L73" s="2388"/>
      <c r="M73" s="2400"/>
      <c r="N73" s="2389"/>
      <c r="O73" s="2390"/>
      <c r="P73" s="3810"/>
      <c r="Q73" s="3799"/>
      <c r="R73" s="3799"/>
      <c r="S73" s="3805"/>
      <c r="T73" s="3799"/>
      <c r="U73" s="3799"/>
      <c r="V73" s="3799"/>
      <c r="W73" s="3799"/>
      <c r="X73" s="3799"/>
      <c r="Y73" s="3799"/>
      <c r="Z73" s="1502"/>
      <c r="AA73" s="1503"/>
      <c r="AB73" s="1584" t="s">
        <v>1411</v>
      </c>
      <c r="AC73" s="3802"/>
      <c r="AD73" s="3802"/>
      <c r="AE73" s="3812"/>
      <c r="AF73" s="2387"/>
      <c r="AG73" s="2388"/>
      <c r="AH73" s="2388"/>
      <c r="AI73" s="2387"/>
      <c r="AJ73" s="2388"/>
      <c r="AK73" s="238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396" customFormat="1" customHeight="1" ht="11.25">
      <c r="A74" s="1492"/>
      <c r="B74" s="1492"/>
      <c r="C74" s="1492"/>
      <c r="D74" s="1486"/>
      <c r="E74" s="1496"/>
      <c r="F74" s="2419"/>
      <c r="G74" s="2396"/>
      <c r="H74" s="2396"/>
      <c r="I74" s="2397"/>
      <c r="J74" s="2398"/>
      <c r="K74" s="2399"/>
      <c r="L74" s="2388"/>
      <c r="M74" s="2400"/>
      <c r="N74" s="1503"/>
      <c r="O74" s="1503"/>
      <c r="P74" s="1494" t="s">
        <v>1412</v>
      </c>
      <c r="Q74" s="1503"/>
      <c r="R74" s="1503"/>
      <c r="S74" s="1503"/>
      <c r="T74" s="1503"/>
      <c r="U74" s="1503"/>
      <c r="V74" s="1503"/>
      <c r="W74" s="1503"/>
      <c r="X74" s="1503"/>
      <c r="Y74" s="1503"/>
      <c r="Z74" s="1503"/>
      <c r="AA74" s="1503"/>
      <c r="AB74" s="1503"/>
      <c r="AC74" s="1503"/>
      <c r="AD74" s="1503"/>
      <c r="AE74" s="1512"/>
      <c r="AF74" s="2387"/>
      <c r="AG74" s="2388"/>
      <c r="AH74" s="2388"/>
      <c r="AI74" s="2387"/>
      <c r="AJ74" s="2388"/>
      <c r="AK74" s="238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396" customFormat="1" customHeight="1" ht="12">
      <c r="A75" s="1492"/>
      <c r="B75" s="1492"/>
      <c r="C75" s="1492"/>
      <c r="D75" s="1486"/>
      <c r="E75" s="1496"/>
      <c r="F75" s="2420"/>
      <c r="G75" s="1520"/>
      <c r="H75" s="1520"/>
      <c r="I75" s="2418" t="s">
        <v>1413</v>
      </c>
      <c r="J75" s="2418"/>
      <c r="K75" s="2418"/>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340" customFormat="1" customHeight="1" ht="17.25"/>
    <row s="11341" customFormat="1" customHeight="1" ht="11.25">
      <c r="A77" s="349" t="s">
        <v>1414</v>
      </c>
    </row>
    <row s="11340" customFormat="1" customHeight="1" ht="17.25"/>
    <row s="11422" customFormat="1" customHeight="1" ht="11.25">
      <c r="A79" s="1492"/>
      <c r="B79" s="1492"/>
      <c r="C79" s="1492"/>
      <c r="D79" s="1486"/>
      <c r="E79" s="1496"/>
      <c r="F79" s="2174"/>
      <c r="G79" s="2151"/>
      <c r="H79" s="2151"/>
      <c r="I79" s="3823"/>
      <c r="J79" s="3823"/>
      <c r="K79" s="2159"/>
      <c r="L79" s="3823"/>
      <c r="M79" s="2151"/>
      <c r="N79" s="2458"/>
      <c r="O79" s="2390">
        <v>1</v>
      </c>
      <c r="P79" s="3798" t="s">
        <v>56</v>
      </c>
      <c r="Q79" s="3799" t="s">
        <v>17</v>
      </c>
      <c r="R79" s="3799" t="s">
        <v>17</v>
      </c>
      <c r="S79" s="3799" t="s">
        <v>17</v>
      </c>
      <c r="T79" s="3799" t="s">
        <v>17</v>
      </c>
      <c r="U79" s="3799" t="s">
        <v>17</v>
      </c>
      <c r="V79" s="3799" t="s">
        <v>17</v>
      </c>
      <c r="W79" s="3799" t="s">
        <v>17</v>
      </c>
      <c r="X79" s="3799" t="s">
        <v>17</v>
      </c>
      <c r="Y79" s="3799"/>
      <c r="Z79" s="1502"/>
      <c r="AA79" s="1503"/>
      <c r="AB79" s="1503"/>
      <c r="AC79" s="3802"/>
      <c r="AD79" s="3802"/>
      <c r="AE79" s="3802"/>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422" customFormat="1" customHeight="1" ht="11.25">
      <c r="A80" s="1492"/>
      <c r="B80" s="1492"/>
      <c r="C80" s="1492"/>
      <c r="D80" s="1486"/>
      <c r="E80" s="1496"/>
      <c r="F80" s="2174"/>
      <c r="G80" s="2151"/>
      <c r="H80" s="2151"/>
      <c r="I80" s="3828"/>
      <c r="J80" s="3828"/>
      <c r="K80" s="2159"/>
      <c r="L80" s="3828"/>
      <c r="M80" s="2151"/>
      <c r="N80" s="2458"/>
      <c r="O80" s="2390"/>
      <c r="P80" s="3804"/>
      <c r="Q80" s="3799"/>
      <c r="R80" s="3799"/>
      <c r="S80" s="3805"/>
      <c r="T80" s="3799"/>
      <c r="U80" s="3799"/>
      <c r="V80" s="3799"/>
      <c r="W80" s="3799"/>
      <c r="X80" s="3799"/>
      <c r="Y80" s="3799"/>
      <c r="Z80" s="1506"/>
      <c r="AA80" s="2139">
        <v>1</v>
      </c>
      <c r="AB80" s="3808"/>
      <c r="AC80" s="1495"/>
      <c r="AD80" s="3808">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422" customFormat="1" customHeight="1" ht="11.25">
      <c r="A81" s="1492"/>
      <c r="B81" s="1492"/>
      <c r="C81" s="1492"/>
      <c r="D81" s="1486"/>
      <c r="E81" s="1496"/>
      <c r="F81" s="2174"/>
      <c r="G81" s="2151"/>
      <c r="H81" s="2151"/>
      <c r="I81" s="3831"/>
      <c r="J81" s="3831"/>
      <c r="K81" s="2159"/>
      <c r="L81" s="3831"/>
      <c r="M81" s="2151"/>
      <c r="N81" s="2458"/>
      <c r="O81" s="2390"/>
      <c r="P81" s="3810"/>
      <c r="Q81" s="3799"/>
      <c r="R81" s="3799"/>
      <c r="S81" s="3805"/>
      <c r="T81" s="3799"/>
      <c r="U81" s="3799"/>
      <c r="V81" s="3799"/>
      <c r="W81" s="3799"/>
      <c r="X81" s="3799"/>
      <c r="Y81" s="3799"/>
      <c r="Z81" s="1502"/>
      <c r="AA81" s="1503"/>
      <c r="AB81" s="1584" t="s">
        <v>1411</v>
      </c>
      <c r="AC81" s="3802"/>
      <c r="AD81" s="3802"/>
      <c r="AE81" s="3802"/>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340" customFormat="1" customHeight="1" ht="17.25"/>
    <row s="11341" customFormat="1" customHeight="1" ht="11.25">
      <c r="A83" s="349" t="s">
        <v>1415</v>
      </c>
    </row>
    <row s="11340" customFormat="1" customHeight="1" ht="17.25"/>
    <row s="11422"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8"/>
      <c r="AC85" s="1495"/>
      <c r="AD85" s="3808">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340" customFormat="1" customHeight="1" ht="17.25"/>
    <row s="11341" customFormat="1" customHeight="1" ht="11.25">
      <c r="A87" s="349" t="s">
        <v>1416</v>
      </c>
    </row>
    <row s="11340" customFormat="1" customHeight="1" ht="17.25"/>
    <row s="11422" customFormat="1" customHeight="1" ht="11.25">
      <c r="A89" s="1492"/>
      <c r="B89" s="1492"/>
      <c r="C89" s="1492"/>
      <c r="D89" s="1486"/>
      <c r="E89" s="1496"/>
      <c r="F89" s="2174"/>
      <c r="G89" s="2151"/>
      <c r="H89" s="2396" t="s">
        <v>99</v>
      </c>
      <c r="I89" s="2397"/>
      <c r="J89" s="2398"/>
      <c r="K89" s="2399"/>
      <c r="L89" s="2388" t="s">
        <v>56</v>
      </c>
      <c r="M89" s="2400"/>
      <c r="N89" s="1505"/>
      <c r="O89" s="1504" t="s">
        <v>369</v>
      </c>
      <c r="P89" s="1505"/>
      <c r="Q89" s="1505"/>
      <c r="R89" s="1505"/>
      <c r="S89" s="1505"/>
      <c r="T89" s="1505"/>
      <c r="U89" s="1505"/>
      <c r="V89" s="1505"/>
      <c r="W89" s="1505"/>
      <c r="X89" s="1505"/>
      <c r="Y89" s="1505"/>
      <c r="Z89" s="1505"/>
      <c r="AA89" s="1505"/>
      <c r="AB89" s="1505"/>
      <c r="AC89" s="1505"/>
      <c r="AD89" s="1505"/>
      <c r="AE89" s="1505"/>
      <c r="AF89" s="2387"/>
      <c r="AG89" s="2388"/>
      <c r="AH89" s="2388"/>
      <c r="AI89" s="2387"/>
      <c r="AJ89" s="2388"/>
      <c r="AK89" s="238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422" customFormat="1" customHeight="1" ht="11.25">
      <c r="A90" s="1492"/>
      <c r="B90" s="1492"/>
      <c r="C90" s="1492"/>
      <c r="D90" s="1486"/>
      <c r="E90" s="1496"/>
      <c r="F90" s="2174"/>
      <c r="G90" s="2151"/>
      <c r="H90" s="2396"/>
      <c r="I90" s="2397"/>
      <c r="J90" s="2398"/>
      <c r="K90" s="2399"/>
      <c r="L90" s="2388"/>
      <c r="M90" s="2400"/>
      <c r="N90" s="2389"/>
      <c r="O90" s="2390">
        <v>1</v>
      </c>
      <c r="P90" s="3798" t="s">
        <v>56</v>
      </c>
      <c r="Q90" s="3799" t="s">
        <v>17</v>
      </c>
      <c r="R90" s="3799" t="s">
        <v>17</v>
      </c>
      <c r="S90" s="3799" t="s">
        <v>17</v>
      </c>
      <c r="T90" s="3799" t="s">
        <v>17</v>
      </c>
      <c r="U90" s="3799" t="s">
        <v>17</v>
      </c>
      <c r="V90" s="3799" t="s">
        <v>17</v>
      </c>
      <c r="W90" s="3799" t="s">
        <v>17</v>
      </c>
      <c r="X90" s="3799" t="s">
        <v>17</v>
      </c>
      <c r="Y90" s="3799"/>
      <c r="Z90" s="1502"/>
      <c r="AA90" s="1503"/>
      <c r="AB90" s="1503"/>
      <c r="AC90" s="3802"/>
      <c r="AD90" s="3802"/>
      <c r="AE90" s="3803"/>
      <c r="AF90" s="2387"/>
      <c r="AG90" s="2388"/>
      <c r="AH90" s="2388"/>
      <c r="AI90" s="2387"/>
      <c r="AJ90" s="2388"/>
      <c r="AK90" s="238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422" customFormat="1" customHeight="1" ht="11.25">
      <c r="A91" s="1492"/>
      <c r="B91" s="1492"/>
      <c r="C91" s="1492"/>
      <c r="D91" s="1486"/>
      <c r="E91" s="1496"/>
      <c r="F91" s="2174"/>
      <c r="G91" s="2151"/>
      <c r="H91" s="2396"/>
      <c r="I91" s="2397"/>
      <c r="J91" s="2398"/>
      <c r="K91" s="2399"/>
      <c r="L91" s="2388"/>
      <c r="M91" s="2400"/>
      <c r="N91" s="2389"/>
      <c r="O91" s="2390"/>
      <c r="P91" s="3804"/>
      <c r="Q91" s="3799"/>
      <c r="R91" s="3799"/>
      <c r="S91" s="3805"/>
      <c r="T91" s="3799"/>
      <c r="U91" s="3799"/>
      <c r="V91" s="3799"/>
      <c r="W91" s="3799"/>
      <c r="X91" s="3799"/>
      <c r="Y91" s="3799"/>
      <c r="Z91" s="1506"/>
      <c r="AA91" s="2139">
        <v>1</v>
      </c>
      <c r="AB91" s="3808"/>
      <c r="AC91" s="1495"/>
      <c r="AD91" s="3808">
        <f>AB91</f>
        <v>0</v>
      </c>
      <c r="AE91" s="1495"/>
      <c r="AF91" s="2387"/>
      <c r="AG91" s="2388"/>
      <c r="AH91" s="2388"/>
      <c r="AI91" s="2387"/>
      <c r="AJ91" s="2388"/>
      <c r="AK91" s="238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422" customFormat="1" customHeight="1" ht="11.25">
      <c r="A92" s="1492"/>
      <c r="B92" s="1492"/>
      <c r="C92" s="1492"/>
      <c r="D92" s="1486"/>
      <c r="E92" s="1496"/>
      <c r="F92" s="2174"/>
      <c r="G92" s="2151"/>
      <c r="H92" s="2396"/>
      <c r="I92" s="2397"/>
      <c r="J92" s="2398"/>
      <c r="K92" s="2399"/>
      <c r="L92" s="2388"/>
      <c r="M92" s="2400"/>
      <c r="N92" s="2389"/>
      <c r="O92" s="2390"/>
      <c r="P92" s="3810"/>
      <c r="Q92" s="3799"/>
      <c r="R92" s="3799"/>
      <c r="S92" s="3805"/>
      <c r="T92" s="3799"/>
      <c r="U92" s="3799"/>
      <c r="V92" s="3799"/>
      <c r="W92" s="3799"/>
      <c r="X92" s="3799"/>
      <c r="Y92" s="3799"/>
      <c r="Z92" s="1502"/>
      <c r="AA92" s="1503"/>
      <c r="AB92" s="1584" t="s">
        <v>1411</v>
      </c>
      <c r="AC92" s="3802"/>
      <c r="AD92" s="3802"/>
      <c r="AE92" s="3812"/>
      <c r="AF92" s="2387"/>
      <c r="AG92" s="2388"/>
      <c r="AH92" s="2388"/>
      <c r="AI92" s="2387"/>
      <c r="AJ92" s="2388"/>
      <c r="AK92" s="238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422" customFormat="1" customHeight="1" ht="11.25">
      <c r="A93" s="1492"/>
      <c r="B93" s="1492"/>
      <c r="C93" s="1492"/>
      <c r="D93" s="1486"/>
      <c r="E93" s="1496"/>
      <c r="F93" s="2174"/>
      <c r="G93" s="2151"/>
      <c r="H93" s="2396"/>
      <c r="I93" s="2397"/>
      <c r="J93" s="2398"/>
      <c r="K93" s="2399"/>
      <c r="L93" s="2388"/>
      <c r="M93" s="2400"/>
      <c r="N93" s="1503"/>
      <c r="O93" s="1503"/>
      <c r="P93" s="1494" t="s">
        <v>1412</v>
      </c>
      <c r="Q93" s="1503"/>
      <c r="R93" s="1503"/>
      <c r="S93" s="1503"/>
      <c r="T93" s="1503"/>
      <c r="U93" s="1503"/>
      <c r="V93" s="1503"/>
      <c r="W93" s="1503"/>
      <c r="X93" s="1503"/>
      <c r="Y93" s="1503"/>
      <c r="Z93" s="1503"/>
      <c r="AA93" s="1503"/>
      <c r="AB93" s="1503"/>
      <c r="AC93" s="1503"/>
      <c r="AD93" s="1503"/>
      <c r="AE93" s="1512"/>
      <c r="AF93" s="2387"/>
      <c r="AG93" s="2388"/>
      <c r="AH93" s="2388"/>
      <c r="AI93" s="2387"/>
      <c r="AJ93" s="2388"/>
      <c r="AK93" s="238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340" customFormat="1" customHeight="1" ht="17.25"/>
    <row s="11341" customFormat="1" customHeight="1" ht="11.25">
      <c r="A95" s="349" t="s">
        <v>1417</v>
      </c>
    </row>
    <row s="11340" customFormat="1" customHeight="1" ht="17.25"/>
    <row s="11495" customFormat="1" customHeight="1" ht="21">
      <c r="A97" s="1493"/>
      <c r="B97" s="1260"/>
      <c r="D97" s="1244"/>
      <c r="E97" s="1259" t="s">
        <v>17</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495" customFormat="1" customHeight="1" ht="24.75">
      <c r="B98" s="1243"/>
      <c r="C98" s="1244"/>
      <c r="D98" s="1244"/>
      <c r="E98" s="1521"/>
      <c r="F98" s="1543">
        <v>1</v>
      </c>
      <c r="G98" s="3848"/>
      <c r="H98" s="3849"/>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495" customFormat="1" customHeight="1" ht="12">
      <c r="A99" s="1244"/>
      <c r="B99" s="1243"/>
      <c r="C99" s="1244"/>
      <c r="D99" s="1244"/>
      <c r="E99" s="1244"/>
      <c r="F99" s="1549"/>
      <c r="G99" s="1525" t="s">
        <v>1418</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340" customFormat="1" customHeight="1" ht="17.25"/>
    <row s="11341" customFormat="1" customHeight="1" ht="11.25">
      <c r="A101" s="349" t="s">
        <v>1419</v>
      </c>
    </row>
    <row s="11340" customFormat="1" customHeight="1" ht="17.25"/>
    <row s="10950" customFormat="1" customHeight="1" ht="15">
      <c r="A103" s="925"/>
      <c r="B103" s="926"/>
      <c r="C103" s="926"/>
      <c r="D103" s="2455" t="s">
        <v>99</v>
      </c>
      <c r="E103" s="2439" t="s">
        <v>105</v>
      </c>
      <c r="F103" s="2440"/>
      <c r="G103" s="2441"/>
      <c r="H103" s="2442" t="str">
        <f>IF(A103="","",INDEX(DIFFERENTIATION_UNMERGE_VD,MATCH(A103,DIFFERENTIATION_ID_DIFF,0)))</f>
        <v/>
      </c>
      <c r="I103" s="2442"/>
      <c r="J103" s="2442"/>
      <c r="K103" s="2442"/>
      <c r="L103" s="2442"/>
      <c r="M103" s="2442"/>
      <c r="N103" s="2442"/>
      <c r="O103" s="2442"/>
      <c r="P103" s="2442"/>
      <c r="Q103" s="2442"/>
      <c r="R103" s="2442"/>
      <c r="S103" s="1021"/>
      <c r="T103" s="1018"/>
      <c r="U103" s="927"/>
      <c r="V103" s="927"/>
      <c r="W103" s="928"/>
      <c r="X103" s="928"/>
      <c r="Y103" s="928"/>
      <c r="Z103" s="928"/>
      <c r="AA103" s="929"/>
      <c r="AB103" s="930"/>
      <c r="AC103" s="2438"/>
      <c r="AD103" s="931"/>
      <c r="AE103" s="932" t="s">
        <v>17</v>
      </c>
      <c r="AF103" s="932"/>
      <c r="AG103" s="933" t="s">
        <v>1420</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0950" customFormat="1" customHeight="1" ht="15">
      <c r="A104" s="925"/>
      <c r="B104" s="926"/>
      <c r="C104" s="926"/>
      <c r="D104" s="2456"/>
      <c r="E104" s="2439" t="s">
        <v>1421</v>
      </c>
      <c r="F104" s="2440"/>
      <c r="G104" s="2441"/>
      <c r="H104" s="2442" t="str">
        <f>IF(A103="","",INDEX(DIFFERENTIATION_UNMERGE_AREA,MATCH(A103,DIFFERENTIATION_ID_DIFF,0)))</f>
        <v/>
      </c>
      <c r="I104" s="2442"/>
      <c r="J104" s="2442"/>
      <c r="K104" s="2442"/>
      <c r="L104" s="2442"/>
      <c r="M104" s="2442"/>
      <c r="N104" s="2442"/>
      <c r="O104" s="2442"/>
      <c r="P104" s="2442"/>
      <c r="Q104" s="2442"/>
      <c r="R104" s="2442"/>
      <c r="S104" s="1021"/>
      <c r="T104" s="1018"/>
      <c r="U104" s="927"/>
      <c r="V104" s="927"/>
      <c r="W104" s="928"/>
      <c r="X104" s="928"/>
      <c r="Y104" s="928"/>
      <c r="Z104" s="928"/>
      <c r="AA104" s="929"/>
      <c r="AB104" s="930"/>
      <c r="AC104" s="2438"/>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0950" customFormat="1" customHeight="1" ht="15">
      <c r="A105" s="925"/>
      <c r="B105" s="926"/>
      <c r="C105" s="926"/>
      <c r="D105" s="2456"/>
      <c r="E105" s="2439" t="s">
        <v>1422</v>
      </c>
      <c r="F105" s="2440"/>
      <c r="G105" s="2441"/>
      <c r="H105" s="2442" t="str">
        <f>IF(A103="","",INDEX(DIFFERENTIATION_UNMERGE_SYSTEM,MATCH(A103,DIFFERENTIATION_ID_DIFF,0)))</f>
        <v/>
      </c>
      <c r="I105" s="2442"/>
      <c r="J105" s="2442"/>
      <c r="K105" s="2442"/>
      <c r="L105" s="2442"/>
      <c r="M105" s="2442"/>
      <c r="N105" s="2442"/>
      <c r="O105" s="2442"/>
      <c r="P105" s="2442"/>
      <c r="Q105" s="2442"/>
      <c r="R105" s="2442"/>
      <c r="S105" s="1021"/>
      <c r="T105" s="1018"/>
      <c r="U105" s="927"/>
      <c r="V105" s="927"/>
      <c r="W105" s="928"/>
      <c r="X105" s="928"/>
      <c r="Y105" s="928"/>
      <c r="Z105" s="928"/>
      <c r="AA105" s="929"/>
      <c r="AB105" s="930"/>
      <c r="AC105" s="2438"/>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0950" customFormat="1" customHeight="1" ht="24.75">
      <c r="A106" s="935"/>
      <c r="B106" s="718"/>
      <c r="C106" s="713"/>
      <c r="D106" s="2456"/>
      <c r="E106" s="2453" t="s">
        <v>1423</v>
      </c>
      <c r="F106" s="2453"/>
      <c r="G106" s="2453"/>
      <c r="H106" s="2453"/>
      <c r="I106" s="2453"/>
      <c r="J106" s="2453"/>
      <c r="K106" s="2453"/>
      <c r="L106" s="2453"/>
      <c r="M106" s="2453"/>
      <c r="N106" s="2453"/>
      <c r="O106" s="2453"/>
      <c r="P106" s="2453"/>
      <c r="Q106" s="860">
        <f>SUMIF(T107:T108,"i",Q107:Q108)</f>
        <v>0</v>
      </c>
      <c r="R106" s="1338"/>
      <c r="S106" s="1213" t="s">
        <v>1424</v>
      </c>
      <c r="T106" s="1019" t="s">
        <v>1425</v>
      </c>
      <c r="U106" s="2454">
        <v>1</v>
      </c>
      <c r="V106" s="2454" t="s">
        <v>1426</v>
      </c>
      <c r="W106" s="718"/>
      <c r="X106" s="718"/>
      <c r="Y106" s="718"/>
      <c r="Z106" s="718"/>
      <c r="AA106" s="813"/>
      <c r="AB106" s="718"/>
      <c r="AC106" s="2438"/>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0950" customFormat="1" customHeight="1" ht="11.25" hidden="1">
      <c r="A107" s="1219"/>
      <c r="B107" s="813"/>
      <c r="C107" s="813"/>
      <c r="D107" s="2456"/>
      <c r="E107" s="937"/>
      <c r="F107" s="937">
        <v>0</v>
      </c>
      <c r="G107" s="937"/>
      <c r="H107" s="937"/>
      <c r="I107" s="937"/>
      <c r="J107" s="937"/>
      <c r="K107" s="937"/>
      <c r="L107" s="937"/>
      <c r="M107" s="937"/>
      <c r="N107" s="937"/>
      <c r="O107" s="937"/>
      <c r="P107" s="937"/>
      <c r="Q107" s="937"/>
      <c r="R107" s="937"/>
      <c r="S107" s="938"/>
      <c r="T107" s="1020"/>
      <c r="U107" s="2454"/>
      <c r="V107" s="2454"/>
      <c r="W107" s="813"/>
      <c r="X107" s="813"/>
      <c r="Y107" s="813"/>
      <c r="Z107" s="813"/>
      <c r="AA107" s="813"/>
      <c r="AB107" s="718"/>
      <c r="AC107" s="2438"/>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0950" customFormat="1" customHeight="1" ht="11.25">
      <c r="A108" s="935"/>
      <c r="B108" s="718"/>
      <c r="C108" s="713"/>
      <c r="D108" s="2456"/>
      <c r="E108" s="951" t="s">
        <v>17</v>
      </c>
      <c r="F108" s="952" t="s">
        <v>17</v>
      </c>
      <c r="G108" s="952" t="s">
        <v>1427</v>
      </c>
      <c r="H108" s="953" t="s">
        <v>17</v>
      </c>
      <c r="I108" s="953"/>
      <c r="J108" s="953"/>
      <c r="K108" s="953"/>
      <c r="L108" s="953"/>
      <c r="M108" s="953"/>
      <c r="N108" s="953"/>
      <c r="O108" s="953"/>
      <c r="P108" s="953"/>
      <c r="Q108" s="953"/>
      <c r="R108" s="954"/>
      <c r="S108" s="955"/>
      <c r="T108" s="1020"/>
      <c r="U108" s="2454"/>
      <c r="V108" s="2454"/>
      <c r="W108" s="718"/>
      <c r="X108" s="718"/>
      <c r="Y108" s="718"/>
      <c r="Z108" s="718"/>
      <c r="AA108" s="813"/>
      <c r="AB108" s="718"/>
      <c r="AC108" s="2438"/>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0950" customFormat="1" customHeight="1" ht="24.75">
      <c r="A109" s="935"/>
      <c r="B109" s="718"/>
      <c r="C109" s="713"/>
      <c r="D109" s="2456"/>
      <c r="E109" s="2453" t="s">
        <v>1428</v>
      </c>
      <c r="F109" s="2453"/>
      <c r="G109" s="2453"/>
      <c r="H109" s="2453"/>
      <c r="I109" s="2453"/>
      <c r="J109" s="2453"/>
      <c r="K109" s="2453"/>
      <c r="L109" s="2453"/>
      <c r="M109" s="2453"/>
      <c r="N109" s="2453"/>
      <c r="O109" s="2453"/>
      <c r="P109" s="2453"/>
      <c r="Q109" s="860">
        <f>SUMIF(T110:T111,"i",Q110:Q111)</f>
        <v>0</v>
      </c>
      <c r="R109" s="1338"/>
      <c r="S109" s="1213" t="s">
        <v>1429</v>
      </c>
      <c r="T109" s="1019" t="s">
        <v>1425</v>
      </c>
      <c r="U109" s="2454">
        <v>1</v>
      </c>
      <c r="V109" s="2454" t="s">
        <v>1426</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0950" customFormat="1" customHeight="1" ht="11.25" hidden="1">
      <c r="A110" s="1219"/>
      <c r="B110" s="813"/>
      <c r="C110" s="813"/>
      <c r="D110" s="2456"/>
      <c r="E110" s="937"/>
      <c r="F110" s="937">
        <v>0</v>
      </c>
      <c r="G110" s="937"/>
      <c r="H110" s="937"/>
      <c r="I110" s="937"/>
      <c r="J110" s="937"/>
      <c r="K110" s="937"/>
      <c r="L110" s="937"/>
      <c r="M110" s="937"/>
      <c r="N110" s="937"/>
      <c r="O110" s="937"/>
      <c r="P110" s="937"/>
      <c r="Q110" s="937"/>
      <c r="R110" s="937"/>
      <c r="S110" s="938"/>
      <c r="T110" s="1020"/>
      <c r="U110" s="2454"/>
      <c r="V110" s="2454"/>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0950" customFormat="1" customHeight="1" ht="11.25">
      <c r="A111" s="935"/>
      <c r="B111" s="718"/>
      <c r="C111" s="713"/>
      <c r="D111" s="2457"/>
      <c r="E111" s="951" t="s">
        <v>17</v>
      </c>
      <c r="F111" s="952" t="s">
        <v>17</v>
      </c>
      <c r="G111" s="952" t="s">
        <v>1427</v>
      </c>
      <c r="H111" s="953" t="s">
        <v>17</v>
      </c>
      <c r="I111" s="953"/>
      <c r="J111" s="953"/>
      <c r="K111" s="953"/>
      <c r="L111" s="953"/>
      <c r="M111" s="953"/>
      <c r="N111" s="953"/>
      <c r="O111" s="953"/>
      <c r="P111" s="953"/>
      <c r="Q111" s="953"/>
      <c r="R111" s="954"/>
      <c r="S111" s="955"/>
      <c r="T111" s="1020"/>
      <c r="U111" s="2454"/>
      <c r="V111" s="2454"/>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340" customFormat="1" customHeight="1" ht="17.25"/>
    <row s="11341" customFormat="1" customHeight="1" ht="11.25">
      <c r="A113" s="349" t="s">
        <v>1430</v>
      </c>
    </row>
    <row s="11340" customFormat="1" customHeight="1" ht="17.25"/>
    <row s="10950" customFormat="1" customHeight="1" ht="15">
      <c r="A115" s="925"/>
      <c r="B115" s="926"/>
      <c r="C115" s="926"/>
      <c r="D115" s="2455" t="s">
        <v>99</v>
      </c>
      <c r="E115" s="2439" t="s">
        <v>105</v>
      </c>
      <c r="F115" s="2440"/>
      <c r="G115" s="2441"/>
      <c r="H115" s="2442" t="str">
        <f>IF(A115="","",INDEX(DIFFERENTIATION_UNMERGE_VD,MATCH(A115,DIFFERENTIATION_ID_DIFF,0)))</f>
        <v/>
      </c>
      <c r="I115" s="2442"/>
      <c r="J115" s="2442"/>
      <c r="K115" s="2442"/>
      <c r="L115" s="2442"/>
      <c r="M115" s="2442"/>
      <c r="N115" s="2442"/>
      <c r="O115" s="2442"/>
      <c r="P115" s="2442"/>
      <c r="Q115" s="2442"/>
      <c r="R115" s="2442"/>
      <c r="S115" s="1021"/>
      <c r="T115" s="1018"/>
      <c r="U115" s="927"/>
      <c r="V115" s="927"/>
      <c r="W115" s="928"/>
      <c r="X115" s="928"/>
      <c r="Y115" s="928"/>
      <c r="Z115" s="928"/>
      <c r="AA115" s="929"/>
      <c r="AB115" s="930"/>
      <c r="AC115" s="2438"/>
      <c r="AD115" s="931"/>
      <c r="AE115" s="932" t="s">
        <v>17</v>
      </c>
      <c r="AF115" s="932"/>
      <c r="AG115" s="933" t="s">
        <v>1420</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0950" customFormat="1" customHeight="1" ht="15">
      <c r="A116" s="925"/>
      <c r="B116" s="926"/>
      <c r="C116" s="926"/>
      <c r="D116" s="2456"/>
      <c r="E116" s="2439" t="s">
        <v>1421</v>
      </c>
      <c r="F116" s="2440"/>
      <c r="G116" s="2441"/>
      <c r="H116" s="2442" t="str">
        <f>IF(A115="","",INDEX(DIFFERENTIATION_UNMERGE_AREA,MATCH(A115,DIFFERENTIATION_ID_DIFF,0)))</f>
        <v/>
      </c>
      <c r="I116" s="2442"/>
      <c r="J116" s="2442"/>
      <c r="K116" s="2442"/>
      <c r="L116" s="2442"/>
      <c r="M116" s="2442"/>
      <c r="N116" s="2442"/>
      <c r="O116" s="2442"/>
      <c r="P116" s="2442"/>
      <c r="Q116" s="2442"/>
      <c r="R116" s="2442"/>
      <c r="S116" s="1021"/>
      <c r="T116" s="1018"/>
      <c r="U116" s="927"/>
      <c r="V116" s="927"/>
      <c r="W116" s="928"/>
      <c r="X116" s="928"/>
      <c r="Y116" s="928"/>
      <c r="Z116" s="928"/>
      <c r="AA116" s="929"/>
      <c r="AB116" s="930"/>
      <c r="AC116" s="2438"/>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0950" customFormat="1" customHeight="1" ht="15">
      <c r="A117" s="925"/>
      <c r="B117" s="926"/>
      <c r="C117" s="926"/>
      <c r="D117" s="2456"/>
      <c r="E117" s="2439" t="s">
        <v>1422</v>
      </c>
      <c r="F117" s="2440"/>
      <c r="G117" s="2441"/>
      <c r="H117" s="2442" t="str">
        <f>IF(A115="","",INDEX(DIFFERENTIATION_UNMERGE_SYSTEM,MATCH(A115,DIFFERENTIATION_ID_DIFF,0)))</f>
        <v/>
      </c>
      <c r="I117" s="2442"/>
      <c r="J117" s="2442"/>
      <c r="K117" s="2442"/>
      <c r="L117" s="2442"/>
      <c r="M117" s="2442"/>
      <c r="N117" s="2442"/>
      <c r="O117" s="2442"/>
      <c r="P117" s="2442"/>
      <c r="Q117" s="2442"/>
      <c r="R117" s="2442"/>
      <c r="S117" s="1021"/>
      <c r="T117" s="1018"/>
      <c r="U117" s="927"/>
      <c r="V117" s="927"/>
      <c r="W117" s="928"/>
      <c r="X117" s="928"/>
      <c r="Y117" s="928"/>
      <c r="Z117" s="928"/>
      <c r="AA117" s="929"/>
      <c r="AB117" s="930"/>
      <c r="AC117" s="2438"/>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0950" customFormat="1" customHeight="1" ht="24.75">
      <c r="A118" s="935"/>
      <c r="B118" s="718"/>
      <c r="C118" s="713"/>
      <c r="D118" s="2456"/>
      <c r="E118" s="2453" t="s">
        <v>1423</v>
      </c>
      <c r="F118" s="2453"/>
      <c r="G118" s="2453"/>
      <c r="H118" s="2453"/>
      <c r="I118" s="2453"/>
      <c r="J118" s="2453"/>
      <c r="K118" s="2453"/>
      <c r="L118" s="2453"/>
      <c r="M118" s="2453"/>
      <c r="N118" s="2453"/>
      <c r="O118" s="2453"/>
      <c r="P118" s="2453"/>
      <c r="Q118" s="860">
        <f>SUMIF(T119:T120,"i",Q119:Q120)</f>
        <v>0</v>
      </c>
      <c r="R118" s="1338"/>
      <c r="S118" s="1343" t="s">
        <v>1424</v>
      </c>
      <c r="T118" s="1019" t="s">
        <v>1425</v>
      </c>
      <c r="U118" s="2454">
        <v>1</v>
      </c>
      <c r="V118" s="2454" t="s">
        <v>1426</v>
      </c>
      <c r="W118" s="718"/>
      <c r="X118" s="718"/>
      <c r="Y118" s="718"/>
      <c r="Z118" s="718"/>
      <c r="AA118" s="813"/>
      <c r="AB118" s="718"/>
      <c r="AC118" s="2438"/>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0950" customFormat="1" customHeight="1" ht="11.25" hidden="1">
      <c r="A119" s="1342"/>
      <c r="B119" s="813"/>
      <c r="C119" s="813"/>
      <c r="D119" s="2456"/>
      <c r="E119" s="937"/>
      <c r="F119" s="937">
        <v>0</v>
      </c>
      <c r="G119" s="937"/>
      <c r="H119" s="937"/>
      <c r="I119" s="937"/>
      <c r="J119" s="937"/>
      <c r="K119" s="937"/>
      <c r="L119" s="937"/>
      <c r="M119" s="937"/>
      <c r="N119" s="937"/>
      <c r="O119" s="937"/>
      <c r="P119" s="937"/>
      <c r="Q119" s="937"/>
      <c r="R119" s="937"/>
      <c r="S119" s="938"/>
      <c r="T119" s="1020"/>
      <c r="U119" s="2454"/>
      <c r="V119" s="2454"/>
      <c r="W119" s="813"/>
      <c r="X119" s="813"/>
      <c r="Y119" s="813"/>
      <c r="Z119" s="813"/>
      <c r="AA119" s="813"/>
      <c r="AB119" s="718"/>
      <c r="AC119" s="2438"/>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0950" customFormat="1" customHeight="1" ht="11.25">
      <c r="A120" s="935"/>
      <c r="B120" s="718"/>
      <c r="C120" s="713"/>
      <c r="D120" s="2456"/>
      <c r="E120" s="951" t="s">
        <v>17</v>
      </c>
      <c r="F120" s="952" t="s">
        <v>17</v>
      </c>
      <c r="G120" s="952" t="s">
        <v>1427</v>
      </c>
      <c r="H120" s="953" t="s">
        <v>17</v>
      </c>
      <c r="I120" s="953"/>
      <c r="J120" s="953"/>
      <c r="K120" s="953"/>
      <c r="L120" s="953"/>
      <c r="M120" s="953"/>
      <c r="N120" s="953"/>
      <c r="O120" s="953"/>
      <c r="P120" s="953"/>
      <c r="Q120" s="953"/>
      <c r="R120" s="954"/>
      <c r="S120" s="955"/>
      <c r="T120" s="1020"/>
      <c r="U120" s="2454"/>
      <c r="V120" s="2454"/>
      <c r="W120" s="718"/>
      <c r="X120" s="718"/>
      <c r="Y120" s="718"/>
      <c r="Z120" s="718"/>
      <c r="AA120" s="813"/>
      <c r="AB120" s="718"/>
      <c r="AC120" s="2438"/>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0868" customFormat="1" customHeight="1" ht="5.25" hidden="1">
      <c r="A121" s="1342"/>
      <c r="B121" s="813"/>
      <c r="C121" s="813"/>
      <c r="D121" s="2456"/>
      <c r="E121" s="1362"/>
      <c r="F121" s="1362"/>
      <c r="G121" s="1362"/>
      <c r="H121" s="1362"/>
      <c r="I121" s="1362"/>
      <c r="J121" s="1362"/>
      <c r="K121" s="1362"/>
      <c r="L121" s="1362"/>
      <c r="M121" s="1362"/>
      <c r="N121" s="1362"/>
      <c r="O121" s="1362"/>
      <c r="P121" s="1362"/>
      <c r="Q121" s="1363"/>
      <c r="R121" s="1364"/>
      <c r="S121" s="1365"/>
      <c r="T121" s="1019" t="s">
        <v>1425</v>
      </c>
      <c r="U121" s="2454">
        <v>1</v>
      </c>
      <c r="V121" s="2454" t="s">
        <v>1426</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0868" customFormat="1" customHeight="1" ht="5.25" hidden="1">
      <c r="A122" s="1342"/>
      <c r="B122" s="813"/>
      <c r="C122" s="813"/>
      <c r="D122" s="2456"/>
      <c r="E122" s="937"/>
      <c r="F122" s="937"/>
      <c r="G122" s="937"/>
      <c r="H122" s="937"/>
      <c r="I122" s="937"/>
      <c r="J122" s="937"/>
      <c r="K122" s="937"/>
      <c r="L122" s="937"/>
      <c r="M122" s="937"/>
      <c r="N122" s="937"/>
      <c r="O122" s="937"/>
      <c r="P122" s="937"/>
      <c r="Q122" s="937"/>
      <c r="R122" s="937"/>
      <c r="S122" s="938"/>
      <c r="T122" s="1020"/>
      <c r="U122" s="2454"/>
      <c r="V122" s="2454"/>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0868" customFormat="1" customHeight="1" ht="5.25" hidden="1">
      <c r="A123" s="1342"/>
      <c r="B123" s="813"/>
      <c r="C123" s="813"/>
      <c r="D123" s="2457"/>
      <c r="E123" s="1366"/>
      <c r="F123" s="1367"/>
      <c r="G123" s="1367"/>
      <c r="H123" s="1368"/>
      <c r="I123" s="1368"/>
      <c r="J123" s="1368"/>
      <c r="K123" s="1368"/>
      <c r="L123" s="1368"/>
      <c r="M123" s="1368"/>
      <c r="N123" s="1368"/>
      <c r="O123" s="1368"/>
      <c r="P123" s="1368"/>
      <c r="Q123" s="1368"/>
      <c r="R123" s="1267"/>
      <c r="S123" s="1369"/>
      <c r="T123" s="1020"/>
      <c r="U123" s="2454"/>
      <c r="V123" s="2454"/>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340" customFormat="1" customHeight="1" ht="17.25">
      <c r="D124" s="1370"/>
    </row>
    <row s="11341" customFormat="1" customHeight="1" ht="11.25">
      <c r="A125" s="349" t="s">
        <v>1431</v>
      </c>
    </row>
    <row s="11340" customFormat="1" customHeight="1" ht="17.25"/>
    <row s="10950" customFormat="1" customHeight="1" ht="45">
      <c r="A127" s="935"/>
      <c r="B127" s="718"/>
      <c r="C127" s="713"/>
      <c r="D127" s="663"/>
      <c r="E127" s="2443"/>
      <c r="F127" s="2400" t="s">
        <v>99</v>
      </c>
      <c r="G127" s="2446" t="s">
        <v>17</v>
      </c>
      <c r="H127" s="564"/>
      <c r="I127" s="939" t="s">
        <v>99</v>
      </c>
      <c r="J127" s="1214" t="s">
        <v>1432</v>
      </c>
      <c r="K127" s="940" t="s">
        <v>1433</v>
      </c>
      <c r="L127" s="2344" t="s">
        <v>1433</v>
      </c>
      <c r="M127" s="2448"/>
      <c r="N127" s="940" t="s">
        <v>1433</v>
      </c>
      <c r="O127" s="940" t="s">
        <v>1433</v>
      </c>
      <c r="P127" s="940" t="s">
        <v>1433</v>
      </c>
      <c r="Q127" s="941">
        <f>SUM(Q128:Q130)</f>
        <v>0</v>
      </c>
      <c r="R127" s="941">
        <f>IF(R124=0,0,(Q124/R124)*100)</f>
        <v>0</v>
      </c>
      <c r="S127" s="2449"/>
      <c r="T127" s="1019" t="s">
        <v>1425</v>
      </c>
      <c r="U127" s="663"/>
      <c r="V127" s="663"/>
      <c r="AC127" s="663"/>
    </row>
    <row s="10950" customFormat="1" customHeight="1" ht="11.25">
      <c r="A128" s="935"/>
      <c r="B128" s="718"/>
      <c r="C128" s="713"/>
      <c r="D128" s="663"/>
      <c r="E128" s="2444"/>
      <c r="F128" s="2400"/>
      <c r="G128" s="2446"/>
      <c r="H128" s="2342"/>
      <c r="I128" s="2396" t="s">
        <v>619</v>
      </c>
      <c r="J128" s="2450"/>
      <c r="K128" s="2451"/>
      <c r="L128" s="942"/>
      <c r="M128" s="943" t="s">
        <v>99</v>
      </c>
      <c r="N128" s="1220"/>
      <c r="O128" s="944"/>
      <c r="P128" s="945"/>
      <c r="Q128" s="944"/>
      <c r="R128" s="946">
        <v>0</v>
      </c>
      <c r="S128" s="2449"/>
      <c r="T128" s="1019"/>
      <c r="U128" s="663"/>
      <c r="V128" s="663"/>
      <c r="AC128" s="663"/>
    </row>
    <row s="10950" customFormat="1" customHeight="1" ht="11.25">
      <c r="A129" s="935"/>
      <c r="B129" s="718"/>
      <c r="C129" s="713"/>
      <c r="D129" s="663"/>
      <c r="E129" s="2444"/>
      <c r="F129" s="2400"/>
      <c r="G129" s="2446"/>
      <c r="H129" s="2342"/>
      <c r="I129" s="2396"/>
      <c r="J129" s="2450"/>
      <c r="K129" s="2452"/>
      <c r="L129" s="947"/>
      <c r="M129" s="948"/>
      <c r="N129" s="949" t="s">
        <v>1434</v>
      </c>
      <c r="O129" s="949"/>
      <c r="P129" s="949"/>
      <c r="Q129" s="949"/>
      <c r="R129" s="950"/>
      <c r="S129" s="2449"/>
      <c r="T129" s="1019"/>
      <c r="U129" s="663"/>
      <c r="V129" s="663"/>
      <c r="AC129" s="663"/>
    </row>
    <row s="10950" customFormat="1" customHeight="1" ht="11.25">
      <c r="A130" s="935"/>
      <c r="B130" s="718"/>
      <c r="C130" s="713"/>
      <c r="D130" s="663"/>
      <c r="E130" s="2445"/>
      <c r="F130" s="2400"/>
      <c r="G130" s="2447"/>
      <c r="H130" s="947" t="s">
        <v>17</v>
      </c>
      <c r="I130" s="948"/>
      <c r="J130" s="949" t="s">
        <v>1435</v>
      </c>
      <c r="K130" s="949"/>
      <c r="L130" s="949"/>
      <c r="M130" s="949"/>
      <c r="N130" s="949"/>
      <c r="O130" s="949"/>
      <c r="P130" s="949"/>
      <c r="Q130" s="949"/>
      <c r="R130" s="950"/>
      <c r="S130" s="2449"/>
      <c r="T130" s="1019"/>
      <c r="U130" s="663"/>
      <c r="V130" s="663"/>
      <c r="AC130" s="663"/>
    </row>
    <row s="11340" customFormat="1" customHeight="1" ht="17.25"/>
    <row s="11340" customFormat="1" customHeight="1" ht="17.25"/>
    <row s="11340" customFormat="1" customHeight="1" ht="17.25"/>
    <row r="135" s="10950" customFormat="1" customHeight="1" ht="11.25">
      <c r="A135" s="2170"/>
      <c r="B135" s="1486"/>
      <c r="C135" s="713"/>
      <c r="D135" s="663"/>
      <c r="E135" s="2151"/>
      <c r="F135" s="2151"/>
      <c r="G135" s="2151"/>
      <c r="H135" s="2342"/>
      <c r="I135" s="2396" t="s">
        <v>619</v>
      </c>
      <c r="J135" s="2450"/>
      <c r="K135" s="2451"/>
      <c r="L135" s="942"/>
      <c r="M135" s="943" t="s">
        <v>99</v>
      </c>
      <c r="N135" s="2169"/>
      <c r="O135" s="944"/>
      <c r="P135" s="945"/>
      <c r="Q135" s="944"/>
      <c r="R135" s="946">
        <v>0</v>
      </c>
      <c r="S135" s="663"/>
      <c r="T135" s="1019"/>
      <c r="U135" s="663"/>
      <c r="V135" s="663"/>
      <c r="AC135" s="663"/>
    </row>
    <row s="10950" customFormat="1" customHeight="1" ht="11.25">
      <c r="A136" s="2170"/>
      <c r="B136" s="1486"/>
      <c r="C136" s="713"/>
      <c r="D136" s="663"/>
      <c r="E136" s="2151"/>
      <c r="F136" s="2151"/>
      <c r="G136" s="2151"/>
      <c r="H136" s="2342"/>
      <c r="I136" s="2396"/>
      <c r="J136" s="2450"/>
      <c r="K136" s="2452"/>
      <c r="L136" s="947"/>
      <c r="M136" s="948"/>
      <c r="N136" s="949" t="s">
        <v>1434</v>
      </c>
      <c r="O136" s="949"/>
      <c r="P136" s="949"/>
      <c r="Q136" s="949"/>
      <c r="R136" s="950"/>
      <c r="S136" s="663"/>
      <c r="T136" s="1019"/>
      <c r="U136" s="663"/>
      <c r="V136" s="663"/>
      <c r="AC136" s="663"/>
    </row>
    <row s="11340" customFormat="1" customHeight="1" ht="17.25"/>
    <row s="10950" customFormat="1" customHeight="1" ht="11.25">
      <c r="A138" s="2170"/>
      <c r="B138" s="1486"/>
      <c r="C138" s="713"/>
      <c r="D138" s="663"/>
      <c r="E138" s="2175"/>
      <c r="F138" s="1874"/>
      <c r="G138" s="1874"/>
      <c r="H138" s="645"/>
      <c r="I138" s="2151"/>
      <c r="J138" s="2159"/>
      <c r="K138" s="2159"/>
      <c r="L138" s="942"/>
      <c r="M138" s="943" t="s">
        <v>99</v>
      </c>
      <c r="N138" s="2169"/>
      <c r="O138" s="944"/>
      <c r="P138" s="945"/>
      <c r="Q138" s="944"/>
      <c r="R138" s="946">
        <v>0</v>
      </c>
      <c r="S138" s="663"/>
      <c r="T138" s="1019"/>
      <c r="U138" s="663"/>
      <c r="V138" s="663"/>
      <c r="AC138" s="663"/>
    </row>
    <row s="11340" customFormat="1" customHeight="1" ht="17.25"/>
    <row s="11341" customFormat="1" customHeight="1" ht="17.25">
      <c r="A140" s="349" t="s">
        <v>1436</v>
      </c>
    </row>
    <row s="11340"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835" customFormat="1" customHeight="1" ht="17.25">
      <c r="A142" s="604"/>
      <c r="C142" s="482"/>
      <c r="D142" s="2384"/>
      <c r="E142" s="2245"/>
      <c r="F142" s="2247"/>
      <c r="G142" s="2250"/>
      <c r="H142" s="2384"/>
      <c r="I142" s="2384">
        <v>1</v>
      </c>
      <c r="J142" s="2385"/>
      <c r="K142" s="2297" t="s">
        <v>63</v>
      </c>
      <c r="L142" s="2208"/>
      <c r="M142" s="2208" t="s">
        <v>99</v>
      </c>
      <c r="N142" s="2382" t="str">
        <f>IF(Z142="","",INDEX(TERRITORY_MR_LIST,MATCH(Z142,TERRITORY_LIST_ID,0)))</f>
        <v/>
      </c>
      <c r="O142" s="2297" t="s">
        <v>63</v>
      </c>
      <c r="P142" s="2208"/>
      <c r="Q142" s="2208" t="s">
        <v>99</v>
      </c>
      <c r="R142" s="2378" t="s">
        <v>17</v>
      </c>
      <c r="S142" s="2207" t="s">
        <v>63</v>
      </c>
      <c r="T142" s="1650"/>
      <c r="U142" s="1650" t="s">
        <v>99</v>
      </c>
      <c r="V142" s="1663" t="s">
        <v>17</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835" customFormat="1" customHeight="1" ht="17.25">
      <c r="A143" s="604"/>
      <c r="C143" s="603"/>
      <c r="D143" s="2384"/>
      <c r="E143" s="2245"/>
      <c r="F143" s="2248"/>
      <c r="G143" s="2250"/>
      <c r="H143" s="2384"/>
      <c r="I143" s="2384"/>
      <c r="J143" s="2385"/>
      <c r="K143" s="2298"/>
      <c r="L143" s="2208"/>
      <c r="M143" s="2208"/>
      <c r="N143" s="2382"/>
      <c r="O143" s="2298"/>
      <c r="P143" s="2208"/>
      <c r="Q143" s="2208"/>
      <c r="R143" s="2378"/>
      <c r="S143" s="2207"/>
      <c r="T143" s="600"/>
      <c r="U143" s="601"/>
      <c r="V143" s="601" t="s">
        <v>1437</v>
      </c>
      <c r="W143" s="602"/>
      <c r="Y143" s="1613"/>
      <c r="Z143" s="1613"/>
      <c r="AA143" s="1613"/>
      <c r="AB143" s="1613"/>
      <c r="AC143" s="1613"/>
      <c r="AD143" s="1613"/>
      <c r="AE143" s="1613"/>
      <c r="AF143" s="1613"/>
      <c r="AG143" s="1613"/>
      <c r="AH143" s="1613"/>
      <c r="AI143" s="1613"/>
      <c r="AJ143" s="1613"/>
      <c r="AK143" s="1613"/>
    </row>
    <row s="10835" customFormat="1" customHeight="1" ht="17.25">
      <c r="A144" s="604"/>
      <c r="C144" s="603"/>
      <c r="D144" s="2381"/>
      <c r="E144" s="2246"/>
      <c r="F144" s="2248"/>
      <c r="G144" s="2251"/>
      <c r="H144" s="2381"/>
      <c r="I144" s="2381"/>
      <c r="J144" s="2386"/>
      <c r="K144" s="2298"/>
      <c r="L144" s="2381"/>
      <c r="M144" s="2381"/>
      <c r="N144" s="2383"/>
      <c r="O144" s="2212"/>
      <c r="P144" s="600"/>
      <c r="Q144" s="601"/>
      <c r="R144" s="601" t="s">
        <v>1438</v>
      </c>
      <c r="S144" s="597"/>
      <c r="T144" s="597"/>
      <c r="U144" s="597"/>
      <c r="V144" s="597"/>
      <c r="W144" s="602"/>
      <c r="Y144" s="1613"/>
      <c r="Z144" s="1613"/>
      <c r="AA144" s="1613"/>
      <c r="AB144" s="1613"/>
      <c r="AC144" s="1613"/>
      <c r="AD144" s="1613"/>
      <c r="AE144" s="1613"/>
      <c r="AF144" s="1613"/>
      <c r="AG144" s="1613"/>
      <c r="AH144" s="1613"/>
      <c r="AI144" s="1613"/>
      <c r="AJ144" s="1613"/>
      <c r="AK144" s="1613"/>
    </row>
    <row s="10835" customFormat="1" customHeight="1" ht="17.25">
      <c r="A145" s="604"/>
      <c r="C145" s="603"/>
      <c r="D145" s="2381"/>
      <c r="E145" s="2246"/>
      <c r="F145" s="2248"/>
      <c r="G145" s="2251"/>
      <c r="H145" s="2381"/>
      <c r="I145" s="2381"/>
      <c r="J145" s="2386"/>
      <c r="K145" s="2212"/>
      <c r="L145" s="600"/>
      <c r="M145" s="601"/>
      <c r="N145" s="601" t="s">
        <v>1439</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835" customFormat="1" customHeight="1" ht="17.25">
      <c r="A146" s="604"/>
      <c r="C146" s="603"/>
      <c r="D146" s="2381"/>
      <c r="E146" s="2246"/>
      <c r="F146" s="2249"/>
      <c r="G146" s="2251"/>
      <c r="H146" s="600"/>
      <c r="I146" s="601"/>
      <c r="J146" s="601" t="s">
        <v>1440</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340" customFormat="1" customHeight="1" ht="17.25">
      <c r="G147" s="370"/>
      <c r="H147" s="370"/>
      <c r="I147" s="370"/>
      <c r="M147" s="1874"/>
    </row>
    <row s="10862" customFormat="1" customHeight="1" ht="17.25">
      <c r="A148" s="604"/>
      <c r="C148" s="482"/>
      <c r="D148" s="2151"/>
      <c r="E148" s="2152"/>
      <c r="F148" s="2135"/>
      <c r="G148" s="2153"/>
      <c r="H148" s="2384"/>
      <c r="I148" s="2384">
        <v>1</v>
      </c>
      <c r="J148" s="2385"/>
      <c r="K148" s="2297" t="s">
        <v>63</v>
      </c>
      <c r="L148" s="2208"/>
      <c r="M148" s="2208" t="s">
        <v>99</v>
      </c>
      <c r="N148" s="2382" t="str">
        <f>IF(Z148="","",INDEX(TERRITORY_MR_LIST,MATCH(Z148,TERRITORY_LIST_ID,0)))</f>
        <v/>
      </c>
      <c r="O148" s="2297" t="s">
        <v>63</v>
      </c>
      <c r="P148" s="2208"/>
      <c r="Q148" s="2208" t="s">
        <v>99</v>
      </c>
      <c r="R148" s="2378" t="s">
        <v>17</v>
      </c>
      <c r="S148" s="2207" t="s">
        <v>63</v>
      </c>
      <c r="T148" s="2141"/>
      <c r="U148" s="2141" t="s">
        <v>99</v>
      </c>
      <c r="V148" s="2140" t="s">
        <v>17</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0862" customFormat="1" customHeight="1" ht="17.25">
      <c r="A149" s="604"/>
      <c r="C149" s="603"/>
      <c r="D149" s="2151"/>
      <c r="E149" s="2152"/>
      <c r="F149" s="2135"/>
      <c r="G149" s="2153"/>
      <c r="H149" s="2384"/>
      <c r="I149" s="2384"/>
      <c r="J149" s="2385"/>
      <c r="K149" s="2298"/>
      <c r="L149" s="2208"/>
      <c r="M149" s="2208"/>
      <c r="N149" s="2382"/>
      <c r="O149" s="2298"/>
      <c r="P149" s="2208"/>
      <c r="Q149" s="2208"/>
      <c r="R149" s="2378"/>
      <c r="S149" s="2207"/>
      <c r="T149" s="600"/>
      <c r="U149" s="601"/>
      <c r="V149" s="601" t="s">
        <v>1437</v>
      </c>
      <c r="W149" s="602"/>
      <c r="Y149" s="1613"/>
      <c r="Z149" s="1613"/>
      <c r="AA149" s="1613"/>
      <c r="AB149" s="1613"/>
      <c r="AC149" s="1613"/>
      <c r="AD149" s="1613"/>
      <c r="AE149" s="1613"/>
      <c r="AF149" s="1613"/>
      <c r="AG149" s="1613"/>
      <c r="AH149" s="1613"/>
      <c r="AI149" s="1613"/>
      <c r="AJ149" s="1613"/>
      <c r="AK149" s="1613"/>
    </row>
    <row s="10862" customFormat="1" customHeight="1" ht="17.25">
      <c r="A150" s="604"/>
      <c r="C150" s="603"/>
      <c r="D150" s="2151"/>
      <c r="E150" s="2152"/>
      <c r="F150" s="2135"/>
      <c r="G150" s="2153"/>
      <c r="H150" s="2381"/>
      <c r="I150" s="2381"/>
      <c r="J150" s="2386"/>
      <c r="K150" s="2298"/>
      <c r="L150" s="2381"/>
      <c r="M150" s="2381"/>
      <c r="N150" s="2383"/>
      <c r="O150" s="2212"/>
      <c r="P150" s="600"/>
      <c r="Q150" s="601"/>
      <c r="R150" s="601" t="s">
        <v>1438</v>
      </c>
      <c r="S150" s="597"/>
      <c r="T150" s="597"/>
      <c r="U150" s="597"/>
      <c r="V150" s="597"/>
      <c r="W150" s="602"/>
      <c r="Y150" s="1613"/>
      <c r="Z150" s="1613"/>
      <c r="AA150" s="1613"/>
      <c r="AB150" s="1613"/>
      <c r="AC150" s="1613"/>
      <c r="AD150" s="1613"/>
      <c r="AE150" s="1613"/>
      <c r="AF150" s="1613"/>
      <c r="AG150" s="1613"/>
      <c r="AH150" s="1613"/>
      <c r="AI150" s="1613"/>
      <c r="AJ150" s="1613"/>
      <c r="AK150" s="1613"/>
    </row>
    <row s="10862" customFormat="1" customHeight="1" ht="17.25">
      <c r="A151" s="604"/>
      <c r="C151" s="603"/>
      <c r="D151" s="2151"/>
      <c r="E151" s="2152"/>
      <c r="F151" s="2135"/>
      <c r="G151" s="2153"/>
      <c r="H151" s="2381"/>
      <c r="I151" s="2381"/>
      <c r="J151" s="2386"/>
      <c r="K151" s="2212"/>
      <c r="L151" s="600"/>
      <c r="M151" s="601"/>
      <c r="N151" s="601" t="s">
        <v>1439</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340" customFormat="1" customHeight="1" ht="17.25">
      <c r="G152" s="370"/>
      <c r="H152" s="370"/>
      <c r="I152" s="370"/>
      <c r="M152" s="1874"/>
    </row>
    <row s="10862" customFormat="1" customHeight="1" ht="17.25">
      <c r="A153" s="604"/>
      <c r="C153" s="482"/>
      <c r="D153" s="2151"/>
      <c r="E153" s="2152"/>
      <c r="F153" s="2135"/>
      <c r="G153" s="2153"/>
      <c r="H153" s="2151"/>
      <c r="I153" s="2151"/>
      <c r="J153" s="2165"/>
      <c r="K153" s="2162"/>
      <c r="L153" s="2208"/>
      <c r="M153" s="2208" t="s">
        <v>99</v>
      </c>
      <c r="N153" s="2382" t="str">
        <f>IF(Z153="","",INDEX(TERRITORY_MR_LIST,MATCH(Z153,TERRITORY_LIST_ID,0)))</f>
        <v/>
      </c>
      <c r="O153" s="2297" t="s">
        <v>63</v>
      </c>
      <c r="P153" s="2208"/>
      <c r="Q153" s="2208" t="s">
        <v>99</v>
      </c>
      <c r="R153" s="2378" t="s">
        <v>17</v>
      </c>
      <c r="S153" s="2207" t="s">
        <v>63</v>
      </c>
      <c r="T153" s="2141"/>
      <c r="U153" s="2141" t="s">
        <v>99</v>
      </c>
      <c r="V153" s="2140" t="s">
        <v>17</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0862" customFormat="1" customHeight="1" ht="17.25">
      <c r="A154" s="604"/>
      <c r="C154" s="603"/>
      <c r="D154" s="2151"/>
      <c r="E154" s="2152"/>
      <c r="F154" s="2135"/>
      <c r="G154" s="2153"/>
      <c r="H154" s="2151"/>
      <c r="I154" s="2151"/>
      <c r="J154" s="2165"/>
      <c r="K154" s="2162"/>
      <c r="L154" s="2208"/>
      <c r="M154" s="2208"/>
      <c r="N154" s="2382"/>
      <c r="O154" s="2298"/>
      <c r="P154" s="2208"/>
      <c r="Q154" s="2208"/>
      <c r="R154" s="2378"/>
      <c r="S154" s="2207"/>
      <c r="T154" s="600"/>
      <c r="U154" s="601"/>
      <c r="V154" s="601" t="s">
        <v>1437</v>
      </c>
      <c r="W154" s="602"/>
      <c r="Y154" s="1613"/>
      <c r="Z154" s="1613"/>
      <c r="AA154" s="1613"/>
      <c r="AB154" s="1613"/>
      <c r="AC154" s="1613"/>
      <c r="AD154" s="1613"/>
      <c r="AE154" s="1613"/>
      <c r="AF154" s="1613"/>
      <c r="AG154" s="1613"/>
      <c r="AH154" s="1613"/>
      <c r="AI154" s="1613"/>
      <c r="AJ154" s="1613"/>
      <c r="AK154" s="1613"/>
    </row>
    <row s="10862" customFormat="1" customHeight="1" ht="17.25">
      <c r="A155" s="604"/>
      <c r="C155" s="603"/>
      <c r="D155" s="2151"/>
      <c r="E155" s="2152"/>
      <c r="F155" s="2135"/>
      <c r="G155" s="2153"/>
      <c r="H155" s="2151"/>
      <c r="I155" s="2151"/>
      <c r="J155" s="2165"/>
      <c r="K155" s="2162"/>
      <c r="L155" s="2381"/>
      <c r="M155" s="2381"/>
      <c r="N155" s="2383"/>
      <c r="O155" s="2212"/>
      <c r="P155" s="600"/>
      <c r="Q155" s="601"/>
      <c r="R155" s="601" t="s">
        <v>1438</v>
      </c>
      <c r="S155" s="597"/>
      <c r="T155" s="597"/>
      <c r="U155" s="597"/>
      <c r="V155" s="597"/>
      <c r="W155" s="602"/>
      <c r="Y155" s="1613"/>
      <c r="Z155" s="1613"/>
      <c r="AA155" s="1613"/>
      <c r="AB155" s="1613"/>
      <c r="AC155" s="1613"/>
      <c r="AD155" s="1613"/>
      <c r="AE155" s="1613"/>
      <c r="AF155" s="1613"/>
      <c r="AG155" s="1613"/>
      <c r="AH155" s="1613"/>
      <c r="AI155" s="1613"/>
      <c r="AJ155" s="1613"/>
      <c r="AK155" s="1613"/>
    </row>
    <row s="11340" customFormat="1" customHeight="1" ht="17.25">
      <c r="G156" s="370"/>
      <c r="H156" s="370"/>
      <c r="I156" s="370"/>
      <c r="M156" s="1874"/>
    </row>
    <row s="10862" customFormat="1" customHeight="1" ht="17.25">
      <c r="A157" s="604"/>
      <c r="C157" s="482"/>
      <c r="D157" s="2151"/>
      <c r="E157" s="2152"/>
      <c r="F157" s="2135"/>
      <c r="G157" s="2153"/>
      <c r="H157" s="2151"/>
      <c r="I157" s="2151"/>
      <c r="J157" s="2165"/>
      <c r="K157" s="2162"/>
      <c r="L157" s="2154"/>
      <c r="M157" s="2154"/>
      <c r="N157" s="2164"/>
      <c r="O157" s="2157"/>
      <c r="P157" s="2208"/>
      <c r="Q157" s="2208" t="s">
        <v>99</v>
      </c>
      <c r="R157" s="2378" t="s">
        <v>17</v>
      </c>
      <c r="S157" s="2207" t="s">
        <v>63</v>
      </c>
      <c r="T157" s="2141"/>
      <c r="U157" s="2141" t="s">
        <v>99</v>
      </c>
      <c r="V157" s="2140" t="s">
        <v>17</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0862" customFormat="1" customHeight="1" ht="17.25">
      <c r="A158" s="604"/>
      <c r="C158" s="603"/>
      <c r="D158" s="2151"/>
      <c r="E158" s="2152"/>
      <c r="F158" s="2135"/>
      <c r="G158" s="2153"/>
      <c r="H158" s="2151"/>
      <c r="I158" s="2151"/>
      <c r="J158" s="2165"/>
      <c r="K158" s="2162"/>
      <c r="L158" s="2154"/>
      <c r="M158" s="2154"/>
      <c r="N158" s="2164"/>
      <c r="O158" s="2157"/>
      <c r="P158" s="2208"/>
      <c r="Q158" s="2208"/>
      <c r="R158" s="2378"/>
      <c r="S158" s="2207"/>
      <c r="T158" s="600"/>
      <c r="U158" s="601"/>
      <c r="V158" s="601" t="s">
        <v>1437</v>
      </c>
      <c r="W158" s="602"/>
      <c r="Y158" s="1613"/>
      <c r="Z158" s="1613"/>
      <c r="AA158" s="1613"/>
      <c r="AB158" s="1613"/>
      <c r="AC158" s="1613"/>
      <c r="AD158" s="1613"/>
      <c r="AE158" s="1613"/>
      <c r="AF158" s="1613"/>
      <c r="AG158" s="1613"/>
      <c r="AH158" s="1613"/>
      <c r="AI158" s="1613"/>
      <c r="AJ158" s="1613"/>
      <c r="AK158" s="1613"/>
    </row>
    <row s="11340" customFormat="1" customHeight="1" ht="17.25">
      <c r="G159" s="370"/>
      <c r="H159" s="370"/>
      <c r="I159" s="370"/>
      <c r="M159" s="1874"/>
    </row>
    <row s="10862"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99</v>
      </c>
      <c r="V160" s="2128" t="s">
        <v>17</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340" customFormat="1" customHeight="1" ht="17.25"/>
    <row s="11341" customFormat="1" customHeight="1" ht="17.25">
      <c r="A162" s="349" t="s">
        <v>1441</v>
      </c>
    </row>
    <row s="11340" customFormat="1" customHeight="1" ht="17.25">
      <c r="G163" s="370"/>
      <c r="H163" s="370"/>
      <c r="I163" s="370"/>
      <c r="M163" s="1710"/>
    </row>
    <row s="10857" customFormat="1" customHeight="1" ht="17.25">
      <c r="A164" s="604"/>
      <c r="C164" s="482"/>
      <c r="D164" s="2384"/>
      <c r="E164" s="2245"/>
      <c r="F164" s="2247"/>
      <c r="G164" s="2250"/>
      <c r="H164" s="2384"/>
      <c r="I164" s="2384">
        <v>1</v>
      </c>
      <c r="J164" s="2385"/>
      <c r="K164" s="2297" t="s">
        <v>63</v>
      </c>
      <c r="L164" s="2208"/>
      <c r="M164" s="2208" t="s">
        <v>99</v>
      </c>
      <c r="N164" s="2382" t="str">
        <f>IF(Z164="","",INDEX(TERRITORY_MR_LIST,MATCH(Z164,TERRITORY_LIST_ID,0)))</f>
        <v/>
      </c>
      <c r="O164" s="2297" t="s">
        <v>63</v>
      </c>
      <c r="P164" s="2208"/>
      <c r="Q164" s="2208" t="s">
        <v>99</v>
      </c>
      <c r="R164" s="2378" t="s">
        <v>17</v>
      </c>
      <c r="S164" s="2379" t="s">
        <v>56</v>
      </c>
      <c r="T164" s="1764"/>
      <c r="U164" s="1764" t="s">
        <v>99</v>
      </c>
      <c r="V164" s="1796"/>
      <c r="W164" s="2380"/>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0857" customFormat="1" customHeight="1" ht="17.25">
      <c r="A165" s="604"/>
      <c r="C165" s="603"/>
      <c r="D165" s="2384"/>
      <c r="E165" s="2245"/>
      <c r="F165" s="2248"/>
      <c r="G165" s="2250"/>
      <c r="H165" s="2384"/>
      <c r="I165" s="2384"/>
      <c r="J165" s="2385"/>
      <c r="K165" s="2298"/>
      <c r="L165" s="2208"/>
      <c r="M165" s="2208"/>
      <c r="N165" s="2382"/>
      <c r="O165" s="2298"/>
      <c r="P165" s="2208"/>
      <c r="Q165" s="2208"/>
      <c r="R165" s="2378"/>
      <c r="S165" s="2379"/>
      <c r="T165" s="1797"/>
      <c r="U165" s="1798"/>
      <c r="V165" s="1798"/>
      <c r="W165" s="2380"/>
      <c r="Y165" s="1613"/>
      <c r="Z165" s="1613"/>
      <c r="AA165" s="1613"/>
      <c r="AB165" s="1613"/>
      <c r="AC165" s="1613"/>
      <c r="AD165" s="1613"/>
      <c r="AE165" s="1613"/>
      <c r="AF165" s="1613"/>
      <c r="AG165" s="1613"/>
      <c r="AH165" s="1613"/>
      <c r="AI165" s="1613"/>
      <c r="AJ165" s="1613"/>
      <c r="AK165" s="1613"/>
    </row>
    <row s="10857" customFormat="1" customHeight="1" ht="17.25">
      <c r="A166" s="604"/>
      <c r="C166" s="603"/>
      <c r="D166" s="2381"/>
      <c r="E166" s="2246"/>
      <c r="F166" s="2248"/>
      <c r="G166" s="2251"/>
      <c r="H166" s="2381"/>
      <c r="I166" s="2381"/>
      <c r="J166" s="2386"/>
      <c r="K166" s="2298"/>
      <c r="L166" s="2381"/>
      <c r="M166" s="2381"/>
      <c r="N166" s="2383"/>
      <c r="O166" s="2212"/>
      <c r="P166" s="600"/>
      <c r="Q166" s="601"/>
      <c r="R166" s="601" t="s">
        <v>1438</v>
      </c>
      <c r="S166" s="597"/>
      <c r="T166" s="597"/>
      <c r="U166" s="597"/>
      <c r="V166" s="597"/>
      <c r="W166" s="1795"/>
      <c r="Y166" s="1613"/>
      <c r="Z166" s="1613"/>
      <c r="AA166" s="1613"/>
      <c r="AB166" s="1613"/>
      <c r="AC166" s="1613"/>
      <c r="AD166" s="1613"/>
      <c r="AE166" s="1613"/>
      <c r="AF166" s="1613"/>
      <c r="AG166" s="1613"/>
      <c r="AH166" s="1613"/>
      <c r="AI166" s="1613"/>
      <c r="AJ166" s="1613"/>
      <c r="AK166" s="1613"/>
    </row>
    <row s="10857" customFormat="1" customHeight="1" ht="17.25">
      <c r="A167" s="604"/>
      <c r="C167" s="603"/>
      <c r="D167" s="2381"/>
      <c r="E167" s="2246"/>
      <c r="F167" s="2248"/>
      <c r="G167" s="2251"/>
      <c r="H167" s="2381"/>
      <c r="I167" s="2381"/>
      <c r="J167" s="2386"/>
      <c r="K167" s="2212"/>
      <c r="L167" s="600"/>
      <c r="M167" s="601"/>
      <c r="N167" s="601" t="s">
        <v>1439</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0857" customFormat="1" customHeight="1" ht="17.25">
      <c r="A168" s="604"/>
      <c r="C168" s="603"/>
      <c r="D168" s="2381"/>
      <c r="E168" s="2246"/>
      <c r="F168" s="2249"/>
      <c r="G168" s="2251"/>
      <c r="H168" s="600"/>
      <c r="I168" s="601"/>
      <c r="J168" s="601" t="s">
        <v>1440</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340" customFormat="1" customHeight="1" ht="17.25">
      <c r="A169" s="425"/>
    </row>
    <row s="10862" customFormat="1" customHeight="1" ht="17.25">
      <c r="A170" s="604"/>
      <c r="C170" s="482"/>
      <c r="D170" s="2151"/>
      <c r="E170" s="2152"/>
      <c r="F170" s="2135"/>
      <c r="G170" s="2153"/>
      <c r="H170" s="2384"/>
      <c r="I170" s="2384">
        <v>1</v>
      </c>
      <c r="J170" s="2385"/>
      <c r="K170" s="2297" t="s">
        <v>63</v>
      </c>
      <c r="L170" s="2208"/>
      <c r="M170" s="2208" t="s">
        <v>99</v>
      </c>
      <c r="N170" s="2382" t="str">
        <f>IF(Z170="","",INDEX(TERRITORY_MR_LIST,MATCH(Z170,TERRITORY_LIST_ID,0)))</f>
        <v/>
      </c>
      <c r="O170" s="2297" t="s">
        <v>63</v>
      </c>
      <c r="P170" s="2208"/>
      <c r="Q170" s="2208" t="s">
        <v>99</v>
      </c>
      <c r="R170" s="2378" t="s">
        <v>17</v>
      </c>
      <c r="S170" s="2379" t="s">
        <v>56</v>
      </c>
      <c r="T170" s="2137"/>
      <c r="U170" s="2137" t="s">
        <v>99</v>
      </c>
      <c r="V170" s="1796"/>
      <c r="W170" s="2380"/>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0862" customFormat="1" customHeight="1" ht="17.25">
      <c r="A171" s="604"/>
      <c r="C171" s="603"/>
      <c r="D171" s="2151"/>
      <c r="E171" s="2152"/>
      <c r="F171" s="2135"/>
      <c r="G171" s="2153"/>
      <c r="H171" s="2384"/>
      <c r="I171" s="2384"/>
      <c r="J171" s="2385"/>
      <c r="K171" s="2298"/>
      <c r="L171" s="2208"/>
      <c r="M171" s="2208"/>
      <c r="N171" s="2382"/>
      <c r="O171" s="2298"/>
      <c r="P171" s="2208"/>
      <c r="Q171" s="2208"/>
      <c r="R171" s="2378"/>
      <c r="S171" s="2379"/>
      <c r="T171" s="1797"/>
      <c r="U171" s="1798"/>
      <c r="V171" s="1798"/>
      <c r="W171" s="2380"/>
      <c r="Y171" s="1613"/>
      <c r="Z171" s="1613"/>
      <c r="AA171" s="1613"/>
      <c r="AB171" s="1613"/>
      <c r="AC171" s="1613"/>
      <c r="AD171" s="1613"/>
      <c r="AE171" s="1613"/>
      <c r="AF171" s="1613"/>
      <c r="AG171" s="1613"/>
      <c r="AH171" s="1613"/>
      <c r="AI171" s="1613"/>
      <c r="AJ171" s="1613"/>
      <c r="AK171" s="1613"/>
    </row>
    <row s="10862" customFormat="1" customHeight="1" ht="17.25">
      <c r="A172" s="604"/>
      <c r="C172" s="603"/>
      <c r="D172" s="2151"/>
      <c r="E172" s="2152"/>
      <c r="F172" s="2135"/>
      <c r="G172" s="2153"/>
      <c r="H172" s="2381"/>
      <c r="I172" s="2381"/>
      <c r="J172" s="2386"/>
      <c r="K172" s="2298"/>
      <c r="L172" s="2381"/>
      <c r="M172" s="2381"/>
      <c r="N172" s="2383"/>
      <c r="O172" s="2212"/>
      <c r="P172" s="600"/>
      <c r="Q172" s="601"/>
      <c r="R172" s="601" t="s">
        <v>1438</v>
      </c>
      <c r="S172" s="597"/>
      <c r="T172" s="597"/>
      <c r="U172" s="597"/>
      <c r="V172" s="597"/>
      <c r="W172" s="1795"/>
      <c r="Y172" s="1613"/>
      <c r="Z172" s="1613"/>
      <c r="AA172" s="1613"/>
      <c r="AB172" s="1613"/>
      <c r="AC172" s="1613"/>
      <c r="AD172" s="1613"/>
      <c r="AE172" s="1613"/>
      <c r="AF172" s="1613"/>
      <c r="AG172" s="1613"/>
      <c r="AH172" s="1613"/>
      <c r="AI172" s="1613"/>
      <c r="AJ172" s="1613"/>
      <c r="AK172" s="1613"/>
    </row>
    <row s="10862" customFormat="1" customHeight="1" ht="17.25">
      <c r="A173" s="604"/>
      <c r="C173" s="603"/>
      <c r="D173" s="2151"/>
      <c r="E173" s="2152"/>
      <c r="F173" s="2135"/>
      <c r="G173" s="2153"/>
      <c r="H173" s="2381"/>
      <c r="I173" s="2381"/>
      <c r="J173" s="2386"/>
      <c r="K173" s="2212"/>
      <c r="L173" s="600"/>
      <c r="M173" s="601"/>
      <c r="N173" s="601" t="s">
        <v>1439</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0862" customFormat="1" customHeight="1" ht="17.25">
      <c r="A175" s="604"/>
      <c r="C175" s="482"/>
      <c r="D175" s="2151"/>
      <c r="E175" s="2152"/>
      <c r="F175" s="2135"/>
      <c r="G175" s="2153"/>
      <c r="H175" s="2151"/>
      <c r="I175" s="2151"/>
      <c r="J175" s="2163"/>
      <c r="K175" s="2153"/>
      <c r="L175" s="2208"/>
      <c r="M175" s="2208" t="s">
        <v>99</v>
      </c>
      <c r="N175" s="2382" t="str">
        <f>IF(Z175="","",INDEX(TERRITORY_MR_LIST,MATCH(Z175,TERRITORY_LIST_ID,0)))</f>
        <v/>
      </c>
      <c r="O175" s="2297" t="s">
        <v>63</v>
      </c>
      <c r="P175" s="2208"/>
      <c r="Q175" s="2208" t="s">
        <v>99</v>
      </c>
      <c r="R175" s="2378" t="s">
        <v>17</v>
      </c>
      <c r="S175" s="2379" t="s">
        <v>56</v>
      </c>
      <c r="T175" s="2137"/>
      <c r="U175" s="2137" t="s">
        <v>99</v>
      </c>
      <c r="V175" s="1796"/>
      <c r="W175" s="2380"/>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0862" customFormat="1" customHeight="1" ht="17.25">
      <c r="A176" s="604"/>
      <c r="C176" s="603"/>
      <c r="D176" s="2151"/>
      <c r="E176" s="2152"/>
      <c r="F176" s="2135"/>
      <c r="G176" s="2153"/>
      <c r="H176" s="2151"/>
      <c r="I176" s="2151"/>
      <c r="J176" s="2163"/>
      <c r="K176" s="2153"/>
      <c r="L176" s="2208"/>
      <c r="M176" s="2208"/>
      <c r="N176" s="2382"/>
      <c r="O176" s="2298"/>
      <c r="P176" s="2208"/>
      <c r="Q176" s="2208"/>
      <c r="R176" s="2378"/>
      <c r="S176" s="2379"/>
      <c r="T176" s="1797"/>
      <c r="U176" s="1798"/>
      <c r="V176" s="1798"/>
      <c r="W176" s="2380"/>
      <c r="Y176" s="1613"/>
      <c r="Z176" s="1613"/>
      <c r="AA176" s="1613"/>
      <c r="AB176" s="1613"/>
      <c r="AC176" s="1613"/>
      <c r="AD176" s="1613"/>
      <c r="AE176" s="1613"/>
      <c r="AF176" s="1613"/>
      <c r="AG176" s="1613"/>
      <c r="AH176" s="1613"/>
      <c r="AI176" s="1613"/>
      <c r="AJ176" s="1613"/>
      <c r="AK176" s="1613"/>
    </row>
    <row s="10862" customFormat="1" customHeight="1" ht="17.25">
      <c r="A177" s="604"/>
      <c r="C177" s="603"/>
      <c r="D177" s="2151"/>
      <c r="E177" s="2152"/>
      <c r="F177" s="2135"/>
      <c r="G177" s="2153"/>
      <c r="H177" s="2151"/>
      <c r="I177" s="2151"/>
      <c r="J177" s="2163"/>
      <c r="K177" s="2153"/>
      <c r="L177" s="2381"/>
      <c r="M177" s="2381"/>
      <c r="N177" s="2383"/>
      <c r="O177" s="2212"/>
      <c r="P177" s="600"/>
      <c r="Q177" s="601"/>
      <c r="R177" s="601" t="s">
        <v>1438</v>
      </c>
      <c r="S177" s="597"/>
      <c r="T177" s="597"/>
      <c r="U177" s="597"/>
      <c r="V177" s="597"/>
      <c r="W177" s="1795"/>
      <c r="Y177" s="1613"/>
      <c r="Z177" s="1613"/>
      <c r="AA177" s="1613"/>
      <c r="AB177" s="1613"/>
      <c r="AC177" s="1613"/>
      <c r="AD177" s="1613"/>
      <c r="AE177" s="1613"/>
      <c r="AF177" s="1613"/>
      <c r="AG177" s="1613"/>
      <c r="AH177" s="1613"/>
      <c r="AI177" s="1613"/>
      <c r="AJ177" s="1613"/>
      <c r="AK177" s="1613"/>
    </row>
    <row s="11340" customFormat="1" customHeight="1" ht="17.25">
      <c r="A178" s="425"/>
    </row>
    <row s="10862" customFormat="1" customHeight="1" ht="17.25">
      <c r="A179" s="604"/>
      <c r="C179" s="482"/>
      <c r="D179" s="2151"/>
      <c r="E179" s="2152"/>
      <c r="F179" s="2135"/>
      <c r="G179" s="2153"/>
      <c r="H179" s="2151"/>
      <c r="I179" s="2151"/>
      <c r="J179" s="2163"/>
      <c r="K179" s="2153"/>
      <c r="L179" s="2151"/>
      <c r="M179" s="2151"/>
      <c r="N179" s="2164"/>
      <c r="O179" s="2136"/>
      <c r="P179" s="2208"/>
      <c r="Q179" s="2208" t="s">
        <v>99</v>
      </c>
      <c r="R179" s="2378" t="s">
        <v>17</v>
      </c>
      <c r="S179" s="2379" t="s">
        <v>56</v>
      </c>
      <c r="T179" s="2137"/>
      <c r="U179" s="2137" t="s">
        <v>99</v>
      </c>
      <c r="V179" s="1796"/>
      <c r="W179" s="2380"/>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0862" customFormat="1" customHeight="1" ht="17.25">
      <c r="A180" s="604"/>
      <c r="C180" s="603"/>
      <c r="D180" s="2151"/>
      <c r="E180" s="2152"/>
      <c r="F180" s="2135"/>
      <c r="G180" s="2153"/>
      <c r="H180" s="2151"/>
      <c r="I180" s="2151"/>
      <c r="J180" s="2163"/>
      <c r="K180" s="2153"/>
      <c r="L180" s="2151"/>
      <c r="M180" s="2151"/>
      <c r="N180" s="2164"/>
      <c r="O180" s="2136"/>
      <c r="P180" s="2208"/>
      <c r="Q180" s="2208"/>
      <c r="R180" s="2378"/>
      <c r="S180" s="2379"/>
      <c r="T180" s="1797"/>
      <c r="U180" s="1798"/>
      <c r="V180" s="1798"/>
      <c r="W180" s="2380"/>
      <c r="Y180" s="1613"/>
      <c r="Z180" s="1613"/>
      <c r="AA180" s="1613"/>
      <c r="AB180" s="1613"/>
      <c r="AC180" s="1613"/>
      <c r="AD180" s="1613"/>
      <c r="AE180" s="1613"/>
      <c r="AF180" s="1613"/>
      <c r="AG180" s="1613"/>
      <c r="AH180" s="1613"/>
      <c r="AI180" s="1613"/>
      <c r="AJ180" s="1613"/>
      <c r="AK180" s="1613"/>
    </row>
    <row s="11340" customFormat="1" customHeight="1" ht="17.25">
      <c r="A181" s="425"/>
    </row>
    <row customHeight="1" ht="16.5">
      <c r="A182" s="424"/>
      <c r="B182" s="374"/>
      <c r="C182" s="403"/>
      <c r="D182" s="2436"/>
      <c r="E182" s="2295"/>
      <c r="F182" s="2288"/>
      <c r="G182" s="2437"/>
      <c r="H182" s="2252"/>
      <c r="I182" s="2254"/>
      <c r="J182" s="2256"/>
      <c r="K182" s="2240"/>
      <c r="L182" s="2235"/>
      <c r="M182" s="2235"/>
      <c r="N182" s="2237"/>
      <c r="O182" s="2240"/>
      <c r="P182" s="2235"/>
      <c r="Q182" s="2235"/>
      <c r="R182" s="2242"/>
      <c r="S182" s="2240"/>
      <c r="T182" s="1652"/>
      <c r="U182" s="1652"/>
      <c r="V182" s="1653"/>
      <c r="W182" s="1654"/>
    </row>
    <row s="11654" customFormat="1" customHeight="1" ht="16.5">
      <c r="A183" s="604"/>
      <c r="B183" s="599"/>
      <c r="C183" s="603"/>
      <c r="D183" s="2436"/>
      <c r="E183" s="2295"/>
      <c r="F183" s="2288"/>
      <c r="G183" s="2437"/>
      <c r="H183" s="2253"/>
      <c r="I183" s="2255"/>
      <c r="J183" s="2257"/>
      <c r="K183" s="2241"/>
      <c r="L183" s="2236"/>
      <c r="M183" s="2236"/>
      <c r="N183" s="2238"/>
      <c r="O183" s="2241"/>
      <c r="P183" s="2236"/>
      <c r="Q183" s="2236"/>
      <c r="R183" s="2239"/>
      <c r="S183" s="2241"/>
      <c r="T183" s="1655"/>
      <c r="U183" s="1655"/>
      <c r="V183" s="1655"/>
      <c r="W183" s="1656"/>
    </row>
    <row customHeight="1" ht="17.25">
      <c r="A184" s="424"/>
      <c r="B184" s="374"/>
      <c r="C184" s="403"/>
      <c r="D184" s="2436"/>
      <c r="E184" s="2295"/>
      <c r="F184" s="2288"/>
      <c r="G184" s="2437"/>
      <c r="H184" s="2253"/>
      <c r="I184" s="2255"/>
      <c r="J184" s="2258"/>
      <c r="K184" s="2241"/>
      <c r="L184" s="2236"/>
      <c r="M184" s="2236"/>
      <c r="N184" s="2239"/>
      <c r="O184" s="2241"/>
      <c r="P184" s="1657"/>
      <c r="Q184" s="1655"/>
      <c r="R184" s="1655"/>
      <c r="S184" s="615"/>
      <c r="T184" s="615"/>
      <c r="U184" s="615"/>
      <c r="V184" s="615"/>
      <c r="W184" s="1656"/>
    </row>
    <row customHeight="1" ht="17.25">
      <c r="A185" s="424"/>
      <c r="B185" s="374"/>
      <c r="C185" s="403"/>
      <c r="D185" s="2436"/>
      <c r="E185" s="2295"/>
      <c r="F185" s="2288"/>
      <c r="G185" s="2437"/>
      <c r="H185" s="2253"/>
      <c r="I185" s="2255"/>
      <c r="J185" s="2258"/>
      <c r="K185" s="2241"/>
      <c r="L185" s="1655"/>
      <c r="M185" s="1655"/>
      <c r="N185" s="1655"/>
      <c r="O185" s="1655"/>
      <c r="P185" s="1655"/>
      <c r="Q185" s="1655"/>
      <c r="R185" s="1655"/>
      <c r="S185" s="615"/>
      <c r="T185" s="615"/>
      <c r="U185" s="615"/>
      <c r="V185" s="615"/>
      <c r="W185" s="1656"/>
    </row>
    <row customHeight="1" ht="17.25">
      <c r="A186" s="424"/>
      <c r="B186" s="374"/>
      <c r="C186" s="403"/>
      <c r="D186" s="2436"/>
      <c r="E186" s="2295"/>
      <c r="F186" s="2288"/>
      <c r="G186" s="2437"/>
      <c r="H186" s="1658"/>
      <c r="I186" s="1659"/>
      <c r="J186" s="1659"/>
      <c r="K186" s="1659"/>
      <c r="L186" s="1659"/>
      <c r="M186" s="1659"/>
      <c r="N186" s="1659"/>
      <c r="O186" s="1659"/>
      <c r="P186" s="1659"/>
      <c r="Q186" s="1659"/>
      <c r="R186" s="1659"/>
      <c r="S186" s="1660"/>
      <c r="T186" s="1660"/>
      <c r="U186" s="1660"/>
      <c r="V186" s="1660"/>
      <c r="W186" s="1661"/>
    </row>
    <row s="11340" customFormat="1" customHeight="1" ht="17.25"/>
    <row s="11341" customFormat="1" customHeight="1" ht="17.25">
      <c r="A188" s="349" t="s">
        <v>1442</v>
      </c>
    </row>
    <row s="11340" customFormat="1" customHeight="1" ht="17.25">
      <c r="G189" s="370"/>
      <c r="H189" s="370"/>
      <c r="I189" s="370"/>
      <c r="M189" s="1874"/>
    </row>
    <row s="10950" customFormat="1" customHeight="1" ht="14.25">
      <c r="D190" s="2407"/>
      <c r="E190" s="2408"/>
      <c r="F190" s="2409"/>
      <c r="G190" s="2297"/>
      <c r="H190" s="1940"/>
      <c r="I190" s="2416">
        <v>1</v>
      </c>
      <c r="J190" s="2385"/>
      <c r="K190" s="1956"/>
      <c r="L190" s="2297" t="s">
        <v>63</v>
      </c>
      <c r="M190" s="2297" t="s">
        <v>63</v>
      </c>
      <c r="N190" s="1940"/>
      <c r="O190" s="2208" t="s">
        <v>99</v>
      </c>
      <c r="P190" s="2405"/>
      <c r="Q190" s="1957"/>
      <c r="R190" s="2410" t="s">
        <v>63</v>
      </c>
      <c r="S190" s="2410" t="s">
        <v>63</v>
      </c>
      <c r="T190" s="1941"/>
      <c r="U190" s="2208" t="s">
        <v>99</v>
      </c>
      <c r="V190" s="2412" t="str">
        <f>IF(AK190="","",INDEX(TERRITORY_MR_LIST,MATCH(AK190,TERRITORY_LIST_ID,0)))</f>
        <v/>
      </c>
      <c r="W190" s="1958"/>
      <c r="X190" s="2297" t="s">
        <v>63</v>
      </c>
      <c r="Y190" s="2297" t="s">
        <v>56</v>
      </c>
      <c r="Z190" s="1940"/>
      <c r="AA190" s="2208" t="s">
        <v>99</v>
      </c>
      <c r="AB190" s="2414"/>
      <c r="AC190" s="1959"/>
      <c r="AD190" s="2297" t="s">
        <v>63</v>
      </c>
      <c r="AE190" s="2297" t="s">
        <v>56</v>
      </c>
      <c r="AF190" s="1938"/>
      <c r="AG190" s="1878" t="s">
        <v>99</v>
      </c>
      <c r="AH190" s="1949"/>
      <c r="AI190" s="1879"/>
      <c r="BK190" s="724"/>
    </row>
    <row s="10950" customFormat="1" customHeight="1" ht="14.25">
      <c r="D191" s="2407"/>
      <c r="E191" s="2408"/>
      <c r="F191" s="2409"/>
      <c r="G191" s="2298"/>
      <c r="H191" s="1940"/>
      <c r="I191" s="2416"/>
      <c r="J191" s="2385"/>
      <c r="K191" s="1939"/>
      <c r="L191" s="2298"/>
      <c r="M191" s="2298"/>
      <c r="N191" s="1940"/>
      <c r="O191" s="2208"/>
      <c r="P191" s="2405"/>
      <c r="Q191" s="1936"/>
      <c r="R191" s="2411"/>
      <c r="S191" s="2411"/>
      <c r="T191" s="1941"/>
      <c r="U191" s="2208"/>
      <c r="V191" s="2413"/>
      <c r="W191" s="1937"/>
      <c r="X191" s="2298"/>
      <c r="Y191" s="2298"/>
      <c r="Z191" s="1940"/>
      <c r="AA191" s="2208"/>
      <c r="AB191" s="2415"/>
      <c r="AC191" s="1942"/>
      <c r="AD191" s="2212"/>
      <c r="AE191" s="2212"/>
      <c r="AF191" s="1943"/>
      <c r="AG191" s="1944"/>
      <c r="AH191" s="2401" t="s">
        <v>1443</v>
      </c>
      <c r="AI191" s="2402"/>
      <c r="BK191" s="724"/>
    </row>
    <row s="10950" customFormat="1" customHeight="1" ht="14.25">
      <c r="D192" s="2407"/>
      <c r="E192" s="2408"/>
      <c r="F192" s="2409"/>
      <c r="G192" s="2298"/>
      <c r="H192" s="1940"/>
      <c r="I192" s="2416"/>
      <c r="J192" s="2385"/>
      <c r="K192" s="1939"/>
      <c r="L192" s="2298"/>
      <c r="M192" s="2298"/>
      <c r="N192" s="1940"/>
      <c r="O192" s="2208"/>
      <c r="P192" s="2405"/>
      <c r="Q192" s="1936"/>
      <c r="R192" s="2411"/>
      <c r="S192" s="2411"/>
      <c r="T192" s="1941"/>
      <c r="U192" s="2208"/>
      <c r="V192" s="2413"/>
      <c r="W192" s="1937"/>
      <c r="X192" s="2298"/>
      <c r="Y192" s="2298"/>
      <c r="Z192" s="1981"/>
      <c r="AA192" s="1946"/>
      <c r="AB192" s="2403" t="s">
        <v>1444</v>
      </c>
      <c r="AC192" s="2403"/>
      <c r="AD192" s="2403"/>
      <c r="AE192" s="2403"/>
      <c r="AF192" s="2403"/>
      <c r="AG192" s="2403"/>
      <c r="AH192" s="2403"/>
      <c r="AI192" s="2404"/>
      <c r="BK192" s="724"/>
    </row>
    <row s="10950" customFormat="1" customHeight="1" ht="14.25">
      <c r="D193" s="2407"/>
      <c r="E193" s="2408"/>
      <c r="F193" s="2409"/>
      <c r="G193" s="2298"/>
      <c r="H193" s="1940"/>
      <c r="I193" s="2416"/>
      <c r="J193" s="2385"/>
      <c r="K193" s="1939"/>
      <c r="L193" s="2298"/>
      <c r="M193" s="2298"/>
      <c r="N193" s="1940"/>
      <c r="O193" s="2208"/>
      <c r="P193" s="2406"/>
      <c r="Q193" s="1936"/>
      <c r="R193" s="2411"/>
      <c r="S193" s="2411"/>
      <c r="T193" s="1980"/>
      <c r="U193" s="1982"/>
      <c r="V193" s="2401" t="s">
        <v>103</v>
      </c>
      <c r="W193" s="2401"/>
      <c r="X193" s="2401"/>
      <c r="Y193" s="2401"/>
      <c r="Z193" s="2401"/>
      <c r="AA193" s="2401"/>
      <c r="AB193" s="2401"/>
      <c r="AC193" s="2401"/>
      <c r="AD193" s="2401"/>
      <c r="AE193" s="2401"/>
      <c r="AF193" s="2401"/>
      <c r="AG193" s="2401"/>
      <c r="AH193" s="2401"/>
      <c r="AI193" s="2402"/>
      <c r="BK193" s="724"/>
    </row>
    <row s="10950" customFormat="1" customHeight="1" ht="11.25">
      <c r="D194" s="2407"/>
      <c r="E194" s="2408"/>
      <c r="F194" s="2409"/>
      <c r="G194" s="2298"/>
      <c r="H194" s="1945"/>
      <c r="I194" s="2416"/>
      <c r="J194" s="2417"/>
      <c r="K194" s="1939"/>
      <c r="L194" s="2298"/>
      <c r="M194" s="2298"/>
      <c r="N194" s="1945"/>
      <c r="O194" s="1946"/>
      <c r="P194" s="2401" t="s">
        <v>1445</v>
      </c>
      <c r="Q194" s="2401"/>
      <c r="R194" s="2401"/>
      <c r="S194" s="2401"/>
      <c r="T194" s="2401"/>
      <c r="U194" s="2401"/>
      <c r="V194" s="2401"/>
      <c r="W194" s="2401"/>
      <c r="X194" s="2401"/>
      <c r="Y194" s="2401"/>
      <c r="Z194" s="2401"/>
      <c r="AA194" s="2401"/>
      <c r="AB194" s="2401"/>
      <c r="AC194" s="2401"/>
      <c r="AD194" s="2401"/>
      <c r="AE194" s="2401"/>
      <c r="AF194" s="2401"/>
      <c r="AG194" s="2401"/>
      <c r="AH194" s="2401"/>
      <c r="AI194" s="2402"/>
      <c r="BK194" s="724"/>
    </row>
    <row s="10872" customFormat="1" customHeight="1" ht="11.25">
      <c r="D195" s="2407"/>
      <c r="E195" s="2408"/>
      <c r="F195" s="2409"/>
      <c r="G195" s="2212"/>
      <c r="H195" s="1947"/>
      <c r="I195" s="1948"/>
      <c r="J195" s="2401" t="s">
        <v>1440</v>
      </c>
      <c r="K195" s="2401"/>
      <c r="L195" s="2401"/>
      <c r="M195" s="2401"/>
      <c r="N195" s="2401"/>
      <c r="O195" s="2401"/>
      <c r="P195" s="2401"/>
      <c r="Q195" s="2401"/>
      <c r="R195" s="2401"/>
      <c r="S195" s="2401"/>
      <c r="T195" s="2401"/>
      <c r="U195" s="2401"/>
      <c r="V195" s="2401"/>
      <c r="W195" s="2401"/>
      <c r="X195" s="2401"/>
      <c r="Y195" s="2401"/>
      <c r="Z195" s="2401"/>
      <c r="AA195" s="2401"/>
      <c r="AB195" s="2401"/>
      <c r="AC195" s="2401"/>
      <c r="AD195" s="2401"/>
      <c r="AE195" s="2401"/>
      <c r="AF195" s="2401"/>
      <c r="AG195" s="2401"/>
      <c r="AH195" s="2401"/>
      <c r="AI195" s="2402"/>
      <c r="BK195" s="1951"/>
    </row>
    <row s="11340" customFormat="1" customHeight="1" ht="17.25">
      <c r="G196" s="370"/>
      <c r="I196" s="370"/>
      <c r="J196" s="370"/>
      <c r="N196" s="1874"/>
    </row>
    <row s="10950" customFormat="1" customHeight="1" ht="14.25">
      <c r="D197" s="2407"/>
      <c r="E197" s="2408"/>
      <c r="F197" s="2409"/>
      <c r="G197" s="2288"/>
      <c r="H197" s="1976"/>
      <c r="I197" s="2290"/>
      <c r="J197" s="2256"/>
      <c r="K197" s="1877"/>
      <c r="L197" s="2240"/>
      <c r="M197" s="2240"/>
      <c r="N197" s="1961"/>
      <c r="O197" s="2235"/>
      <c r="P197" s="2292"/>
      <c r="Q197" s="1962"/>
      <c r="R197" s="2235"/>
      <c r="S197" s="2235"/>
      <c r="T197" s="1963"/>
      <c r="U197" s="2235"/>
      <c r="V197" s="2286"/>
      <c r="W197" s="1964"/>
      <c r="X197" s="2240"/>
      <c r="Y197" s="2240"/>
      <c r="Z197" s="1961"/>
      <c r="AA197" s="2235"/>
      <c r="AB197" s="2286"/>
      <c r="AC197" s="1965"/>
      <c r="AD197" s="2240"/>
      <c r="AE197" s="2240"/>
      <c r="AF197" s="1876"/>
      <c r="AG197" s="1876"/>
      <c r="AH197" s="1966"/>
      <c r="AI197" s="1654"/>
      <c r="BK197" s="724"/>
    </row>
    <row s="10950" customFormat="1" customHeight="1" ht="14.25">
      <c r="D198" s="2407"/>
      <c r="E198" s="2408"/>
      <c r="F198" s="2409"/>
      <c r="G198" s="2288"/>
      <c r="H198" s="1977"/>
      <c r="I198" s="2291"/>
      <c r="J198" s="2257"/>
      <c r="K198" s="1960"/>
      <c r="L198" s="2241"/>
      <c r="M198" s="2241"/>
      <c r="N198" s="1967"/>
      <c r="O198" s="2236"/>
      <c r="P198" s="2293"/>
      <c r="Q198" s="1968"/>
      <c r="R198" s="2236"/>
      <c r="S198" s="2236"/>
      <c r="T198" s="1969"/>
      <c r="U198" s="2236"/>
      <c r="V198" s="2287"/>
      <c r="W198" s="1970"/>
      <c r="X198" s="2241"/>
      <c r="Y198" s="2241"/>
      <c r="Z198" s="1967"/>
      <c r="AA198" s="2236"/>
      <c r="AB198" s="2287"/>
      <c r="AC198" s="1971"/>
      <c r="AD198" s="2241"/>
      <c r="AE198" s="2241"/>
      <c r="AF198" s="1972"/>
      <c r="AG198" s="1972"/>
      <c r="AH198" s="2284"/>
      <c r="AI198" s="2285"/>
      <c r="BK198" s="724"/>
    </row>
    <row s="10950" customFormat="1" customHeight="1" ht="14.25">
      <c r="D199" s="2407"/>
      <c r="E199" s="2408"/>
      <c r="F199" s="2409"/>
      <c r="G199" s="2288"/>
      <c r="H199" s="1977"/>
      <c r="I199" s="2291"/>
      <c r="J199" s="2257"/>
      <c r="K199" s="1960"/>
      <c r="L199" s="2241"/>
      <c r="M199" s="2241"/>
      <c r="N199" s="1967"/>
      <c r="O199" s="2236"/>
      <c r="P199" s="2293"/>
      <c r="Q199" s="1968"/>
      <c r="R199" s="2236"/>
      <c r="S199" s="2236"/>
      <c r="T199" s="1969"/>
      <c r="U199" s="2236"/>
      <c r="V199" s="2287"/>
      <c r="W199" s="1970"/>
      <c r="X199" s="2241"/>
      <c r="Y199" s="2241"/>
      <c r="Z199" s="1875"/>
      <c r="AA199" s="1972"/>
      <c r="AB199" s="2284"/>
      <c r="AC199" s="2284"/>
      <c r="AD199" s="2284"/>
      <c r="AE199" s="2284"/>
      <c r="AF199" s="2284"/>
      <c r="AG199" s="2284"/>
      <c r="AH199" s="2284"/>
      <c r="AI199" s="2285"/>
      <c r="BK199" s="724"/>
    </row>
    <row s="10950" customFormat="1" customHeight="1" ht="14.25">
      <c r="D200" s="2407"/>
      <c r="E200" s="2408"/>
      <c r="F200" s="2409"/>
      <c r="G200" s="2288"/>
      <c r="H200" s="1977"/>
      <c r="I200" s="2291"/>
      <c r="J200" s="2257"/>
      <c r="K200" s="1960"/>
      <c r="L200" s="2241"/>
      <c r="M200" s="2241"/>
      <c r="N200" s="1967"/>
      <c r="O200" s="2236"/>
      <c r="P200" s="2293"/>
      <c r="Q200" s="1968"/>
      <c r="R200" s="2236"/>
      <c r="S200" s="2236"/>
      <c r="T200" s="1973"/>
      <c r="U200" s="1974"/>
      <c r="V200" s="2284"/>
      <c r="W200" s="2284"/>
      <c r="X200" s="2284"/>
      <c r="Y200" s="2284"/>
      <c r="Z200" s="2284"/>
      <c r="AA200" s="2284"/>
      <c r="AB200" s="2284"/>
      <c r="AC200" s="2284"/>
      <c r="AD200" s="2284"/>
      <c r="AE200" s="2284"/>
      <c r="AF200" s="2284"/>
      <c r="AG200" s="2284"/>
      <c r="AH200" s="2284"/>
      <c r="AI200" s="2285"/>
      <c r="BK200" s="724"/>
    </row>
    <row s="10950" customFormat="1" customHeight="1" ht="11.25">
      <c r="D201" s="2407"/>
      <c r="E201" s="2408"/>
      <c r="F201" s="2409"/>
      <c r="G201" s="2288"/>
      <c r="H201" s="1978"/>
      <c r="I201" s="2291"/>
      <c r="J201" s="2257"/>
      <c r="K201" s="1960"/>
      <c r="L201" s="2241"/>
      <c r="M201" s="2241"/>
      <c r="N201" s="1972"/>
      <c r="O201" s="1972"/>
      <c r="P201" s="2284"/>
      <c r="Q201" s="2284"/>
      <c r="R201" s="2284"/>
      <c r="S201" s="2284"/>
      <c r="T201" s="2284"/>
      <c r="U201" s="2284"/>
      <c r="V201" s="2284"/>
      <c r="W201" s="2284"/>
      <c r="X201" s="2284"/>
      <c r="Y201" s="2284"/>
      <c r="Z201" s="2284"/>
      <c r="AA201" s="2284"/>
      <c r="AB201" s="2284"/>
      <c r="AC201" s="2284"/>
      <c r="AD201" s="2284"/>
      <c r="AE201" s="2284"/>
      <c r="AF201" s="2284"/>
      <c r="AG201" s="2284"/>
      <c r="AH201" s="2284"/>
      <c r="AI201" s="2285"/>
      <c r="BK201" s="724"/>
    </row>
    <row s="10872" customFormat="1" customHeight="1" ht="11.25">
      <c r="D202" s="2407"/>
      <c r="E202" s="2408"/>
      <c r="F202" s="2409"/>
      <c r="G202" s="2296"/>
      <c r="H202" s="1975"/>
      <c r="I202" s="1979"/>
      <c r="J202" s="2299"/>
      <c r="K202" s="2299"/>
      <c r="L202" s="2299"/>
      <c r="M202" s="2299"/>
      <c r="N202" s="2299"/>
      <c r="O202" s="2299"/>
      <c r="P202" s="2299"/>
      <c r="Q202" s="2299"/>
      <c r="R202" s="2299"/>
      <c r="S202" s="2299"/>
      <c r="T202" s="2299"/>
      <c r="U202" s="2299"/>
      <c r="V202" s="2299"/>
      <c r="W202" s="2299"/>
      <c r="X202" s="2299"/>
      <c r="Y202" s="2299"/>
      <c r="Z202" s="2299"/>
      <c r="AA202" s="2299"/>
      <c r="AB202" s="2299"/>
      <c r="AC202" s="2299"/>
      <c r="AD202" s="2299"/>
      <c r="AE202" s="2299"/>
      <c r="AF202" s="2299"/>
      <c r="AG202" s="2299"/>
      <c r="AH202" s="2299"/>
      <c r="AI202" s="2300"/>
      <c r="BK202" s="1951"/>
    </row>
    <row customHeight="1" ht="17.25">
      <c r="A203" s="42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C2FE-99D2-138F-D94C-EB49E513DB9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753" width="9.140625" hidden="1" customWidth="1"/>
    <col min="2" max="2" style="11754" width="9.140625" hidden="1" customWidth="1"/>
    <col min="3" max="3" style="11755" width="3.7109375" customWidth="1"/>
    <col min="4" max="4" style="10659" width="6.28125" customWidth="1"/>
    <col min="5" max="6" style="10659" width="64.140625" customWidth="1"/>
    <col min="7" max="7" style="10659" width="141.140625" customWidth="1"/>
    <col min="8" max="8" style="10659" width="10.57421875"/>
    <col min="9" max="10" style="10660" width="10.57421875"/>
    <col min="11" max="16" style="10659"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7"/>
      <c r="F5" s="2467"/>
      <c r="G5" s="2468"/>
    </row>
    <row s="10656" customFormat="1" customHeight="1" ht="18">
      <c r="A6" s="1196"/>
      <c r="B6" s="718"/>
      <c r="C6" s="667"/>
      <c r="D6"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0"/>
      <c r="F6" s="2470"/>
      <c r="G6" s="2471"/>
      <c r="I6" s="802"/>
      <c r="J6" s="802"/>
    </row>
    <row customHeight="1" ht="14.25">
      <c r="C7" s="365"/>
      <c r="D7" s="351"/>
      <c r="E7" s="364"/>
      <c r="F7" s="1056"/>
      <c r="G7" s="465"/>
    </row>
    <row s="11422" customFormat="1" customHeight="1" ht="0.75">
      <c r="A8" s="2047"/>
      <c r="B8" s="1486"/>
      <c r="C8" s="667"/>
      <c r="D8" s="651"/>
      <c r="E8" s="686"/>
      <c r="F8" s="1056"/>
      <c r="G8" s="465"/>
      <c r="I8" s="2002"/>
      <c r="J8" s="2002"/>
    </row>
    <row customHeight="1" ht="14.25">
      <c r="C9" s="365"/>
      <c r="D9" s="2366" t="s">
        <v>291</v>
      </c>
      <c r="E9" s="2366"/>
      <c r="F9" s="2366"/>
      <c r="G9" s="2472" t="s">
        <v>292</v>
      </c>
    </row>
    <row customHeight="1" ht="14.25">
      <c r="C10" s="365"/>
      <c r="D10" s="375" t="s">
        <v>88</v>
      </c>
      <c r="E10" s="378" t="s">
        <v>293</v>
      </c>
      <c r="F10" s="378" t="s">
        <v>383</v>
      </c>
      <c r="G10" s="2472"/>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297</v>
      </c>
      <c r="G12" s="422"/>
    </row>
    <row customHeight="1" ht="22.5">
      <c r="A13" s="464"/>
      <c r="C13" s="365"/>
      <c r="D13" s="418" t="s">
        <v>619</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297</v>
      </c>
      <c r="G13" s="422"/>
    </row>
    <row customHeight="1" ht="14.25">
      <c r="A14" s="464"/>
      <c r="C14" s="365"/>
      <c r="D14" s="418" t="s">
        <v>1446</v>
      </c>
      <c r="E14" s="4060"/>
      <c r="F14" s="486"/>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1447</v>
      </c>
      <c r="F15" s="473"/>
      <c r="G15" s="2354"/>
    </row>
    <row customHeight="1" ht="14.25">
      <c r="A16" s="464"/>
      <c r="C16" s="365"/>
      <c r="D16" s="418" t="s">
        <v>625</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297</v>
      </c>
      <c r="G16" s="623"/>
    </row>
    <row customHeight="1" ht="14.25">
      <c r="A17" s="464"/>
      <c r="C17" s="365"/>
      <c r="D17" s="418" t="s">
        <v>1448</v>
      </c>
      <c r="E17" s="4060"/>
      <c r="F17" s="681"/>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731" customFormat="1" customHeight="1" ht="21">
      <c r="A18" s="629"/>
      <c r="B18" s="417"/>
      <c r="C18" s="583"/>
      <c r="D18" s="633"/>
      <c r="E18" s="635" t="s">
        <v>1449</v>
      </c>
      <c r="F18" s="624"/>
      <c r="G18" s="2354"/>
      <c r="I18" s="636"/>
      <c r="J18" s="636"/>
    </row>
    <row s="10656" customFormat="1" customHeight="1" ht="256.5" hidden="1">
      <c r="A19" s="629"/>
      <c r="B19" s="718"/>
      <c r="C19" s="667"/>
      <c r="D19" s="1198" t="s">
        <v>1450</v>
      </c>
      <c r="E19" s="1197" t="s">
        <v>1451</v>
      </c>
      <c r="F19" s="681"/>
      <c r="G19" s="623" t="s">
        <v>1452</v>
      </c>
      <c r="I19" s="802"/>
      <c r="J19" s="802"/>
    </row>
    <row s="11731" customFormat="1" customHeight="1" ht="14.25">
      <c r="A20" s="629"/>
      <c r="B20" s="417"/>
      <c r="C20" s="583"/>
      <c r="D20" s="1199">
        <v>2</v>
      </c>
      <c r="E20" s="616" t="s">
        <v>1453</v>
      </c>
      <c r="F20" s="470" t="s">
        <v>297</v>
      </c>
      <c r="G20" s="623"/>
      <c r="I20" s="636"/>
      <c r="J20" s="636"/>
    </row>
    <row s="11731" customFormat="1" customHeight="1" ht="18.75" hidden="1">
      <c r="A21" s="629"/>
      <c r="B21" s="417"/>
      <c r="C21" s="583"/>
      <c r="D21" s="619" t="s">
        <v>1454</v>
      </c>
      <c r="E21" s="4076"/>
      <c r="F21" s="617"/>
      <c r="G21" s="627"/>
      <c r="H21" s="620"/>
      <c r="I21" s="636"/>
      <c r="J21" s="636"/>
    </row>
    <row customHeight="1" ht="15">
      <c r="A22" s="464"/>
      <c r="C22" s="365"/>
      <c r="D22" s="379"/>
      <c r="E22" s="475" t="s">
        <v>1455</v>
      </c>
      <c r="F22" s="624"/>
      <c r="G22" s="625"/>
    </row>
    <row s="11422" customFormat="1" customHeight="1" ht="22.5" hidden="1">
      <c r="A23" s="629"/>
      <c r="B23" s="1486"/>
      <c r="C23" s="667"/>
      <c r="D23" s="2051" t="s">
        <v>109</v>
      </c>
      <c r="E23" s="469" t="s">
        <v>1456</v>
      </c>
      <c r="F23" s="2048" t="s">
        <v>297</v>
      </c>
      <c r="G23" s="631"/>
      <c r="I23" s="2002"/>
      <c r="J23" s="2002"/>
    </row>
    <row s="11422" customFormat="1" customHeight="1" ht="14.25" hidden="1">
      <c r="A24" s="629"/>
      <c r="B24" s="1486"/>
      <c r="C24" s="667"/>
      <c r="D24" s="2051" t="s">
        <v>504</v>
      </c>
      <c r="E24" s="2050" t="s">
        <v>1457</v>
      </c>
      <c r="F24" s="2048" t="s">
        <v>297</v>
      </c>
      <c r="G24" s="623"/>
      <c r="I24" s="2002"/>
      <c r="J24" s="2002"/>
    </row>
    <row s="11422" customFormat="1" customHeight="1" ht="14.25" hidden="1">
      <c r="A25" s="629"/>
      <c r="B25" s="1486"/>
      <c r="C25" s="667"/>
      <c r="D25" s="2051" t="s">
        <v>1458</v>
      </c>
      <c r="E25" s="4060"/>
      <c r="F25" s="681"/>
      <c r="G25" s="2352" t="s">
        <v>1459</v>
      </c>
      <c r="I25" s="2002"/>
      <c r="J25" s="2002"/>
    </row>
    <row s="11422" customFormat="1" customHeight="1" ht="22.5" hidden="1">
      <c r="A26" s="629"/>
      <c r="B26" s="1486"/>
      <c r="C26" s="667"/>
      <c r="D26" s="633"/>
      <c r="E26" s="635" t="s">
        <v>1460</v>
      </c>
      <c r="F26" s="624"/>
      <c r="G26" s="2354"/>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5C527-B93D-0DD1-E8D6-A5C1E264B8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11" width="3.7109375" customWidth="1"/>
    <col min="17" max="18" style="11912" width="3.7109375" customWidth="1"/>
    <col min="19" max="19" style="11913" width="12.7109375" customWidth="1"/>
    <col min="20" max="20" style="11396" width="35.710937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69">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64"/>
      <c r="Q3" s="638"/>
      <c r="R3" s="639"/>
      <c r="S3" s="1669">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69">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69">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65"/>
      <c r="R6" s="642"/>
      <c r="S6" s="1669">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69">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69">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666"/>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65"/>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63"/>
      <c r="AE17" s="4163"/>
      <c r="AF17" s="4163"/>
      <c r="AG17" s="4164"/>
      <c r="AH17" s="2497"/>
      <c r="AI17" s="2498" t="s">
        <v>63</v>
      </c>
      <c r="AJ17" s="2497"/>
      <c r="AK17" s="2498" t="s">
        <v>63</v>
      </c>
    </row>
    <row customHeight="1" ht="14.25" hidden="1">
      <c r="P18" s="1671"/>
      <c r="AD18" s="4163"/>
      <c r="AE18" s="4163"/>
      <c r="AF18" s="4163"/>
      <c r="AG18" s="4136" t="str">
        <f>AH17&amp;"-"&amp;AJ17</f>
        <v>-</v>
      </c>
      <c r="AH18" s="2498"/>
      <c r="AI18" s="2498"/>
      <c r="AJ18" s="2498"/>
      <c r="AK18" s="2498"/>
    </row>
    <row customHeight="1" ht="14.25" hidden="1">
      <c r="P19" s="167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t="s">
        <v>1496</v>
      </c>
      <c r="X40" s="2493" t="s">
        <v>1497</v>
      </c>
      <c r="Y40" s="2494"/>
      <c r="Z40" s="2499" t="s">
        <v>1498</v>
      </c>
      <c r="AA40" s="2500"/>
      <c r="AB40" s="2501"/>
      <c r="AC40" s="2510"/>
      <c r="AD40" s="2491" t="s">
        <v>1495</v>
      </c>
      <c r="AE40" s="2515" t="s">
        <v>1496</v>
      </c>
      <c r="AF40" s="2493" t="s">
        <v>1497</v>
      </c>
      <c r="AG40" s="2494"/>
      <c r="AH40" s="2499" t="s">
        <v>1498</v>
      </c>
      <c r="AI40" s="2500"/>
      <c r="AJ40" s="2501"/>
      <c r="AK40" s="2510"/>
      <c r="AL40" s="2513"/>
      <c r="AM40" s="2342"/>
    </row>
    <row customHeight="1" ht="33.7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561" t="s">
        <v>1508</v>
      </c>
      <c r="AA41" s="2502" t="s">
        <v>1509</v>
      </c>
      <c r="AB41" s="2503"/>
      <c r="AC41" s="2511"/>
      <c r="AD41" s="2492"/>
      <c r="AE41" s="2516"/>
      <c r="AF41" s="1562" t="s">
        <v>1506</v>
      </c>
      <c r="AG41" s="1562" t="s">
        <v>1507</v>
      </c>
      <c r="AH41" s="1673" t="s">
        <v>1508</v>
      </c>
      <c r="AI41" s="2502" t="s">
        <v>1509</v>
      </c>
      <c r="AJ41" s="2503"/>
      <c r="AK41" s="2511"/>
      <c r="AL41" s="2514"/>
      <c r="AM41" s="234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156</v>
      </c>
      <c r="B43" s="1724"/>
      <c r="C43" s="1724"/>
      <c r="D43" s="1724"/>
      <c r="E43" s="2489">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156</v>
      </c>
      <c r="B44" s="1724" t="s">
        <v>157</v>
      </c>
      <c r="C44" s="1724"/>
      <c r="D44" s="1724"/>
      <c r="E44" s="2490"/>
      <c r="F44" s="2489">
        <v>1</v>
      </c>
      <c r="G44" s="1724"/>
      <c r="H44" s="1724"/>
      <c r="I44" s="1724"/>
      <c r="J44" s="1724"/>
      <c r="K44" s="1724"/>
      <c r="L44" s="1725"/>
      <c r="M44" s="1726"/>
      <c r="N44" s="1726"/>
      <c r="O44" s="1726"/>
      <c r="P44" s="824"/>
      <c r="Q44" s="638"/>
      <c r="R44" s="639"/>
      <c r="S44" s="156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156</v>
      </c>
      <c r="B45" s="1724" t="s">
        <v>157</v>
      </c>
      <c r="C45" s="1724" t="s">
        <v>158</v>
      </c>
      <c r="D45" s="1724"/>
      <c r="E45" s="2490"/>
      <c r="F45" s="2490"/>
      <c r="G45" s="2489">
        <v>1</v>
      </c>
      <c r="H45" s="1724"/>
      <c r="I45" s="1724"/>
      <c r="J45" s="1724"/>
      <c r="K45" s="1724"/>
      <c r="L45" s="1725"/>
      <c r="M45" s="1726"/>
      <c r="N45" s="1726"/>
      <c r="O45" s="1726"/>
      <c r="P45" s="640"/>
      <c r="Q45" s="638"/>
      <c r="R45" s="639"/>
      <c r="S45" s="156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3.25">
      <c r="A46" s="1724" t="s">
        <v>156</v>
      </c>
      <c r="B46" s="1724" t="s">
        <v>157</v>
      </c>
      <c r="C46" s="1724" t="s">
        <v>158</v>
      </c>
      <c r="D46" s="1724" t="s">
        <v>159</v>
      </c>
      <c r="E46" s="2490"/>
      <c r="F46" s="2490"/>
      <c r="G46" s="2490"/>
      <c r="H46" s="2489">
        <v>1</v>
      </c>
      <c r="I46" s="1724"/>
      <c r="J46" s="1724"/>
      <c r="K46" s="1724"/>
      <c r="L46" s="1725"/>
      <c r="M46" s="1726"/>
      <c r="N46" s="1726"/>
      <c r="O46" s="1726"/>
      <c r="P46" s="640"/>
      <c r="Q46" s="638"/>
      <c r="R46" s="639"/>
      <c r="S46" s="156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156</v>
      </c>
      <c r="B47" s="1724" t="s">
        <v>157</v>
      </c>
      <c r="C47" s="1724" t="s">
        <v>158</v>
      </c>
      <c r="D47" s="1724" t="s">
        <v>159</v>
      </c>
      <c r="E47" s="2490"/>
      <c r="F47" s="2490"/>
      <c r="G47" s="2490"/>
      <c r="H47" s="2490"/>
      <c r="I47" s="2518" t="str">
        <f>S46&amp;".1"</f>
        <v>....1</v>
      </c>
      <c r="J47" s="1724"/>
      <c r="K47" s="1724"/>
      <c r="L47" s="1725" t="s">
        <v>1468</v>
      </c>
      <c r="P47" s="2488">
        <v>1</v>
      </c>
      <c r="Q47" s="1560"/>
      <c r="R47" s="642"/>
      <c r="S47" s="156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156</v>
      </c>
      <c r="B48" s="1724" t="s">
        <v>157</v>
      </c>
      <c r="C48" s="1724" t="s">
        <v>158</v>
      </c>
      <c r="D48" s="1724" t="s">
        <v>159</v>
      </c>
      <c r="E48" s="2490"/>
      <c r="F48" s="2490"/>
      <c r="G48" s="2490"/>
      <c r="H48" s="2490"/>
      <c r="I48" s="2519"/>
      <c r="J48" s="2487" t="str">
        <f>I47&amp;".1"</f>
        <v>....1.1</v>
      </c>
      <c r="K48" s="1724"/>
      <c r="L48" s="1725" t="s">
        <v>1471</v>
      </c>
      <c r="P48" s="2488"/>
      <c r="Q48" s="2488">
        <v>1</v>
      </c>
      <c r="R48" s="643"/>
      <c r="S48" s="156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3.25">
      <c r="A49" s="1724" t="s">
        <v>156</v>
      </c>
      <c r="B49" s="1724" t="s">
        <v>157</v>
      </c>
      <c r="C49" s="1724" t="s">
        <v>158</v>
      </c>
      <c r="D49" s="1724" t="s">
        <v>159</v>
      </c>
      <c r="E49" s="2490"/>
      <c r="F49" s="2490"/>
      <c r="G49" s="2490"/>
      <c r="H49" s="2490"/>
      <c r="I49" s="2519"/>
      <c r="J49" s="2520"/>
      <c r="K49" s="2487" t="str">
        <f>J48&amp;".1"</f>
        <v>....1.1.1</v>
      </c>
      <c r="L49" s="1725" t="s">
        <v>1474</v>
      </c>
      <c r="P49" s="2488"/>
      <c r="Q49" s="2488"/>
      <c r="R49" s="643">
        <v>1</v>
      </c>
      <c r="S49" s="1566" t="str">
        <f>$K49</f>
        <v>....1.1.1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1475</v>
      </c>
      <c r="AN49" s="813">
        <f>STRCHECKDATE(V50:AL50)</f>
      </c>
      <c r="AO49" s="802"/>
      <c r="AP49" s="802" t="str">
        <f>IF(T49="","",T49)</f>
        <v/>
      </c>
      <c r="AQ49" s="802"/>
      <c r="AR49" s="802"/>
    </row>
    <row customHeight="1" ht="0.75">
      <c r="A50" s="1724" t="s">
        <v>156</v>
      </c>
      <c r="B50" s="1724" t="s">
        <v>157</v>
      </c>
      <c r="C50" s="1724" t="s">
        <v>158</v>
      </c>
      <c r="D50" s="1724" t="s">
        <v>159</v>
      </c>
      <c r="E50" s="2490"/>
      <c r="F50" s="2490"/>
      <c r="G50" s="2490"/>
      <c r="H50" s="2490"/>
      <c r="I50" s="2519"/>
      <c r="J50" s="2520"/>
      <c r="K50" s="2487"/>
      <c r="L50" s="1725"/>
      <c r="P50" s="2488"/>
      <c r="Q50" s="2488"/>
      <c r="R50" s="643"/>
      <c r="S50" s="1564"/>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156</v>
      </c>
      <c r="B51" s="1724" t="s">
        <v>157</v>
      </c>
      <c r="C51" s="1724" t="s">
        <v>158</v>
      </c>
      <c r="D51" s="1724" t="s">
        <v>159</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156</v>
      </c>
      <c r="B52" s="1724" t="s">
        <v>157</v>
      </c>
      <c r="C52" s="1724" t="s">
        <v>158</v>
      </c>
      <c r="D52" s="1724" t="s">
        <v>159</v>
      </c>
      <c r="E52" s="2490"/>
      <c r="F52" s="2490"/>
      <c r="G52" s="2490"/>
      <c r="H52" s="2490"/>
      <c r="I52" s="2518"/>
      <c r="J52" s="1724"/>
      <c r="K52" s="1724"/>
      <c r="L52" s="1725"/>
      <c r="P52" s="2488"/>
      <c r="Q52" s="1560"/>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156</v>
      </c>
      <c r="B53" s="1724" t="s">
        <v>157</v>
      </c>
      <c r="C53" s="1724" t="s">
        <v>158</v>
      </c>
      <c r="D53" s="1724" t="s">
        <v>159</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156</v>
      </c>
      <c r="B54" s="1703" t="s">
        <v>157</v>
      </c>
      <c r="C54" s="1703" t="s">
        <v>158</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156</v>
      </c>
      <c r="B55" s="1703" t="s">
        <v>157</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156</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4.5" hidden="1">
      <c r="O60" s="839"/>
      <c r="P60" s="1662"/>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P62" s="1688"/>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P63" s="1688"/>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P64" s="1688"/>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9CA5-97F3-FBFF-1E2B-675B36F2B7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91"/>
      <c r="R6" s="642"/>
      <c r="S6" s="1696">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t="s">
        <v>1496</v>
      </c>
      <c r="X40" s="2493" t="s">
        <v>1497</v>
      </c>
      <c r="Y40" s="2494"/>
      <c r="Z40" s="2499" t="s">
        <v>1516</v>
      </c>
      <c r="AA40" s="2500"/>
      <c r="AB40" s="2501"/>
      <c r="AC40" s="2510"/>
      <c r="AD40" s="2491" t="s">
        <v>1495</v>
      </c>
      <c r="AE40" s="2515" t="s">
        <v>1496</v>
      </c>
      <c r="AF40" s="2493" t="s">
        <v>1497</v>
      </c>
      <c r="AG40" s="2494"/>
      <c r="AH40" s="2499" t="s">
        <v>1498</v>
      </c>
      <c r="AI40" s="2500"/>
      <c r="AJ40" s="2501"/>
      <c r="AK40" s="2510"/>
      <c r="AL40" s="2513"/>
      <c r="AM40" s="2342"/>
    </row>
    <row customHeight="1" ht="33.7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164</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164</v>
      </c>
      <c r="B44" s="1724" t="s">
        <v>165</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164</v>
      </c>
      <c r="B45" s="1724" t="s">
        <v>165</v>
      </c>
      <c r="C45" s="1724" t="s">
        <v>166</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164</v>
      </c>
      <c r="B46" s="1724" t="s">
        <v>165</v>
      </c>
      <c r="C46" s="1724" t="s">
        <v>166</v>
      </c>
      <c r="D46" s="1724" t="s">
        <v>167</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164</v>
      </c>
      <c r="B47" s="1724" t="s">
        <v>165</v>
      </c>
      <c r="C47" s="1724" t="s">
        <v>166</v>
      </c>
      <c r="D47" s="1724" t="s">
        <v>167</v>
      </c>
      <c r="E47" s="2490"/>
      <c r="F47" s="2490"/>
      <c r="G47" s="2490"/>
      <c r="H47" s="2490"/>
      <c r="I47" s="2518" t="str">
        <f>S46&amp;".1"</f>
        <v>....1</v>
      </c>
      <c r="J47" s="1724"/>
      <c r="K47" s="1724"/>
      <c r="L47" s="1725" t="s">
        <v>1468</v>
      </c>
      <c r="P47" s="2488">
        <v>1</v>
      </c>
      <c r="Q47" s="1691"/>
      <c r="R47" s="642"/>
      <c r="S47" s="169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164</v>
      </c>
      <c r="B48" s="1724" t="s">
        <v>165</v>
      </c>
      <c r="C48" s="1724" t="s">
        <v>166</v>
      </c>
      <c r="D48" s="1724" t="s">
        <v>167</v>
      </c>
      <c r="E48" s="2490"/>
      <c r="F48" s="2490"/>
      <c r="G48" s="2490"/>
      <c r="H48" s="2490"/>
      <c r="I48" s="2519"/>
      <c r="J48" s="2487" t="str">
        <f>I47&amp;".1"</f>
        <v>....1.1</v>
      </c>
      <c r="K48" s="1724"/>
      <c r="L48" s="1725" t="s">
        <v>1471</v>
      </c>
      <c r="P48" s="2488"/>
      <c r="Q48" s="2488">
        <v>1</v>
      </c>
      <c r="R48" s="643"/>
      <c r="S48" s="169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164</v>
      </c>
      <c r="B49" s="1724" t="s">
        <v>165</v>
      </c>
      <c r="C49" s="1724" t="s">
        <v>166</v>
      </c>
      <c r="D49" s="1724" t="s">
        <v>167</v>
      </c>
      <c r="E49" s="2490"/>
      <c r="F49" s="2490"/>
      <c r="G49" s="2490"/>
      <c r="H49" s="2490"/>
      <c r="I49" s="2519"/>
      <c r="J49" s="2520"/>
      <c r="K49" s="2487" t="str">
        <f>J48&amp;".1"</f>
        <v>....1.1.1</v>
      </c>
      <c r="L49" s="1725" t="s">
        <v>1474</v>
      </c>
      <c r="P49" s="2488"/>
      <c r="Q49" s="2488"/>
      <c r="R49" s="643">
        <v>1</v>
      </c>
      <c r="S49" s="1696" t="str">
        <f>$K49</f>
        <v>....1.1.1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1475</v>
      </c>
      <c r="AN49" s="813">
        <f>STRCHECKDATE(V50:AL50)</f>
      </c>
      <c r="AO49" s="802"/>
      <c r="AP49" s="802" t="str">
        <f>IF(T49="","",T49)</f>
        <v/>
      </c>
      <c r="AQ49" s="802"/>
      <c r="AR49" s="802"/>
    </row>
    <row customHeight="1" ht="0.75">
      <c r="A50" s="1724" t="s">
        <v>164</v>
      </c>
      <c r="B50" s="1724" t="s">
        <v>165</v>
      </c>
      <c r="C50" s="1724" t="s">
        <v>166</v>
      </c>
      <c r="D50" s="1724" t="s">
        <v>167</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164</v>
      </c>
      <c r="B51" s="1724" t="s">
        <v>165</v>
      </c>
      <c r="C51" s="1724" t="s">
        <v>166</v>
      </c>
      <c r="D51" s="1724" t="s">
        <v>167</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164</v>
      </c>
      <c r="B52" s="1724" t="s">
        <v>165</v>
      </c>
      <c r="C52" s="1724" t="s">
        <v>166</v>
      </c>
      <c r="D52" s="1724" t="s">
        <v>167</v>
      </c>
      <c r="E52" s="2490"/>
      <c r="F52" s="2490"/>
      <c r="G52" s="2490"/>
      <c r="H52" s="2490"/>
      <c r="I52" s="2518"/>
      <c r="J52" s="1724"/>
      <c r="K52" s="1724"/>
      <c r="L52" s="1725"/>
      <c r="P52" s="2488"/>
      <c r="Q52" s="1691"/>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164</v>
      </c>
      <c r="B53" s="1724" t="s">
        <v>165</v>
      </c>
      <c r="C53" s="1724" t="s">
        <v>166</v>
      </c>
      <c r="D53" s="1724" t="s">
        <v>167</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164</v>
      </c>
      <c r="B54" s="1703" t="s">
        <v>165</v>
      </c>
      <c r="C54" s="1703" t="s">
        <v>166</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164</v>
      </c>
      <c r="B55" s="1703" t="s">
        <v>165</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164</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2.25" hidden="1">
      <c r="O60" s="839"/>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8C8B-BA84-7C45-3D8C-8BF772BEBD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customWidth="1"/>
    <col min="17" max="18" style="11912" width="3.7109375" customWidth="1"/>
    <col min="19" max="19" style="11913" width="12.7109375" customWidth="1"/>
    <col min="20" max="20" style="11396" width="32.00390625" customWidth="1"/>
    <col min="21" max="22" style="11396" width="0.140625" customWidth="1"/>
    <col min="23" max="23" style="11396" width="24.7109375" hidden="1" customWidth="1"/>
    <col min="24" max="25" style="11396" width="0.14062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0.140625" customWidth="1"/>
    <col min="31" max="31" style="11396" width="24.7109375" customWidth="1"/>
    <col min="32" max="33" style="11396" width="0.14062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91"/>
      <c r="R6" s="642"/>
      <c r="S6" s="1696">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1"/>
      <c r="W8" s="4130"/>
      <c r="X8" s="4131"/>
      <c r="Y8" s="4251"/>
      <c r="Z8" s="2495"/>
      <c r="AA8" s="2207" t="s">
        <v>63</v>
      </c>
      <c r="AB8" s="2495"/>
      <c r="AC8" s="2207" t="s">
        <v>63</v>
      </c>
      <c r="AD8" s="4131"/>
      <c r="AE8" s="4130"/>
      <c r="AF8" s="4131"/>
      <c r="AG8" s="4251"/>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33.7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23"/>
      <c r="Y39" s="2523"/>
      <c r="Z39" s="2507"/>
      <c r="AA39" s="2507"/>
      <c r="AB39" s="2508"/>
      <c r="AC39" s="2509" t="s">
        <v>1492</v>
      </c>
      <c r="AD39" s="2506" t="s">
        <v>1491</v>
      </c>
      <c r="AE39" s="2507"/>
      <c r="AF39" s="2523"/>
      <c r="AG39" s="2523"/>
      <c r="AH39" s="2507"/>
      <c r="AI39" s="2507"/>
      <c r="AJ39" s="2508"/>
      <c r="AK39" s="2509" t="s">
        <v>1493</v>
      </c>
      <c r="AL39" s="2512" t="s">
        <v>1494</v>
      </c>
      <c r="AM39" s="2342"/>
    </row>
    <row customHeight="1" ht="23.25">
      <c r="Q40" s="667"/>
      <c r="R40" s="667"/>
      <c r="S40" s="2505"/>
      <c r="T40" s="2366"/>
      <c r="U40" s="1354"/>
      <c r="V40" s="2524" t="s">
        <v>1495</v>
      </c>
      <c r="W40" s="2526" t="s">
        <v>1496</v>
      </c>
      <c r="X40" s="1737" t="s">
        <v>1497</v>
      </c>
      <c r="Y40" s="1737"/>
      <c r="Z40" s="2500" t="s">
        <v>1498</v>
      </c>
      <c r="AA40" s="2500"/>
      <c r="AB40" s="2501"/>
      <c r="AC40" s="2510"/>
      <c r="AD40" s="2524" t="s">
        <v>1495</v>
      </c>
      <c r="AE40" s="2526" t="s">
        <v>1496</v>
      </c>
      <c r="AF40" s="1737" t="s">
        <v>1497</v>
      </c>
      <c r="AG40" s="1737"/>
      <c r="AH40" s="2500" t="s">
        <v>1498</v>
      </c>
      <c r="AI40" s="2500"/>
      <c r="AJ40" s="2501"/>
      <c r="AK40" s="2510"/>
      <c r="AL40" s="2513"/>
      <c r="AM40" s="2342"/>
    </row>
    <row s="11927" customFormat="1" customHeight="1" ht="23.2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M41" s="1723"/>
      <c r="N41" s="1723"/>
      <c r="O41" s="1723"/>
      <c r="P41" s="1688"/>
      <c r="Q41" s="667"/>
      <c r="R41" s="667"/>
      <c r="S41" s="2505"/>
      <c r="T41" s="2366"/>
      <c r="U41" s="577"/>
      <c r="V41" s="2525"/>
      <c r="W41" s="2527"/>
      <c r="X41" s="1734" t="s">
        <v>1506</v>
      </c>
      <c r="Y41" s="1734" t="s">
        <v>1507</v>
      </c>
      <c r="Z41" s="1694" t="s">
        <v>1508</v>
      </c>
      <c r="AA41" s="2502" t="s">
        <v>1509</v>
      </c>
      <c r="AB41" s="2503"/>
      <c r="AC41" s="2511"/>
      <c r="AD41" s="2525"/>
      <c r="AE41" s="2527"/>
      <c r="AF41" s="1734" t="s">
        <v>1506</v>
      </c>
      <c r="AG41" s="1734" t="s">
        <v>1507</v>
      </c>
      <c r="AH41" s="1694" t="s">
        <v>1508</v>
      </c>
      <c r="AI41" s="2502" t="s">
        <v>1509</v>
      </c>
      <c r="AJ41" s="2503"/>
      <c r="AK41" s="2511"/>
      <c r="AL41" s="2514"/>
      <c r="AM41" s="2342"/>
      <c r="AN41" s="813"/>
      <c r="AO41" s="802"/>
      <c r="AP41" s="802"/>
      <c r="AQ41" s="802"/>
      <c r="AR41" s="80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197</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197</v>
      </c>
      <c r="B44" s="1724" t="s">
        <v>198</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197</v>
      </c>
      <c r="B45" s="1724" t="s">
        <v>198</v>
      </c>
      <c r="C45" s="1724" t="s">
        <v>199</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197</v>
      </c>
      <c r="B46" s="1724" t="s">
        <v>198</v>
      </c>
      <c r="C46" s="1724" t="s">
        <v>199</v>
      </c>
      <c r="D46" s="1724" t="s">
        <v>200</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197</v>
      </c>
      <c r="B47" s="1724" t="s">
        <v>198</v>
      </c>
      <c r="C47" s="1724" t="s">
        <v>199</v>
      </c>
      <c r="D47" s="1724" t="s">
        <v>200</v>
      </c>
      <c r="E47" s="2490"/>
      <c r="F47" s="2490"/>
      <c r="G47" s="2490"/>
      <c r="H47" s="2490"/>
      <c r="I47" s="2518" t="str">
        <f>S46&amp;".1"</f>
        <v>....1</v>
      </c>
      <c r="J47" s="1724"/>
      <c r="K47" s="1724"/>
      <c r="L47" s="1725" t="s">
        <v>1468</v>
      </c>
      <c r="P47" s="2488">
        <v>1</v>
      </c>
      <c r="Q47" s="1691"/>
      <c r="R47" s="642"/>
      <c r="S47" s="169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197</v>
      </c>
      <c r="B48" s="1724" t="s">
        <v>198</v>
      </c>
      <c r="C48" s="1724" t="s">
        <v>199</v>
      </c>
      <c r="D48" s="1724" t="s">
        <v>200</v>
      </c>
      <c r="E48" s="2490"/>
      <c r="F48" s="2490"/>
      <c r="G48" s="2490"/>
      <c r="H48" s="2490"/>
      <c r="I48" s="2519"/>
      <c r="J48" s="2487" t="str">
        <f>I47&amp;".1"</f>
        <v>....1.1</v>
      </c>
      <c r="K48" s="1724"/>
      <c r="L48" s="1725" t="s">
        <v>1471</v>
      </c>
      <c r="P48" s="2488"/>
      <c r="Q48" s="2488">
        <v>1</v>
      </c>
      <c r="R48" s="643"/>
      <c r="S48" s="169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197</v>
      </c>
      <c r="B49" s="1724" t="s">
        <v>198</v>
      </c>
      <c r="C49" s="1724" t="s">
        <v>199</v>
      </c>
      <c r="D49" s="1724" t="s">
        <v>200</v>
      </c>
      <c r="E49" s="2490"/>
      <c r="F49" s="2490"/>
      <c r="G49" s="2490"/>
      <c r="H49" s="2490"/>
      <c r="I49" s="2519"/>
      <c r="J49" s="2520"/>
      <c r="K49" s="2487" t="str">
        <f>J48&amp;".1"</f>
        <v>....1.1.1</v>
      </c>
      <c r="L49" s="1725" t="s">
        <v>1474</v>
      </c>
      <c r="P49" s="2488"/>
      <c r="Q49" s="2488"/>
      <c r="R49" s="643">
        <v>1</v>
      </c>
      <c r="S49" s="1696" t="str">
        <f>$K49</f>
        <v>....1.1.1</v>
      </c>
      <c r="T49" s="1707"/>
      <c r="U49" s="575"/>
      <c r="V49" s="4131"/>
      <c r="W49" s="4130"/>
      <c r="X49" s="4131"/>
      <c r="Y49" s="4251"/>
      <c r="Z49" s="2495"/>
      <c r="AA49" s="2207" t="s">
        <v>63</v>
      </c>
      <c r="AB49" s="2495"/>
      <c r="AC49" s="2207" t="s">
        <v>63</v>
      </c>
      <c r="AD49" s="4131"/>
      <c r="AE49" s="4130"/>
      <c r="AF49" s="4131"/>
      <c r="AG49" s="4251"/>
      <c r="AH49" s="2495"/>
      <c r="AI49" s="2207" t="s">
        <v>63</v>
      </c>
      <c r="AJ49" s="2521"/>
      <c r="AK49" s="2207" t="s">
        <v>63</v>
      </c>
      <c r="AL49" s="4231"/>
      <c r="AM49" s="2484" t="s">
        <v>1475</v>
      </c>
      <c r="AN49" s="813">
        <f>STRCHECKDATE(V50:AL50)</f>
      </c>
      <c r="AO49" s="802"/>
      <c r="AP49" s="802" t="str">
        <f>IF(T49="","",T49)</f>
        <v/>
      </c>
      <c r="AQ49" s="802"/>
      <c r="AR49" s="802"/>
    </row>
    <row customHeight="1" ht="0.75">
      <c r="A50" s="1724" t="s">
        <v>197</v>
      </c>
      <c r="B50" s="1724" t="s">
        <v>198</v>
      </c>
      <c r="C50" s="1724" t="s">
        <v>199</v>
      </c>
      <c r="D50" s="1724" t="s">
        <v>200</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197</v>
      </c>
      <c r="B51" s="1724" t="s">
        <v>198</v>
      </c>
      <c r="C51" s="1724" t="s">
        <v>199</v>
      </c>
      <c r="D51" s="1724" t="s">
        <v>200</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197</v>
      </c>
      <c r="B52" s="1724" t="s">
        <v>198</v>
      </c>
      <c r="C52" s="1724" t="s">
        <v>199</v>
      </c>
      <c r="D52" s="1724" t="s">
        <v>200</v>
      </c>
      <c r="E52" s="2490"/>
      <c r="F52" s="2490"/>
      <c r="G52" s="2490"/>
      <c r="H52" s="2490"/>
      <c r="I52" s="2518"/>
      <c r="J52" s="1724"/>
      <c r="K52" s="1724"/>
      <c r="L52" s="1725"/>
      <c r="P52" s="2488"/>
      <c r="Q52" s="1691"/>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197</v>
      </c>
      <c r="B53" s="1724" t="s">
        <v>198</v>
      </c>
      <c r="C53" s="1724" t="s">
        <v>199</v>
      </c>
      <c r="D53" s="1724" t="s">
        <v>200</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197</v>
      </c>
      <c r="B54" s="1703" t="s">
        <v>198</v>
      </c>
      <c r="C54" s="1703" t="s">
        <v>199</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197</v>
      </c>
      <c r="B55" s="1703" t="s">
        <v>198</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197</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75" hidden="1">
      <c r="O60" s="839"/>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38.25" hidden="1">
      <c r="O64" s="839"/>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C8336-2A32-18DD-BBAE-17BC5F114FB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170</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170</v>
      </c>
      <c r="B44" s="1724" t="s">
        <v>171</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170</v>
      </c>
      <c r="B45" s="1724" t="s">
        <v>171</v>
      </c>
      <c r="C45" s="1724" t="s">
        <v>172</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170</v>
      </c>
      <c r="B46" s="1724" t="s">
        <v>171</v>
      </c>
      <c r="C46" s="1724" t="s">
        <v>172</v>
      </c>
      <c r="D46" s="1724" t="s">
        <v>173</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901" customFormat="1" customHeight="1" ht="0">
      <c r="A47" s="1703" t="s">
        <v>170</v>
      </c>
      <c r="B47" s="1703" t="s">
        <v>171</v>
      </c>
      <c r="C47" s="1703" t="s">
        <v>172</v>
      </c>
      <c r="D47" s="1703" t="s">
        <v>173</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170</v>
      </c>
      <c r="B48" s="1724" t="s">
        <v>171</v>
      </c>
      <c r="C48" s="1724" t="s">
        <v>172</v>
      </c>
      <c r="D48" s="1724" t="s">
        <v>173</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170</v>
      </c>
      <c r="B49" s="1724" t="s">
        <v>171</v>
      </c>
      <c r="C49" s="1724" t="s">
        <v>172</v>
      </c>
      <c r="D49" s="1724" t="s">
        <v>173</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1518</v>
      </c>
      <c r="AN49" s="813">
        <f>STRCHECKDATE(V50:AL50)</f>
      </c>
      <c r="AO49" s="802"/>
      <c r="AP49" s="802" t="str">
        <f>IF(T49="","",T49)</f>
        <v/>
      </c>
      <c r="AQ49" s="802"/>
      <c r="AR49" s="802"/>
    </row>
    <row customHeight="1" ht="0.75">
      <c r="A50" s="1724" t="s">
        <v>170</v>
      </c>
      <c r="B50" s="1724" t="s">
        <v>171</v>
      </c>
      <c r="C50" s="1724" t="s">
        <v>172</v>
      </c>
      <c r="D50" s="1724" t="s">
        <v>173</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170</v>
      </c>
      <c r="B51" s="1724" t="s">
        <v>171</v>
      </c>
      <c r="C51" s="1724" t="s">
        <v>172</v>
      </c>
      <c r="D51" s="1724" t="s">
        <v>173</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170</v>
      </c>
      <c r="B52" s="1724" t="s">
        <v>171</v>
      </c>
      <c r="C52" s="1724" t="s">
        <v>172</v>
      </c>
      <c r="D52" s="1724" t="s">
        <v>173</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170</v>
      </c>
      <c r="B53" s="1724" t="s">
        <v>171</v>
      </c>
      <c r="C53" s="1724" t="s">
        <v>172</v>
      </c>
      <c r="D53" s="1724" t="s">
        <v>173</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170</v>
      </c>
      <c r="B54" s="1703" t="s">
        <v>171</v>
      </c>
      <c r="C54" s="1703" t="s">
        <v>172</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170</v>
      </c>
      <c r="B55" s="1703" t="s">
        <v>171</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170</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D8D1B-436B-3B9A-1AD5-612917F9609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182</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182</v>
      </c>
      <c r="B44" s="1724" t="s">
        <v>183</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182</v>
      </c>
      <c r="B45" s="1724" t="s">
        <v>183</v>
      </c>
      <c r="C45" s="1724" t="s">
        <v>184</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182</v>
      </c>
      <c r="B46" s="1724" t="s">
        <v>183</v>
      </c>
      <c r="C46" s="1724" t="s">
        <v>184</v>
      </c>
      <c r="D46" s="1724" t="s">
        <v>185</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901" customFormat="1" customHeight="1" ht="0">
      <c r="A47" s="1703" t="s">
        <v>182</v>
      </c>
      <c r="B47" s="1703" t="s">
        <v>183</v>
      </c>
      <c r="C47" s="1703" t="s">
        <v>184</v>
      </c>
      <c r="D47" s="1703" t="s">
        <v>185</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182</v>
      </c>
      <c r="B48" s="1724" t="s">
        <v>183</v>
      </c>
      <c r="C48" s="1724" t="s">
        <v>184</v>
      </c>
      <c r="D48" s="1724" t="s">
        <v>185</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182</v>
      </c>
      <c r="B49" s="1724" t="s">
        <v>183</v>
      </c>
      <c r="C49" s="1724" t="s">
        <v>184</v>
      </c>
      <c r="D49" s="1724" t="s">
        <v>185</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1518</v>
      </c>
      <c r="AN49" s="813">
        <f>STRCHECKDATE(V50:AL50)</f>
      </c>
      <c r="AO49" s="802"/>
      <c r="AP49" s="802" t="str">
        <f>IF(T49="","",T49)</f>
        <v/>
      </c>
      <c r="AQ49" s="802"/>
      <c r="AR49" s="802"/>
    </row>
    <row customHeight="1" ht="0.75">
      <c r="A50" s="1724" t="s">
        <v>182</v>
      </c>
      <c r="B50" s="1724" t="s">
        <v>183</v>
      </c>
      <c r="C50" s="1724" t="s">
        <v>184</v>
      </c>
      <c r="D50" s="1724" t="s">
        <v>185</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182</v>
      </c>
      <c r="B51" s="1724" t="s">
        <v>183</v>
      </c>
      <c r="C51" s="1724" t="s">
        <v>184</v>
      </c>
      <c r="D51" s="1724" t="s">
        <v>185</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182</v>
      </c>
      <c r="B52" s="1724" t="s">
        <v>183</v>
      </c>
      <c r="C52" s="1724" t="s">
        <v>184</v>
      </c>
      <c r="D52" s="1724" t="s">
        <v>185</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182</v>
      </c>
      <c r="B53" s="1724" t="s">
        <v>183</v>
      </c>
      <c r="C53" s="1724" t="s">
        <v>184</v>
      </c>
      <c r="D53" s="1724" t="s">
        <v>185</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182</v>
      </c>
      <c r="B54" s="1703" t="s">
        <v>183</v>
      </c>
      <c r="C54" s="1703" t="s">
        <v>184</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182</v>
      </c>
      <c r="B55" s="1703" t="s">
        <v>183</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182</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9.2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E387F-2DFC-92A1-96CB-D7F9A4E4046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123</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25.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291</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292</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135</v>
      </c>
      <c r="C41" s="1731" t="s">
        <v>136</v>
      </c>
      <c r="D41" s="1731" t="s">
        <v>137</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84"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99</v>
      </c>
      <c r="T42" s="1606" t="s">
        <v>109</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188</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123</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188</v>
      </c>
      <c r="B44" s="1724" t="s">
        <v>189</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188</v>
      </c>
      <c r="B45" s="1724" t="s">
        <v>189</v>
      </c>
      <c r="C45" s="1724" t="s">
        <v>190</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188</v>
      </c>
      <c r="B46" s="1724" t="s">
        <v>189</v>
      </c>
      <c r="C46" s="1724" t="s">
        <v>190</v>
      </c>
      <c r="D46" s="1724" t="s">
        <v>191</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901" customFormat="1" customHeight="1" ht="0">
      <c r="A47" s="1703" t="s">
        <v>188</v>
      </c>
      <c r="B47" s="1703" t="s">
        <v>189</v>
      </c>
      <c r="C47" s="1703" t="s">
        <v>190</v>
      </c>
      <c r="D47" s="1703" t="s">
        <v>191</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188</v>
      </c>
      <c r="B48" s="1724" t="s">
        <v>189</v>
      </c>
      <c r="C48" s="1724" t="s">
        <v>190</v>
      </c>
      <c r="D48" s="1724" t="s">
        <v>191</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188</v>
      </c>
      <c r="B49" s="1724" t="s">
        <v>189</v>
      </c>
      <c r="C49" s="1724" t="s">
        <v>190</v>
      </c>
      <c r="D49" s="1724" t="s">
        <v>191</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1518</v>
      </c>
      <c r="AN49" s="813">
        <f>STRCHECKDATE(V50:AL50)</f>
      </c>
      <c r="AO49" s="802"/>
      <c r="AP49" s="802" t="str">
        <f>IF(T49="","",T49)</f>
        <v/>
      </c>
      <c r="AQ49" s="802"/>
      <c r="AR49" s="802"/>
    </row>
    <row customHeight="1" ht="0.75">
      <c r="A50" s="1724" t="s">
        <v>188</v>
      </c>
      <c r="B50" s="1724" t="s">
        <v>189</v>
      </c>
      <c r="C50" s="1724" t="s">
        <v>190</v>
      </c>
      <c r="D50" s="1724" t="s">
        <v>191</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188</v>
      </c>
      <c r="B51" s="1724" t="s">
        <v>189</v>
      </c>
      <c r="C51" s="1724" t="s">
        <v>190</v>
      </c>
      <c r="D51" s="1724" t="s">
        <v>191</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188</v>
      </c>
      <c r="B52" s="1724" t="s">
        <v>189</v>
      </c>
      <c r="C52" s="1724" t="s">
        <v>190</v>
      </c>
      <c r="D52" s="1724" t="s">
        <v>191</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188</v>
      </c>
      <c r="B53" s="1724" t="s">
        <v>189</v>
      </c>
      <c r="C53" s="1724" t="s">
        <v>190</v>
      </c>
      <c r="D53" s="1724" t="s">
        <v>191</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188</v>
      </c>
      <c r="B54" s="1703" t="s">
        <v>189</v>
      </c>
      <c r="C54" s="1703" t="s">
        <v>190</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188</v>
      </c>
      <c r="B55" s="1703" t="s">
        <v>189</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188</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6.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6BB7-578B-24DF-E3F4-0339125C63F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396" width="10.57421875" hidden="1"/>
    <col min="2" max="2" style="11396" width="11.00390625" hidden="1" customWidth="1"/>
    <col min="3" max="3" style="11396" width="10.57421875" hidden="1"/>
    <col min="4" max="4" style="11396" width="11.8515625" hidden="1" customWidth="1"/>
    <col min="5" max="5" style="11396" width="10.00390625" hidden="1" customWidth="1"/>
    <col min="6" max="6" style="11396" width="8.7109375" hidden="1" customWidth="1"/>
    <col min="7" max="7" style="11396" width="7.57421875" hidden="1" customWidth="1"/>
    <col min="8" max="8" style="11396" width="11.421875" hidden="1" customWidth="1"/>
    <col min="9" max="9" style="11396" width="12.00390625" hidden="1" customWidth="1"/>
    <col min="10" max="10" style="11396" width="9.8515625" hidden="1" customWidth="1"/>
    <col min="11" max="12" style="11396" width="11.421875" hidden="1" customWidth="1"/>
    <col min="13" max="13" style="11999" width="19.140625" hidden="1" customWidth="1"/>
    <col min="14" max="15" style="11921" width="12.28125" hidden="1" customWidth="1"/>
    <col min="16" max="16" style="11921" width="23.421875" hidden="1" customWidth="1"/>
    <col min="17" max="17" style="11921" width="3.7109375" hidden="1" customWidth="1"/>
    <col min="18" max="20" style="11912" width="3.7109375" customWidth="1"/>
    <col min="21" max="21" style="11913" width="12.7109375" customWidth="1"/>
    <col min="22" max="22" style="11396" width="32.00390625" customWidth="1"/>
    <col min="23" max="23" style="11396" width="0.140625" customWidth="1"/>
    <col min="24" max="28" style="11396" width="21.7109375" hidden="1" customWidth="1"/>
    <col min="29" max="29" style="11396" width="11.7109375" hidden="1" customWidth="1"/>
    <col min="30" max="30" style="11396" width="3.7109375" hidden="1" customWidth="1"/>
    <col min="31" max="31" style="11396" width="11.7109375" hidden="1" customWidth="1"/>
    <col min="32" max="32" style="11396" width="8.57421875" hidden="1" customWidth="1"/>
    <col min="33" max="37" style="11396" width="21.7109375" customWidth="1"/>
    <col min="38" max="38" style="11396" width="11.7109375" customWidth="1"/>
    <col min="39" max="39" style="11396" width="3.7109375" customWidth="1"/>
    <col min="40" max="40" style="11396" width="11.7109375" customWidth="1"/>
    <col min="41" max="41" style="11396" width="8.57421875" customWidth="1"/>
    <col min="42" max="42" style="11396" width="4.7109375" customWidth="1"/>
    <col min="43" max="43" style="11396" width="115.7109375" customWidth="1"/>
    <col min="44" max="45" style="11901" width="10.57421875"/>
    <col min="46" max="46" style="11901" width="11.140625" customWidth="1"/>
    <col min="47" max="48" style="11901" width="10.57421875"/>
  </cols>
  <sheetData>
    <row customHeight="1" ht="14.25" hidden="1">
      <c r="AB1" s="613"/>
      <c r="AC1" s="613"/>
      <c r="AK1" s="613"/>
      <c r="AL1" s="613"/>
    </row>
    <row customHeight="1" ht="21" hidden="1">
      <c r="A2" s="1621"/>
      <c r="B2" s="1621"/>
      <c r="C2" s="1621"/>
      <c r="D2" s="1621"/>
      <c r="E2" s="2532">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123</v>
      </c>
      <c r="W2" s="575"/>
      <c r="X2" s="4102"/>
      <c r="Y2" s="4103"/>
      <c r="Z2" s="4103"/>
      <c r="AA2" s="4103"/>
      <c r="AB2" s="4103"/>
      <c r="AC2" s="4103"/>
      <c r="AD2" s="4103"/>
      <c r="AE2" s="4103"/>
      <c r="AF2" s="4104"/>
      <c r="AG2" s="4102">
        <f>INDEX(PT_DIFFERENTIATION_NTAR,MATCH(A2,PT_DIFFERENTIATION_NTAR_ID,0))</f>
      </c>
      <c r="AH2" s="4103"/>
      <c r="AI2" s="4103"/>
      <c r="AJ2" s="4103"/>
      <c r="AK2" s="4103"/>
      <c r="AL2" s="4103"/>
      <c r="AM2" s="4103"/>
      <c r="AN2" s="4103"/>
      <c r="AO2" s="4103"/>
      <c r="AP2" s="4104"/>
      <c r="AQ2" s="1611" t="s">
        <v>1461</v>
      </c>
      <c r="AS2" s="802"/>
      <c r="AT2" s="802" t="str">
        <f>IF(V2="","",V2)</f>
        <v>Наименование тарифа</v>
      </c>
      <c r="AU2" s="802"/>
      <c r="AV2" s="802"/>
    </row>
    <row customHeight="1" ht="21" hidden="1">
      <c r="A3" s="1621"/>
      <c r="B3" s="1621"/>
      <c r="C3" s="1621"/>
      <c r="D3" s="1621"/>
      <c r="E3" s="2533"/>
      <c r="F3" s="2532">
        <v>1</v>
      </c>
      <c r="G3" s="1621"/>
      <c r="H3" s="1621"/>
      <c r="I3" s="1621"/>
      <c r="J3" s="1621"/>
      <c r="K3" s="1621"/>
      <c r="L3" s="1621"/>
      <c r="M3" s="1670"/>
      <c r="N3" s="990"/>
      <c r="O3" s="990"/>
      <c r="P3" s="990"/>
      <c r="Q3" s="1692"/>
      <c r="R3" s="638"/>
      <c r="S3" s="811"/>
      <c r="T3" s="639"/>
      <c r="U3" s="1696">
        <f>INDEX(PT_DIFFERENTIATION_NUM_TER,MATCH(B3,PT_DIFFERENTIATION_TER_ID,0))</f>
      </c>
      <c r="V3" s="585" t="s">
        <v>1462</v>
      </c>
      <c r="W3" s="575"/>
      <c r="X3" s="4102"/>
      <c r="Y3" s="4103"/>
      <c r="Z3" s="4103"/>
      <c r="AA3" s="4103"/>
      <c r="AB3" s="4103"/>
      <c r="AC3" s="4103"/>
      <c r="AD3" s="4103"/>
      <c r="AE3" s="4103"/>
      <c r="AF3" s="4104"/>
      <c r="AG3" s="4102">
        <f>INDEX(PT_DIFFERENTIATION_TER,MATCH(B3,PT_DIFFERENTIATION_TER_ID,0))</f>
      </c>
      <c r="AH3" s="4103"/>
      <c r="AI3" s="4103"/>
      <c r="AJ3" s="4103"/>
      <c r="AK3" s="4103"/>
      <c r="AL3" s="4103"/>
      <c r="AM3" s="4103"/>
      <c r="AN3" s="4103"/>
      <c r="AO3" s="4103"/>
      <c r="AP3" s="4104"/>
      <c r="AQ3" s="1611" t="s">
        <v>1463</v>
      </c>
      <c r="AS3" s="802"/>
      <c r="AT3" s="802" t="str">
        <f>IF(V3="","",V3)</f>
        <v>Территория действия тарифа</v>
      </c>
      <c r="AU3" s="802"/>
      <c r="AV3" s="802"/>
    </row>
    <row customHeight="1" ht="22.5" hidden="1">
      <c r="A4" s="1621"/>
      <c r="B4" s="1621"/>
      <c r="C4" s="1621"/>
      <c r="D4" s="1621"/>
      <c r="E4" s="2533"/>
      <c r="F4" s="2533"/>
      <c r="G4" s="2532">
        <v>1</v>
      </c>
      <c r="H4" s="1621"/>
      <c r="I4" s="1621"/>
      <c r="J4" s="1621"/>
      <c r="K4" s="1621"/>
      <c r="L4" s="1621"/>
      <c r="M4" s="1670"/>
      <c r="N4" s="990"/>
      <c r="O4" s="990"/>
      <c r="P4" s="990"/>
      <c r="Q4" s="640"/>
      <c r="R4" s="638"/>
      <c r="S4" s="811"/>
      <c r="T4" s="639"/>
      <c r="U4" s="1696">
        <f>INDEX(PT_DIFFERENTIATION_NUM_CS,MATCH(C4,PT_DIFFERENTIATION_CS_ID,0))</f>
      </c>
      <c r="V4" s="586" t="s">
        <v>1464</v>
      </c>
      <c r="W4" s="575"/>
      <c r="X4" s="4102"/>
      <c r="Y4" s="4103"/>
      <c r="Z4" s="4103"/>
      <c r="AA4" s="4103"/>
      <c r="AB4" s="4103"/>
      <c r="AC4" s="4103"/>
      <c r="AD4" s="4103"/>
      <c r="AE4" s="4103"/>
      <c r="AF4" s="4104"/>
      <c r="AG4" s="4102">
        <f>INDEX(PT_DIFFERENTIATION_CS,MATCH(C4,PT_DIFFERENTIATION_CS_ID,0))</f>
      </c>
      <c r="AH4" s="4103"/>
      <c r="AI4" s="4103"/>
      <c r="AJ4" s="4103"/>
      <c r="AK4" s="4103"/>
      <c r="AL4" s="4103"/>
      <c r="AM4" s="4103"/>
      <c r="AN4" s="4103"/>
      <c r="AO4" s="4103"/>
      <c r="AP4" s="4104"/>
      <c r="AQ4" s="1611" t="s">
        <v>1465</v>
      </c>
      <c r="AS4" s="802"/>
      <c r="AT4" s="802" t="str">
        <f>IF(V4="","",V4)</f>
        <v>Наименование системы теплоснабжения </v>
      </c>
      <c r="AU4" s="802"/>
      <c r="AV4" s="802"/>
    </row>
    <row customHeight="1" ht="21" hidden="1">
      <c r="A5" s="1621"/>
      <c r="B5" s="1621"/>
      <c r="C5" s="1621"/>
      <c r="D5" s="1621"/>
      <c r="E5" s="2533"/>
      <c r="F5" s="2533"/>
      <c r="G5" s="2533"/>
      <c r="H5" s="2532">
        <v>1</v>
      </c>
      <c r="I5" s="1621"/>
      <c r="J5" s="1621"/>
      <c r="K5" s="1621"/>
      <c r="L5" s="1621"/>
      <c r="M5" s="1670"/>
      <c r="N5" s="990"/>
      <c r="O5" s="990"/>
      <c r="P5" s="990"/>
      <c r="Q5" s="640"/>
      <c r="R5" s="638"/>
      <c r="S5" s="811"/>
      <c r="T5" s="639"/>
      <c r="U5" s="1696">
        <f>INDEX(PT_DIFFERENTIATION_NUM_IST_TE,MATCH(D5,PT_DIFFERENTIATION_IST_TE_ID,0))</f>
      </c>
      <c r="V5" s="587" t="s">
        <v>1466</v>
      </c>
      <c r="W5" s="575"/>
      <c r="X5" s="4102"/>
      <c r="Y5" s="4103"/>
      <c r="Z5" s="4103"/>
      <c r="AA5" s="4103"/>
      <c r="AB5" s="4103"/>
      <c r="AC5" s="4103"/>
      <c r="AD5" s="4103"/>
      <c r="AE5" s="4103"/>
      <c r="AF5" s="4104"/>
      <c r="AG5" s="4102">
        <f>INDEX(PT_DIFFERENTIATION_IST_TE,MATCH(D5,PT_DIFFERENTIATION_IST_TE_ID,0))</f>
      </c>
      <c r="AH5" s="4103"/>
      <c r="AI5" s="4103"/>
      <c r="AJ5" s="4103"/>
      <c r="AK5" s="4103"/>
      <c r="AL5" s="4103"/>
      <c r="AM5" s="4103"/>
      <c r="AN5" s="4103"/>
      <c r="AO5" s="4103"/>
      <c r="AP5" s="4104"/>
      <c r="AQ5" s="1611" t="s">
        <v>1467</v>
      </c>
      <c r="AS5" s="802"/>
      <c r="AT5" s="802" t="str">
        <f>IF(V5="","",V5)</f>
        <v>Источник тепловой энергии  </v>
      </c>
      <c r="AU5" s="802"/>
      <c r="AV5" s="802"/>
    </row>
    <row customHeight="1" ht="14.25" hidden="1">
      <c r="A6" s="1621"/>
      <c r="B6" s="1621"/>
      <c r="C6" s="1621"/>
      <c r="D6" s="1621"/>
      <c r="E6" s="2533"/>
      <c r="F6" s="2533"/>
      <c r="G6" s="2533"/>
      <c r="H6" s="2533"/>
      <c r="I6" s="2342">
        <f>U5&amp;".1"</f>
      </c>
      <c r="J6" s="1621"/>
      <c r="K6" s="1621"/>
      <c r="L6" s="1621"/>
      <c r="M6" s="1670" t="s">
        <v>1468</v>
      </c>
      <c r="N6" s="811"/>
      <c r="Q6" s="2488">
        <v>1</v>
      </c>
      <c r="R6" s="1691"/>
      <c r="S6" s="1691"/>
      <c r="T6" s="642"/>
      <c r="U6" s="1365"/>
      <c r="V6" s="1744"/>
      <c r="W6" s="1745"/>
      <c r="X6" s="2528"/>
      <c r="Y6" s="2529"/>
      <c r="Z6" s="2529"/>
      <c r="AA6" s="2529"/>
      <c r="AB6" s="2529"/>
      <c r="AC6" s="2529"/>
      <c r="AD6" s="2529"/>
      <c r="AE6" s="2529"/>
      <c r="AF6" s="2530"/>
      <c r="AG6" s="2528"/>
      <c r="AH6" s="2529"/>
      <c r="AI6" s="2529"/>
      <c r="AJ6" s="2529"/>
      <c r="AK6" s="2529"/>
      <c r="AL6" s="2529"/>
      <c r="AM6" s="2529"/>
      <c r="AN6" s="2529"/>
      <c r="AO6" s="2529"/>
      <c r="AP6" s="2530"/>
      <c r="AQ6" s="1746"/>
      <c r="AS6" s="802"/>
      <c r="AT6" s="802" t="str">
        <f>IF(V6="","",V6)</f>
        <v/>
      </c>
      <c r="AU6" s="802"/>
      <c r="AV6" s="802"/>
    </row>
    <row customHeight="1" ht="21" hidden="1">
      <c r="A7" s="1621"/>
      <c r="B7" s="1621"/>
      <c r="C7" s="1621"/>
      <c r="D7" s="1621"/>
      <c r="E7" s="2533"/>
      <c r="F7" s="2533"/>
      <c r="G7" s="2533"/>
      <c r="H7" s="2533"/>
      <c r="I7" s="2201"/>
      <c r="J7" s="2534">
        <f>I6&amp;".1"</f>
      </c>
      <c r="K7" s="1621"/>
      <c r="L7" s="1621"/>
      <c r="M7" s="1670" t="s">
        <v>1471</v>
      </c>
      <c r="N7" s="811"/>
      <c r="O7" s="613"/>
      <c r="Q7" s="2488"/>
      <c r="R7" s="2488">
        <v>1</v>
      </c>
      <c r="S7" s="820"/>
      <c r="T7" s="643"/>
      <c r="U7" s="1696">
        <f>$J7</f>
      </c>
      <c r="V7" s="561" t="s">
        <v>1472</v>
      </c>
      <c r="W7" s="575"/>
      <c r="X7" s="2476"/>
      <c r="Y7" s="2477"/>
      <c r="Z7" s="2477"/>
      <c r="AA7" s="2477"/>
      <c r="AB7" s="2477"/>
      <c r="AC7" s="2536"/>
      <c r="AD7" s="2536"/>
      <c r="AE7" s="2536"/>
      <c r="AF7" s="2537"/>
      <c r="AG7" s="2476"/>
      <c r="AH7" s="2477"/>
      <c r="AI7" s="2477"/>
      <c r="AJ7" s="2477"/>
      <c r="AK7" s="2477"/>
      <c r="AL7" s="2477"/>
      <c r="AM7" s="2477"/>
      <c r="AN7" s="2477"/>
      <c r="AO7" s="2477"/>
      <c r="AP7" s="2478"/>
      <c r="AQ7" s="1611" t="s">
        <v>1473</v>
      </c>
      <c r="AS7" s="802"/>
      <c r="AT7" s="802" t="str">
        <f>IF(V7="","",V7)</f>
        <v>Группа потребителей</v>
      </c>
      <c r="AU7" s="802"/>
      <c r="AV7" s="802"/>
    </row>
    <row customHeight="1" ht="21" hidden="1">
      <c r="A8" s="1621"/>
      <c r="B8" s="1621"/>
      <c r="C8" s="1621"/>
      <c r="D8" s="1621"/>
      <c r="E8" s="2533"/>
      <c r="F8" s="2533"/>
      <c r="G8" s="2533"/>
      <c r="H8" s="2533"/>
      <c r="I8" s="2201"/>
      <c r="J8" s="2535"/>
      <c r="K8" s="2534">
        <f>J7&amp;".1"</f>
      </c>
      <c r="L8" s="410"/>
      <c r="M8" s="1670" t="s">
        <v>1474</v>
      </c>
      <c r="N8" s="811"/>
      <c r="O8" s="613"/>
      <c r="P8" s="613"/>
      <c r="Q8" s="2488"/>
      <c r="R8" s="2488"/>
      <c r="S8" s="2488">
        <v>1</v>
      </c>
      <c r="T8" s="643"/>
      <c r="U8" s="1696">
        <f>$K8</f>
      </c>
      <c r="V8" s="1707"/>
      <c r="W8" s="575"/>
      <c r="X8" s="4130"/>
      <c r="Y8" s="4130"/>
      <c r="Z8" s="4130"/>
      <c r="AA8" s="4130"/>
      <c r="AB8" s="4282"/>
      <c r="AC8" s="2495"/>
      <c r="AD8" s="2207" t="s">
        <v>63</v>
      </c>
      <c r="AE8" s="2495"/>
      <c r="AF8" s="2207" t="s">
        <v>63</v>
      </c>
      <c r="AG8" s="4283"/>
      <c r="AH8" s="4130"/>
      <c r="AI8" s="4130"/>
      <c r="AJ8" s="4130"/>
      <c r="AK8" s="4132"/>
      <c r="AL8" s="2495"/>
      <c r="AM8" s="2207" t="s">
        <v>63</v>
      </c>
      <c r="AN8" s="2495"/>
      <c r="AO8" s="2207" t="s">
        <v>63</v>
      </c>
      <c r="AP8" s="4131"/>
      <c r="AQ8" s="1667" t="s">
        <v>1524</v>
      </c>
      <c r="AR8" s="813">
        <f>STRCHECKDATE(X10:AP10)</f>
      </c>
      <c r="AS8" s="802"/>
      <c r="AT8" s="802" t="str">
        <f>IF(V8="","",V8)</f>
        <v/>
      </c>
      <c r="AU8" s="802"/>
      <c r="AV8" s="802"/>
    </row>
    <row customHeight="1" ht="21" hidden="1">
      <c r="A9" s="1621"/>
      <c r="B9" s="1621"/>
      <c r="C9" s="1621"/>
      <c r="D9" s="1621"/>
      <c r="E9" s="2533"/>
      <c r="F9" s="2533"/>
      <c r="G9" s="2533"/>
      <c r="H9" s="2533"/>
      <c r="I9" s="2201"/>
      <c r="J9" s="2535"/>
      <c r="K9" s="2535"/>
      <c r="L9" s="2534">
        <f>K8&amp;".1"</f>
      </c>
      <c r="M9" s="1670"/>
      <c r="N9" s="811"/>
      <c r="O9" s="613"/>
      <c r="P9" s="613"/>
      <c r="Q9" s="2488"/>
      <c r="R9" s="2488"/>
      <c r="S9" s="2488"/>
      <c r="T9" s="643"/>
      <c r="U9" s="1696">
        <f>$L9</f>
      </c>
      <c r="V9" s="1752"/>
      <c r="W9" s="575"/>
      <c r="X9" s="4131"/>
      <c r="Y9" s="4130"/>
      <c r="Z9" s="4130"/>
      <c r="AA9" s="4130"/>
      <c r="AB9" s="4282"/>
      <c r="AC9" s="2538"/>
      <c r="AD9" s="2207"/>
      <c r="AE9" s="2538"/>
      <c r="AF9" s="2207"/>
      <c r="AG9" s="4283"/>
      <c r="AH9" s="4130"/>
      <c r="AI9" s="4130"/>
      <c r="AJ9" s="4130"/>
      <c r="AK9" s="4132"/>
      <c r="AL9" s="2538"/>
      <c r="AM9" s="2207"/>
      <c r="AN9" s="2538"/>
      <c r="AO9" s="2207"/>
      <c r="AP9" s="4131"/>
      <c r="AQ9" s="2484" t="s">
        <v>1525</v>
      </c>
      <c r="AS9" s="802"/>
      <c r="AT9" s="802"/>
      <c r="AU9" s="802"/>
      <c r="AV9" s="802"/>
    </row>
    <row customHeight="1" ht="0.75" hidden="1">
      <c r="A10" s="1621"/>
      <c r="B10" s="1621"/>
      <c r="C10" s="1621"/>
      <c r="D10" s="1621"/>
      <c r="E10" s="2533"/>
      <c r="F10" s="2533"/>
      <c r="G10" s="2533"/>
      <c r="H10" s="2533"/>
      <c r="I10" s="2201"/>
      <c r="J10" s="2535"/>
      <c r="K10" s="2535"/>
      <c r="L10" s="2534"/>
      <c r="M10" s="1670"/>
      <c r="N10" s="811"/>
      <c r="O10" s="613"/>
      <c r="P10" s="613"/>
      <c r="Q10" s="2488"/>
      <c r="R10" s="2488"/>
      <c r="S10" s="2488"/>
      <c r="T10" s="643"/>
      <c r="U10" s="1702"/>
      <c r="V10" s="575"/>
      <c r="W10" s="575"/>
      <c r="X10" s="4131"/>
      <c r="Y10" s="4131"/>
      <c r="Z10" s="4131"/>
      <c r="AA10" s="4131"/>
      <c r="AB10" s="4287" t="str">
        <f>AC8&amp;"-"&amp;AE8</f>
        <v>-</v>
      </c>
      <c r="AC10" s="2538"/>
      <c r="AD10" s="2207"/>
      <c r="AE10" s="2538"/>
      <c r="AF10" s="2207"/>
      <c r="AG10" s="4288"/>
      <c r="AH10" s="4131"/>
      <c r="AI10" s="4131"/>
      <c r="AJ10" s="4131"/>
      <c r="AK10" s="4136" t="str">
        <f>AL8&amp;"-"&amp;AN8</f>
        <v>-</v>
      </c>
      <c r="AL10" s="2538"/>
      <c r="AM10" s="2207"/>
      <c r="AN10" s="2538"/>
      <c r="AO10" s="2207"/>
      <c r="AP10" s="4131"/>
      <c r="AQ10" s="2485"/>
      <c r="AS10" s="802"/>
      <c r="AT10" s="802" t="str">
        <f>IF(V10="","",V10)</f>
        <v/>
      </c>
      <c r="AU10" s="802"/>
      <c r="AV10" s="802"/>
    </row>
    <row customHeight="1" ht="11.25" hidden="1">
      <c r="A11" s="1621"/>
      <c r="B11" s="1621"/>
      <c r="C11" s="1621"/>
      <c r="D11" s="1621"/>
      <c r="E11" s="2533"/>
      <c r="F11" s="2533"/>
      <c r="G11" s="2533"/>
      <c r="H11" s="2533"/>
      <c r="I11" s="2201"/>
      <c r="J11" s="2535"/>
      <c r="K11" s="2534"/>
      <c r="L11" s="1621"/>
      <c r="M11" s="1670"/>
      <c r="N11" s="811"/>
      <c r="O11" s="613"/>
      <c r="P11" s="613"/>
      <c r="Q11" s="2488"/>
      <c r="R11" s="2488"/>
      <c r="S11" s="2488"/>
      <c r="T11" s="643"/>
      <c r="U11" s="1633"/>
      <c r="V11" s="563" t="s">
        <v>1526</v>
      </c>
      <c r="W11" s="1753"/>
      <c r="X11" s="4290"/>
      <c r="Y11" s="4290"/>
      <c r="Z11" s="4290"/>
      <c r="AA11" s="4290"/>
      <c r="AB11" s="4291"/>
      <c r="AC11" s="2538"/>
      <c r="AD11" s="2207"/>
      <c r="AE11" s="2538"/>
      <c r="AF11" s="2207"/>
      <c r="AG11" s="4290"/>
      <c r="AH11" s="4290"/>
      <c r="AI11" s="4290"/>
      <c r="AJ11" s="4290"/>
      <c r="AK11" s="4291"/>
      <c r="AL11" s="2538"/>
      <c r="AM11" s="2207"/>
      <c r="AN11" s="2538"/>
      <c r="AO11" s="2207"/>
      <c r="AP11" s="4292"/>
      <c r="AQ11" s="2485"/>
      <c r="AS11" s="802"/>
      <c r="AT11" s="802"/>
      <c r="AU11" s="802"/>
      <c r="AV11" s="802"/>
    </row>
    <row customHeight="1" ht="15" hidden="1">
      <c r="A12" s="1621"/>
      <c r="B12" s="1621"/>
      <c r="C12" s="1621"/>
      <c r="D12" s="1621"/>
      <c r="E12" s="2533"/>
      <c r="F12" s="2533"/>
      <c r="G12" s="2533"/>
      <c r="H12" s="2533"/>
      <c r="I12" s="2201"/>
      <c r="J12" s="2534"/>
      <c r="K12" s="1621"/>
      <c r="L12" s="1621"/>
      <c r="M12" s="1670"/>
      <c r="N12" s="811"/>
      <c r="O12" s="613"/>
      <c r="Q12" s="2488"/>
      <c r="R12" s="2488"/>
      <c r="S12" s="1691"/>
      <c r="T12" s="642"/>
      <c r="U12" s="1633"/>
      <c r="V12" s="562" t="s">
        <v>1476</v>
      </c>
      <c r="W12" s="657"/>
      <c r="X12" s="657"/>
      <c r="Y12" s="657"/>
      <c r="Z12" s="657"/>
      <c r="AA12" s="657"/>
      <c r="AB12" s="657"/>
      <c r="AC12" s="1770"/>
      <c r="AD12" s="1770"/>
      <c r="AE12" s="1770"/>
      <c r="AF12" s="1770"/>
      <c r="AG12" s="657"/>
      <c r="AH12" s="657"/>
      <c r="AI12" s="657"/>
      <c r="AJ12" s="657"/>
      <c r="AK12" s="657"/>
      <c r="AL12" s="657"/>
      <c r="AM12" s="657"/>
      <c r="AN12" s="657"/>
      <c r="AO12" s="657"/>
      <c r="AP12" s="609"/>
      <c r="AQ12" s="2486"/>
      <c r="AS12" s="802"/>
      <c r="AT12" s="802" t="str">
        <f>IF(V12="","",V12)</f>
        <v>Добавить вид теплоносителя (параметры теплоносителя)</v>
      </c>
      <c r="AU12" s="802"/>
      <c r="AV12" s="802"/>
    </row>
    <row customHeight="1" ht="15" hidden="1">
      <c r="A13" s="1621"/>
      <c r="B13" s="1621"/>
      <c r="C13" s="1621"/>
      <c r="D13" s="1621"/>
      <c r="E13" s="2533"/>
      <c r="F13" s="2533"/>
      <c r="G13" s="2533"/>
      <c r="H13" s="2533"/>
      <c r="I13" s="2342"/>
      <c r="J13" s="1621"/>
      <c r="K13" s="1621"/>
      <c r="L13" s="1621"/>
      <c r="M13" s="1670"/>
      <c r="N13" s="811"/>
      <c r="Q13" s="2488"/>
      <c r="R13" s="1691"/>
      <c r="S13" s="1691"/>
      <c r="T13" s="642"/>
      <c r="U13" s="1633"/>
      <c r="V13" s="654" t="s">
        <v>1477</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33"/>
      <c r="F14" s="2533"/>
      <c r="G14" s="2533"/>
      <c r="H14" s="2532"/>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813" customFormat="1" customHeight="1" ht="0.75" hidden="1">
      <c r="A15" s="1735"/>
      <c r="B15" s="1735"/>
      <c r="C15" s="1735"/>
      <c r="D15" s="1735"/>
      <c r="E15" s="2533"/>
      <c r="F15" s="2533"/>
      <c r="G15" s="2532"/>
      <c r="H15" s="1735"/>
      <c r="I15" s="1735"/>
      <c r="J15" s="1735"/>
      <c r="K15" s="1735"/>
      <c r="L15" s="1735"/>
      <c r="M15" s="1738"/>
      <c r="N15" s="1739"/>
      <c r="O15" s="1739"/>
      <c r="P15" s="637"/>
      <c r="Q15" s="1676"/>
      <c r="R15" s="1677"/>
      <c r="S15" s="1676"/>
      <c r="T15" s="1676"/>
      <c r="U15" s="1678"/>
      <c r="V15" s="1679" t="s">
        <v>1437</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813" customFormat="1" customHeight="1" ht="0.75" hidden="1">
      <c r="A16" s="1735"/>
      <c r="B16" s="1735"/>
      <c r="C16" s="1735"/>
      <c r="D16" s="1735"/>
      <c r="E16" s="2533"/>
      <c r="F16" s="2532"/>
      <c r="G16" s="1735"/>
      <c r="H16" s="1735"/>
      <c r="I16" s="1735"/>
      <c r="J16" s="1735"/>
      <c r="K16" s="1735"/>
      <c r="L16" s="1735"/>
      <c r="M16" s="1738"/>
      <c r="N16" s="1740"/>
      <c r="O16" s="1740"/>
      <c r="P16" s="637"/>
      <c r="Q16" s="1676"/>
      <c r="R16" s="1677"/>
      <c r="S16" s="1676"/>
      <c r="T16" s="1676"/>
      <c r="U16" s="1682"/>
      <c r="V16" s="1683" t="s">
        <v>1438</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813" customFormat="1" customHeight="1" ht="0.75" hidden="1">
      <c r="A17" s="1735"/>
      <c r="B17" s="1735"/>
      <c r="C17" s="1735"/>
      <c r="D17" s="1735"/>
      <c r="E17" s="2532"/>
      <c r="F17" s="1735"/>
      <c r="G17" s="1735"/>
      <c r="H17" s="1735"/>
      <c r="I17" s="1735"/>
      <c r="J17" s="1735"/>
      <c r="K17" s="1735"/>
      <c r="L17" s="1735"/>
      <c r="M17" s="1738"/>
      <c r="N17" s="1740"/>
      <c r="O17" s="1740"/>
      <c r="P17" s="637"/>
      <c r="Q17" s="1676"/>
      <c r="R17" s="1677"/>
      <c r="S17" s="1676"/>
      <c r="T17" s="1676"/>
      <c r="U17" s="1682"/>
      <c r="V17" s="1685" t="s">
        <v>1439</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63"/>
      <c r="AH19" s="4163"/>
      <c r="AI19" s="4163"/>
      <c r="AJ19" s="4163"/>
      <c r="AK19" s="4164"/>
      <c r="AL19" s="2497"/>
      <c r="AM19" s="2498" t="s">
        <v>63</v>
      </c>
      <c r="AN19" s="2497"/>
      <c r="AO19" s="2498" t="s">
        <v>63</v>
      </c>
    </row>
    <row customHeight="1" ht="14.25" hidden="1">
      <c r="AG20" s="4163"/>
      <c r="AH20" s="4163"/>
      <c r="AI20" s="4163"/>
      <c r="AJ20" s="4163"/>
      <c r="AK20" s="4164"/>
      <c r="AL20" s="2497"/>
      <c r="AM20" s="2498"/>
      <c r="AN20" s="2497"/>
      <c r="AO20" s="2498"/>
    </row>
    <row customHeight="1" ht="14.25" hidden="1">
      <c r="AG21" s="4163"/>
      <c r="AH21" s="4163"/>
      <c r="AI21" s="4163"/>
      <c r="AJ21" s="4163"/>
      <c r="AK21" s="4164"/>
      <c r="AL21" s="2497"/>
      <c r="AM21" s="2498"/>
      <c r="AN21" s="2497"/>
      <c r="AO21" s="2498"/>
    </row>
    <row customHeight="1" ht="14.25" hidden="1">
      <c r="AG22" s="4163"/>
      <c r="AH22" s="4163"/>
      <c r="AI22" s="4163"/>
      <c r="AJ22" s="4163"/>
      <c r="AK22" s="4136" t="str">
        <f>AL19&amp;"-"&amp;AN19</f>
        <v>-</v>
      </c>
      <c r="AL22" s="2498"/>
      <c r="AM22" s="2498"/>
      <c r="AN22" s="2498"/>
      <c r="AO22" s="2498"/>
    </row>
    <row customHeight="1" ht="14.25" hidden="1">
      <c r="AO23" s="613"/>
    </row>
    <row s="11832" customFormat="1" customHeight="1" ht="22.5" hidden="1">
      <c r="A24" s="1481"/>
      <c r="B24" s="1481"/>
      <c r="C24" s="1481"/>
      <c r="D24" s="1481"/>
      <c r="E24" s="1481"/>
      <c r="F24" s="1481"/>
      <c r="G24" s="1481"/>
      <c r="H24" s="1481"/>
      <c r="I24" s="1481"/>
      <c r="J24" s="1481"/>
      <c r="K24" s="1481"/>
      <c r="L24" s="1481"/>
      <c r="M24" s="1687"/>
      <c r="N24" s="1688"/>
      <c r="O24" s="1688"/>
      <c r="P24" s="1705" t="s">
        <v>1479</v>
      </c>
      <c r="Q24" s="1723"/>
      <c r="R24" s="1732"/>
      <c r="S24" s="1732"/>
      <c r="T24" s="1732"/>
      <c r="U24" s="1032"/>
      <c r="AC24" s="1728"/>
      <c r="AE24" s="1728"/>
      <c r="AF24" s="1727"/>
      <c r="AL24" s="1728"/>
      <c r="AN24" s="1728"/>
      <c r="AO24" s="1727"/>
      <c r="AR24" s="813"/>
      <c r="AS24" s="813"/>
      <c r="AT24" s="813"/>
      <c r="AU24" s="813"/>
      <c r="AV24" s="813"/>
    </row>
    <row s="11832"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832" customFormat="1" customHeight="1" ht="14.25" hidden="1">
      <c r="A26" s="1481"/>
      <c r="B26" s="1481"/>
      <c r="C26" s="1481"/>
      <c r="D26" s="1481"/>
      <c r="E26" s="1481"/>
      <c r="F26" s="1481"/>
      <c r="G26" s="1481"/>
      <c r="H26" s="1481"/>
      <c r="I26" s="1481"/>
      <c r="J26" s="1481"/>
      <c r="K26" s="1481"/>
      <c r="L26" s="1481"/>
      <c r="M26" s="1687"/>
      <c r="N26" s="1688"/>
      <c r="O26" s="1688"/>
      <c r="P26" s="1670" t="s">
        <v>1480</v>
      </c>
      <c r="Q26" s="1723"/>
      <c r="R26" s="1732"/>
      <c r="S26" s="1732"/>
      <c r="T26" s="1732"/>
      <c r="U26" s="1032"/>
      <c r="V26" s="1486" t="s">
        <v>1481</v>
      </c>
      <c r="AD26" s="458" t="s">
        <v>1482</v>
      </c>
      <c r="AF26" s="458" t="s">
        <v>1483</v>
      </c>
      <c r="AG26" s="1486" t="s">
        <v>1481</v>
      </c>
      <c r="AM26" s="458" t="s">
        <v>1484</v>
      </c>
      <c r="AO26" s="458" t="s">
        <v>1483</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47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86"/>
    </row>
    <row customHeight="1" ht="14.25">
      <c r="R31" s="667"/>
      <c r="S31" s="667"/>
      <c r="T31" s="667"/>
      <c r="U31"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80"/>
      <c r="W31" s="2480"/>
      <c r="X31" s="2480"/>
      <c r="Y31" s="2480"/>
      <c r="Z31" s="2480"/>
      <c r="AA31" s="2480"/>
      <c r="AB31" s="2480"/>
      <c r="AC31" s="2480"/>
      <c r="AD31" s="2480"/>
      <c r="AE31" s="2480"/>
      <c r="AF31" s="2480"/>
      <c r="AG31" s="2480"/>
      <c r="AH31" s="2480"/>
      <c r="AI31" s="2480"/>
      <c r="AJ31" s="2480"/>
      <c r="AK31" s="2480"/>
      <c r="AL31" s="2480"/>
      <c r="AM31" s="2480"/>
      <c r="AN31" s="2480"/>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843" customFormat="1" customHeight="1" ht="25.5" hidden="1">
      <c r="A33" s="1592"/>
      <c r="B33" s="1592"/>
      <c r="C33" s="1592"/>
      <c r="D33" s="1592"/>
      <c r="E33" s="1592"/>
      <c r="F33" s="1592"/>
      <c r="G33" s="1592"/>
      <c r="H33" s="1592"/>
      <c r="I33" s="1592"/>
      <c r="J33" s="1592"/>
      <c r="K33" s="1592"/>
      <c r="L33" s="1592"/>
      <c r="M33" s="1741"/>
      <c r="N33" s="1592"/>
      <c r="O33" s="1592"/>
      <c r="P33" s="1592"/>
      <c r="U33" s="2481" t="s">
        <v>38</v>
      </c>
      <c r="V33" s="2481"/>
      <c r="W33" s="1733"/>
      <c r="X33" s="2482" t="str">
        <f>IF(TITLE_NAME_OR_PR_CHANGE="",IF(TITLE_NAME_OR_PR="","",TITLE_NAME_OR_PR),TITLE_NAME_OR_PR_CHANGE)</f>
        <v/>
      </c>
      <c r="Y33" s="2482"/>
      <c r="Z33" s="2482"/>
      <c r="AA33" s="2482"/>
      <c r="AB33" s="2482"/>
      <c r="AC33" s="2482"/>
      <c r="AD33" s="2482"/>
      <c r="AE33" s="2482"/>
      <c r="AF33" s="612"/>
      <c r="AG33" s="2482" t="str">
        <f>IF(TITLE_NAME_OR_PR_CHANGE="",IF(TITLE_NAME_OR_PR="","",TITLE_NAME_OR_PR),TITLE_NAME_OR_PR_CHANGE)</f>
        <v/>
      </c>
      <c r="AH33" s="2482"/>
      <c r="AI33" s="2482"/>
      <c r="AJ33" s="2482"/>
      <c r="AK33" s="2482"/>
      <c r="AL33" s="2482"/>
      <c r="AM33" s="2482"/>
      <c r="AN33" s="2482"/>
      <c r="AO33" s="612"/>
      <c r="AP33" s="612"/>
      <c r="AQ33" s="555"/>
      <c r="AR33" s="658"/>
      <c r="AS33" s="658"/>
      <c r="AT33" s="658"/>
      <c r="AU33" s="658"/>
      <c r="AV33" s="658"/>
    </row>
    <row s="11843" customFormat="1" customHeight="1" ht="18.75" hidden="1">
      <c r="A34" s="1592"/>
      <c r="B34" s="1592"/>
      <c r="C34" s="1592"/>
      <c r="D34" s="1592"/>
      <c r="E34" s="1592"/>
      <c r="F34" s="1592"/>
      <c r="G34" s="1592"/>
      <c r="H34" s="1592"/>
      <c r="I34" s="1592"/>
      <c r="J34" s="1592"/>
      <c r="K34" s="1592"/>
      <c r="L34" s="1592"/>
      <c r="M34" s="1741"/>
      <c r="N34" s="1592"/>
      <c r="O34" s="1592"/>
      <c r="P34" s="1592"/>
      <c r="U34" s="2481" t="s">
        <v>1485</v>
      </c>
      <c r="V34" s="2481"/>
      <c r="W34" s="1733"/>
      <c r="X34" s="2482" t="str">
        <f>IF(TITLE_DATE_CHANGE_PERIOD="",IF(TITLE_DATE_PR="","",TITLE_DATE_PR),TITLE_DATE_CHANGE_PERIOD)</f>
        <v/>
      </c>
      <c r="Y34" s="2482"/>
      <c r="Z34" s="2482"/>
      <c r="AA34" s="2482"/>
      <c r="AB34" s="2482"/>
      <c r="AC34" s="2482"/>
      <c r="AD34" s="2482"/>
      <c r="AE34" s="2482"/>
      <c r="AF34" s="612"/>
      <c r="AG34" s="2482" t="str">
        <f>IF(TITLE_DATE_CHANGE_PERIOD="",IF(TITLE_DATE_PR="","",TITLE_DATE_PR),TITLE_DATE_CHANGE_PERIOD)</f>
        <v/>
      </c>
      <c r="AH34" s="2482"/>
      <c r="AI34" s="2482"/>
      <c r="AJ34" s="2482"/>
      <c r="AK34" s="2482"/>
      <c r="AL34" s="2482"/>
      <c r="AM34" s="2482"/>
      <c r="AN34" s="2482"/>
      <c r="AO34" s="612"/>
      <c r="AP34" s="612"/>
      <c r="AQ34" s="555"/>
      <c r="AR34" s="658"/>
      <c r="AS34" s="658"/>
      <c r="AT34" s="658"/>
      <c r="AU34" s="658"/>
      <c r="AV34" s="658"/>
    </row>
    <row s="11843" customFormat="1" customHeight="1" ht="18.75" hidden="1">
      <c r="A35" s="1592"/>
      <c r="B35" s="1592"/>
      <c r="C35" s="1592"/>
      <c r="D35" s="1592"/>
      <c r="E35" s="1592"/>
      <c r="F35" s="1592"/>
      <c r="G35" s="1592"/>
      <c r="H35" s="1592"/>
      <c r="I35" s="1592"/>
      <c r="J35" s="1592"/>
      <c r="K35" s="1592"/>
      <c r="L35" s="1592"/>
      <c r="M35" s="1741"/>
      <c r="N35" s="1592"/>
      <c r="O35" s="1592"/>
      <c r="P35" s="1592"/>
      <c r="U35" s="2481" t="s">
        <v>1486</v>
      </c>
      <c r="V35" s="2481"/>
      <c r="W35" s="1733"/>
      <c r="X35" s="2482" t="str">
        <f>IF(TITLE_NUMBER_PR_CHANGE="",IF(TITLE_NUMBER_PR="","",TITLE_NUMBER_PR),TITLE_NUMBER_PR_CHANGE)</f>
        <v/>
      </c>
      <c r="Y35" s="2482"/>
      <c r="Z35" s="2482"/>
      <c r="AA35" s="2482"/>
      <c r="AB35" s="2482"/>
      <c r="AC35" s="2482"/>
      <c r="AD35" s="2482"/>
      <c r="AE35" s="2482"/>
      <c r="AF35" s="612"/>
      <c r="AG35" s="2482" t="str">
        <f>IF(TITLE_NUMBER_PR_CHANGE="",IF(TITLE_NUMBER_PR="","",TITLE_NUMBER_PR),TITLE_NUMBER_PR_CHANGE)</f>
        <v/>
      </c>
      <c r="AH35" s="2482"/>
      <c r="AI35" s="2482"/>
      <c r="AJ35" s="2482"/>
      <c r="AK35" s="2482"/>
      <c r="AL35" s="2482"/>
      <c r="AM35" s="2482"/>
      <c r="AN35" s="2482"/>
      <c r="AO35" s="612"/>
      <c r="AP35" s="612"/>
      <c r="AQ35" s="555"/>
      <c r="AR35" s="658"/>
      <c r="AS35" s="658"/>
      <c r="AT35" s="658"/>
      <c r="AU35" s="658"/>
      <c r="AV35" s="658"/>
    </row>
    <row s="11843" customFormat="1" customHeight="1" ht="18.75" hidden="1">
      <c r="A36" s="1592"/>
      <c r="B36" s="1592"/>
      <c r="C36" s="1592"/>
      <c r="D36" s="1592"/>
      <c r="E36" s="1592"/>
      <c r="F36" s="1592"/>
      <c r="G36" s="1592"/>
      <c r="H36" s="1592"/>
      <c r="I36" s="1592"/>
      <c r="J36" s="1592"/>
      <c r="K36" s="1592"/>
      <c r="L36" s="1592"/>
      <c r="M36" s="1741"/>
      <c r="N36" s="1592"/>
      <c r="O36" s="1592"/>
      <c r="P36" s="1592"/>
      <c r="U36" s="2481" t="s">
        <v>39</v>
      </c>
      <c r="V36" s="2481"/>
      <c r="W36" s="1733"/>
      <c r="X36" s="2482" t="str">
        <f>IF(TITLE_IST_PUB_CHANGE="",IF(TITLE_IST_PUB="","",TITLE_IST_PUB),TITLE_IST_PUB_CHANGE)</f>
        <v/>
      </c>
      <c r="Y36" s="2482"/>
      <c r="Z36" s="2482"/>
      <c r="AA36" s="2482"/>
      <c r="AB36" s="2482"/>
      <c r="AC36" s="2482"/>
      <c r="AD36" s="2482"/>
      <c r="AE36" s="2482"/>
      <c r="AF36" s="612"/>
      <c r="AG36" s="2482" t="str">
        <f>IF(TITLE_IST_PUB_CHANGE="",IF(TITLE_IST_PUB="","",TITLE_IST_PUB),TITLE_IST_PUB_CHANGE)</f>
        <v/>
      </c>
      <c r="AH36" s="2482"/>
      <c r="AI36" s="2482"/>
      <c r="AJ36" s="2482"/>
      <c r="AK36" s="2482"/>
      <c r="AL36" s="2482"/>
      <c r="AM36" s="2482"/>
      <c r="AN36" s="2482"/>
      <c r="AO36" s="612"/>
      <c r="AP36" s="612"/>
      <c r="AQ36" s="555"/>
      <c r="AR36" s="658"/>
      <c r="AS36" s="658"/>
      <c r="AT36" s="658"/>
      <c r="AU36" s="658"/>
      <c r="AV36" s="658"/>
    </row>
    <row customHeight="1" ht="14.25" hidden="1">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843" customFormat="1" customHeight="1" ht="18.75" hidden="1">
      <c r="A38" s="1592"/>
      <c r="B38" s="1592"/>
      <c r="C38" s="1592"/>
      <c r="D38" s="1592"/>
      <c r="E38" s="1592"/>
      <c r="F38" s="1592"/>
      <c r="G38" s="1592"/>
      <c r="H38" s="1592"/>
      <c r="I38" s="1592"/>
      <c r="J38" s="1592"/>
      <c r="K38" s="1592"/>
      <c r="L38" s="1592"/>
      <c r="M38" s="1741"/>
      <c r="N38" s="1592"/>
      <c r="O38" s="1592"/>
      <c r="P38" s="1592"/>
      <c r="U38" s="2481" t="s">
        <v>1487</v>
      </c>
      <c r="V38" s="2481"/>
      <c r="W38" s="1733"/>
      <c r="X38" s="2482" t="str">
        <f>IF(TITLE_DATE_CHANGE_PERIOD="",IF(TITLE_DATE_PR="","",TITLE_DATE_PR),TITLE_DATE_CHANGE_PERIOD)</f>
        <v/>
      </c>
      <c r="Y38" s="2482"/>
      <c r="Z38" s="2482"/>
      <c r="AA38" s="2482"/>
      <c r="AB38" s="2482"/>
      <c r="AC38" s="2482"/>
      <c r="AD38" s="2482"/>
      <c r="AE38" s="2482"/>
      <c r="AF38" s="612"/>
      <c r="AG38" s="2482" t="str">
        <f>IF(TITLE_DATE_CHANGE_PERIOD="",IF(TITLE_DATE_PR="","",TITLE_DATE_PR),TITLE_DATE_CHANGE_PERIOD)</f>
        <v/>
      </c>
      <c r="AH38" s="2482"/>
      <c r="AI38" s="2482"/>
      <c r="AJ38" s="2482"/>
      <c r="AK38" s="2482"/>
      <c r="AL38" s="2482"/>
      <c r="AM38" s="2482"/>
      <c r="AN38" s="2482"/>
      <c r="AO38" s="612"/>
      <c r="AP38" s="612"/>
      <c r="AQ38" s="555"/>
      <c r="AR38" s="658"/>
      <c r="AS38" s="658"/>
      <c r="AT38" s="658"/>
      <c r="AU38" s="658"/>
      <c r="AV38" s="658"/>
    </row>
    <row s="11843" customFormat="1" customHeight="1" ht="18.75" hidden="1">
      <c r="A39" s="1592"/>
      <c r="B39" s="1592"/>
      <c r="C39" s="1592"/>
      <c r="D39" s="1592"/>
      <c r="E39" s="1592"/>
      <c r="F39" s="1592"/>
      <c r="G39" s="1592"/>
      <c r="H39" s="1592"/>
      <c r="I39" s="1592"/>
      <c r="J39" s="1592"/>
      <c r="K39" s="1592"/>
      <c r="L39" s="1592"/>
      <c r="M39" s="1741"/>
      <c r="N39" s="1592"/>
      <c r="O39" s="1592"/>
      <c r="P39" s="1592"/>
      <c r="U39" s="2481" t="s">
        <v>1488</v>
      </c>
      <c r="V39" s="2481"/>
      <c r="W39" s="1733"/>
      <c r="X39" s="2482" t="str">
        <f>IF(TITLE_NUMBER_PR_CHANGE="",IF(TITLE_NUMBER_PR="","",TITLE_NUMBER_PR),TITLE_NUMBER_PR_CHANGE)</f>
        <v/>
      </c>
      <c r="Y39" s="2482"/>
      <c r="Z39" s="2482"/>
      <c r="AA39" s="2482"/>
      <c r="AB39" s="2482"/>
      <c r="AC39" s="2482"/>
      <c r="AD39" s="2482"/>
      <c r="AE39" s="2482"/>
      <c r="AF39" s="612"/>
      <c r="AG39" s="2482" t="str">
        <f>IF(TITLE_NUMBER_PR_CHANGE="",IF(TITLE_NUMBER_PR="","",TITLE_NUMBER_PR),TITLE_NUMBER_PR_CHANGE)</f>
        <v/>
      </c>
      <c r="AH39" s="2482"/>
      <c r="AI39" s="2482"/>
      <c r="AJ39" s="2482"/>
      <c r="AK39" s="2482"/>
      <c r="AL39" s="2482"/>
      <c r="AM39" s="2482"/>
      <c r="AN39" s="2482"/>
      <c r="AO39" s="612"/>
      <c r="AP39" s="612"/>
      <c r="AQ39" s="555"/>
      <c r="AR39" s="658"/>
      <c r="AS39" s="658"/>
      <c r="AT39" s="658"/>
      <c r="AU39" s="658"/>
      <c r="AV39" s="658"/>
    </row>
    <row s="11843"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1489</v>
      </c>
      <c r="AG40" s="612"/>
      <c r="AH40" s="612"/>
      <c r="AI40" s="612"/>
      <c r="AJ40" s="612"/>
      <c r="AK40" s="612"/>
      <c r="AL40" s="612"/>
      <c r="AM40" s="612"/>
      <c r="AN40" s="612"/>
      <c r="AO40" s="553" t="s">
        <v>1489</v>
      </c>
      <c r="AR40" s="658"/>
      <c r="AS40" s="658"/>
      <c r="AT40" s="658"/>
      <c r="AU40" s="658"/>
      <c r="AV40" s="658"/>
    </row>
    <row customHeight="1" ht="14.25">
      <c r="R41" s="667"/>
      <c r="S41" s="667"/>
      <c r="T41" s="667"/>
      <c r="U41" s="1630"/>
      <c r="V41" s="651"/>
      <c r="W41" s="1587"/>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67"/>
      <c r="S42" s="667"/>
      <c r="T42" s="667"/>
      <c r="U42" s="2342" t="s">
        <v>291</v>
      </c>
      <c r="V42" s="2342"/>
      <c r="W42" s="2342"/>
      <c r="X42" s="2342"/>
      <c r="Y42" s="2342"/>
      <c r="Z42" s="2342"/>
      <c r="AA42" s="2342"/>
      <c r="AB42" s="2342"/>
      <c r="AC42" s="2342"/>
      <c r="AD42" s="2342"/>
      <c r="AE42" s="2342"/>
      <c r="AF42" s="2342"/>
      <c r="AG42" s="2342"/>
      <c r="AH42" s="2342"/>
      <c r="AI42" s="2342"/>
      <c r="AJ42" s="2342"/>
      <c r="AK42" s="2342"/>
      <c r="AL42" s="2342"/>
      <c r="AM42" s="2342"/>
      <c r="AN42" s="2342"/>
      <c r="AO42" s="2342"/>
      <c r="AP42" s="2342"/>
      <c r="AQ42" s="2342" t="s">
        <v>292</v>
      </c>
    </row>
    <row customHeight="1" ht="14.25">
      <c r="R43" s="667"/>
      <c r="S43" s="667"/>
      <c r="T43" s="667"/>
      <c r="U43" s="2505" t="s">
        <v>88</v>
      </c>
      <c r="V43" s="2366" t="s">
        <v>1490</v>
      </c>
      <c r="W43" s="576"/>
      <c r="X43" s="2506" t="s">
        <v>1491</v>
      </c>
      <c r="Y43" s="2523"/>
      <c r="Z43" s="2523"/>
      <c r="AA43" s="2523"/>
      <c r="AB43" s="2523"/>
      <c r="AC43" s="2507"/>
      <c r="AD43" s="2507"/>
      <c r="AE43" s="2508"/>
      <c r="AF43" s="2509" t="s">
        <v>1492</v>
      </c>
      <c r="AG43" s="2506" t="s">
        <v>1491</v>
      </c>
      <c r="AH43" s="2523"/>
      <c r="AI43" s="2523"/>
      <c r="AJ43" s="2523"/>
      <c r="AK43" s="2523"/>
      <c r="AL43" s="2507"/>
      <c r="AM43" s="2507"/>
      <c r="AN43" s="2508"/>
      <c r="AO43" s="2509" t="s">
        <v>1493</v>
      </c>
      <c r="AP43" s="2512" t="s">
        <v>1494</v>
      </c>
      <c r="AQ43" s="2342"/>
    </row>
    <row customHeight="1" ht="33.75">
      <c r="R44" s="667"/>
      <c r="S44" s="667"/>
      <c r="T44" s="667"/>
      <c r="U44" s="2505"/>
      <c r="V44" s="2366"/>
      <c r="W44" s="1354"/>
      <c r="X44" s="2526" t="s">
        <v>1527</v>
      </c>
      <c r="Y44" s="2541" t="s">
        <v>1528</v>
      </c>
      <c r="Z44" s="2541"/>
      <c r="AA44" s="2541"/>
      <c r="AB44" s="2541"/>
      <c r="AC44" s="2542" t="s">
        <v>1498</v>
      </c>
      <c r="AD44" s="2543"/>
      <c r="AE44" s="2544"/>
      <c r="AF44" s="2510"/>
      <c r="AG44" s="2526" t="s">
        <v>1527</v>
      </c>
      <c r="AH44" s="2541" t="s">
        <v>1528</v>
      </c>
      <c r="AI44" s="2541"/>
      <c r="AJ44" s="2541"/>
      <c r="AK44" s="2541"/>
      <c r="AL44" s="2542" t="s">
        <v>1498</v>
      </c>
      <c r="AM44" s="2543"/>
      <c r="AN44" s="2544"/>
      <c r="AO44" s="2510"/>
      <c r="AP44" s="2513"/>
      <c r="AQ44" s="2342"/>
    </row>
    <row customHeight="1" ht="14.25">
      <c r="R45" s="667"/>
      <c r="S45" s="667"/>
      <c r="T45" s="667"/>
      <c r="U45" s="2505"/>
      <c r="V45" s="2366"/>
      <c r="W45" s="1354"/>
      <c r="X45" s="2560"/>
      <c r="Y45" s="2548" t="s">
        <v>1529</v>
      </c>
      <c r="Z45" s="2551" t="s">
        <v>1530</v>
      </c>
      <c r="AA45" s="2552"/>
      <c r="AB45" s="2553"/>
      <c r="AC45" s="2545"/>
      <c r="AD45" s="2546"/>
      <c r="AE45" s="2547"/>
      <c r="AF45" s="2510"/>
      <c r="AG45" s="2560"/>
      <c r="AH45" s="2548" t="s">
        <v>1529</v>
      </c>
      <c r="AI45" s="2551" t="s">
        <v>1530</v>
      </c>
      <c r="AJ45" s="2552"/>
      <c r="AK45" s="2553"/>
      <c r="AL45" s="2545"/>
      <c r="AM45" s="2546"/>
      <c r="AN45" s="2547"/>
      <c r="AO45" s="2510"/>
      <c r="AP45" s="2513"/>
      <c r="AQ45" s="2342"/>
    </row>
    <row customHeight="1" ht="25.5">
      <c r="R46" s="667"/>
      <c r="S46" s="667"/>
      <c r="T46" s="667"/>
      <c r="U46" s="2505"/>
      <c r="V46" s="2366"/>
      <c r="W46" s="1354"/>
      <c r="X46" s="2560"/>
      <c r="Y46" s="2549"/>
      <c r="Z46" s="2548" t="s">
        <v>1531</v>
      </c>
      <c r="AA46" s="2551" t="s">
        <v>1532</v>
      </c>
      <c r="AB46" s="2553"/>
      <c r="AC46" s="2554" t="s">
        <v>1508</v>
      </c>
      <c r="AD46" s="2556" t="s">
        <v>1509</v>
      </c>
      <c r="AE46" s="2557"/>
      <c r="AF46" s="2510"/>
      <c r="AG46" s="2560"/>
      <c r="AH46" s="2549"/>
      <c r="AI46" s="2548" t="s">
        <v>1531</v>
      </c>
      <c r="AJ46" s="2551" t="s">
        <v>1532</v>
      </c>
      <c r="AK46" s="2553"/>
      <c r="AL46" s="2554" t="s">
        <v>1508</v>
      </c>
      <c r="AM46" s="2556" t="s">
        <v>1509</v>
      </c>
      <c r="AN46" s="2557"/>
      <c r="AO46" s="2510"/>
      <c r="AP46" s="2513"/>
      <c r="AQ46" s="2342"/>
    </row>
    <row customHeight="1" ht="62.25">
      <c r="A47" s="1613"/>
      <c r="B47" s="1613" t="s">
        <v>135</v>
      </c>
      <c r="C47" s="1613" t="s">
        <v>136</v>
      </c>
      <c r="D47" s="1613" t="s">
        <v>137</v>
      </c>
      <c r="E47" s="1670" t="s">
        <v>1499</v>
      </c>
      <c r="F47" s="1670" t="s">
        <v>1500</v>
      </c>
      <c r="G47" s="1670" t="s">
        <v>1501</v>
      </c>
      <c r="H47" s="1670" t="s">
        <v>1502</v>
      </c>
      <c r="I47" s="1670" t="s">
        <v>1503</v>
      </c>
      <c r="J47" s="1670" t="s">
        <v>1504</v>
      </c>
      <c r="K47" s="1670" t="s">
        <v>1505</v>
      </c>
      <c r="L47" s="1670" t="s">
        <v>1533</v>
      </c>
      <c r="M47" s="1670" t="s">
        <v>1480</v>
      </c>
      <c r="R47" s="667"/>
      <c r="S47" s="667"/>
      <c r="T47" s="667"/>
      <c r="U47" s="2505"/>
      <c r="V47" s="2366"/>
      <c r="W47" s="577"/>
      <c r="X47" s="2527"/>
      <c r="Y47" s="2550"/>
      <c r="Z47" s="2550"/>
      <c r="AA47" s="1562" t="s">
        <v>1534</v>
      </c>
      <c r="AB47" s="1562" t="s">
        <v>1535</v>
      </c>
      <c r="AC47" s="2555"/>
      <c r="AD47" s="2558"/>
      <c r="AE47" s="2559"/>
      <c r="AF47" s="2511"/>
      <c r="AG47" s="2527"/>
      <c r="AH47" s="2550"/>
      <c r="AI47" s="2550"/>
      <c r="AJ47" s="1562" t="s">
        <v>1534</v>
      </c>
      <c r="AK47" s="1562" t="s">
        <v>1535</v>
      </c>
      <c r="AL47" s="2555"/>
      <c r="AM47" s="2558"/>
      <c r="AN47" s="2559"/>
      <c r="AO47" s="2511"/>
      <c r="AP47" s="2514"/>
      <c r="AQ47" s="2342"/>
    </row>
    <row s="11084"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99</v>
      </c>
      <c r="V48" s="1606" t="s">
        <v>109</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176</v>
      </c>
      <c r="B49" s="1621"/>
      <c r="C49" s="1621"/>
      <c r="D49" s="1621"/>
      <c r="E49" s="2532">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123</v>
      </c>
      <c r="W49" s="575"/>
      <c r="X49" s="4102"/>
      <c r="Y49" s="4103"/>
      <c r="Z49" s="4103"/>
      <c r="AA49" s="4103"/>
      <c r="AB49" s="4103"/>
      <c r="AC49" s="4103"/>
      <c r="AD49" s="4103"/>
      <c r="AE49" s="4103"/>
      <c r="AF49" s="4104"/>
      <c r="AG49" s="4102" t="str">
        <f>INDEX(PT_DIFFERENTIATION_NTAR,MATCH(A49,PT_DIFFERENTIATION_NTAR_ID,0))</f>
        <v/>
      </c>
      <c r="AH49" s="4103"/>
      <c r="AI49" s="4103"/>
      <c r="AJ49" s="4103"/>
      <c r="AK49" s="4103"/>
      <c r="AL49" s="4103"/>
      <c r="AM49" s="4103"/>
      <c r="AN49" s="4103"/>
      <c r="AO49" s="4103"/>
      <c r="AP49" s="4104"/>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176</v>
      </c>
      <c r="B50" s="1621" t="s">
        <v>177</v>
      </c>
      <c r="C50" s="1621"/>
      <c r="D50" s="1621"/>
      <c r="E50" s="2533"/>
      <c r="F50" s="2532">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1462</v>
      </c>
      <c r="W50" s="575"/>
      <c r="X50" s="4102"/>
      <c r="Y50" s="4103"/>
      <c r="Z50" s="4103"/>
      <c r="AA50" s="4103"/>
      <c r="AB50" s="4103"/>
      <c r="AC50" s="4103"/>
      <c r="AD50" s="4103"/>
      <c r="AE50" s="4103"/>
      <c r="AF50" s="4104"/>
      <c r="AG50" s="4102" t="str">
        <f>INDEX(PT_DIFFERENTIATION_TER,MATCH(B50,PT_DIFFERENTIATION_TER_ID,0))</f>
        <v/>
      </c>
      <c r="AH50" s="4103"/>
      <c r="AI50" s="4103"/>
      <c r="AJ50" s="4103"/>
      <c r="AK50" s="4103"/>
      <c r="AL50" s="4103"/>
      <c r="AM50" s="4103"/>
      <c r="AN50" s="4103"/>
      <c r="AO50" s="4103"/>
      <c r="AP50" s="4104"/>
      <c r="AQ50" s="1611" t="s">
        <v>1463</v>
      </c>
      <c r="AS50" s="802"/>
      <c r="AT50" s="802" t="str">
        <f>IF(V50="","",V50)</f>
        <v>Территория действия тарифа</v>
      </c>
      <c r="AU50" s="802"/>
      <c r="AV50" s="802"/>
    </row>
    <row customHeight="1" ht="22.5">
      <c r="A51" s="1621" t="s">
        <v>176</v>
      </c>
      <c r="B51" s="1621" t="s">
        <v>177</v>
      </c>
      <c r="C51" s="1621" t="s">
        <v>178</v>
      </c>
      <c r="D51" s="1621"/>
      <c r="E51" s="2533"/>
      <c r="F51" s="2533"/>
      <c r="G51" s="2532">
        <v>1</v>
      </c>
      <c r="H51" s="1621"/>
      <c r="I51" s="1621"/>
      <c r="J51" s="1621"/>
      <c r="K51" s="1621"/>
      <c r="L51" s="1621"/>
      <c r="M51" s="1670"/>
      <c r="N51" s="990"/>
      <c r="O51" s="990"/>
      <c r="P51" s="990"/>
      <c r="Q51" s="640"/>
      <c r="R51" s="638"/>
      <c r="S51" s="811"/>
      <c r="T51" s="639"/>
      <c r="U51" s="1696" t="str">
        <f>INDEX(PT_DIFFERENTIATION_NUM_CS,MATCH(C51,PT_DIFFERENTIATION_CS_ID,0))</f>
        <v>..</v>
      </c>
      <c r="V51" s="586" t="s">
        <v>1464</v>
      </c>
      <c r="W51" s="575"/>
      <c r="X51" s="4102"/>
      <c r="Y51" s="4103"/>
      <c r="Z51" s="4103"/>
      <c r="AA51" s="4103"/>
      <c r="AB51" s="4103"/>
      <c r="AC51" s="4103"/>
      <c r="AD51" s="4103"/>
      <c r="AE51" s="4103"/>
      <c r="AF51" s="4104"/>
      <c r="AG51" s="4102" t="str">
        <f>INDEX(PT_DIFFERENTIATION_CS,MATCH(C51,PT_DIFFERENTIATION_CS_ID,0))</f>
        <v/>
      </c>
      <c r="AH51" s="4103"/>
      <c r="AI51" s="4103"/>
      <c r="AJ51" s="4103"/>
      <c r="AK51" s="4103"/>
      <c r="AL51" s="4103"/>
      <c r="AM51" s="4103"/>
      <c r="AN51" s="4103"/>
      <c r="AO51" s="4103"/>
      <c r="AP51" s="4104"/>
      <c r="AQ51" s="1611" t="s">
        <v>1465</v>
      </c>
      <c r="AS51" s="802"/>
      <c r="AT51" s="802" t="str">
        <f>IF(V51="","",V51)</f>
        <v>Наименование системы теплоснабжения </v>
      </c>
      <c r="AU51" s="802"/>
      <c r="AV51" s="802"/>
    </row>
    <row customHeight="1" ht="21">
      <c r="A52" s="1621" t="s">
        <v>176</v>
      </c>
      <c r="B52" s="1621" t="s">
        <v>177</v>
      </c>
      <c r="C52" s="1621" t="s">
        <v>178</v>
      </c>
      <c r="D52" s="1621" t="s">
        <v>179</v>
      </c>
      <c r="E52" s="2533"/>
      <c r="F52" s="2533"/>
      <c r="G52" s="2533"/>
      <c r="H52" s="2539">
        <v>1</v>
      </c>
      <c r="I52" s="1621"/>
      <c r="J52" s="1621"/>
      <c r="K52" s="1621"/>
      <c r="L52" s="1621"/>
      <c r="M52" s="1670"/>
      <c r="N52" s="990"/>
      <c r="O52" s="990"/>
      <c r="P52" s="990"/>
      <c r="Q52" s="640"/>
      <c r="R52" s="638"/>
      <c r="S52" s="811"/>
      <c r="T52" s="639"/>
      <c r="U52" s="1696" t="str">
        <f>INDEX(PT_DIFFERENTIATION_NUM_IST_TE,MATCH(D52,PT_DIFFERENTIATION_IST_TE_ID,0))</f>
        <v>...</v>
      </c>
      <c r="V52" s="587" t="s">
        <v>1466</v>
      </c>
      <c r="W52" s="575"/>
      <c r="X52" s="4102"/>
      <c r="Y52" s="4103"/>
      <c r="Z52" s="4103"/>
      <c r="AA52" s="4103"/>
      <c r="AB52" s="4103"/>
      <c r="AC52" s="4103"/>
      <c r="AD52" s="4103"/>
      <c r="AE52" s="4103"/>
      <c r="AF52" s="4104"/>
      <c r="AG52" s="4102" t="str">
        <f>INDEX(PT_DIFFERENTIATION_IST_TE,MATCH(D52,PT_DIFFERENTIATION_IST_TE_ID,0))</f>
        <v/>
      </c>
      <c r="AH52" s="4103"/>
      <c r="AI52" s="4103"/>
      <c r="AJ52" s="4103"/>
      <c r="AK52" s="4103"/>
      <c r="AL52" s="4103"/>
      <c r="AM52" s="4103"/>
      <c r="AN52" s="4103"/>
      <c r="AO52" s="4103"/>
      <c r="AP52" s="4104"/>
      <c r="AQ52" s="1611" t="s">
        <v>1467</v>
      </c>
      <c r="AS52" s="802"/>
      <c r="AT52" s="802" t="str">
        <f>IF(V52="","",V52)</f>
        <v>Источник тепловой энергии  </v>
      </c>
      <c r="AU52" s="802"/>
      <c r="AV52" s="802"/>
    </row>
    <row s="11901" customFormat="1" customHeight="1" ht="0">
      <c r="A53" s="1736" t="s">
        <v>176</v>
      </c>
      <c r="B53" s="1736" t="s">
        <v>177</v>
      </c>
      <c r="C53" s="1736" t="s">
        <v>178</v>
      </c>
      <c r="D53" s="1736" t="s">
        <v>179</v>
      </c>
      <c r="E53" s="2533"/>
      <c r="F53" s="2533"/>
      <c r="G53" s="2533"/>
      <c r="H53" s="2540"/>
      <c r="I53" s="2342" t="str">
        <f>U52&amp;".1"</f>
        <v>....1</v>
      </c>
      <c r="J53" s="1736"/>
      <c r="K53" s="1736"/>
      <c r="L53" s="1736"/>
      <c r="M53" s="1742" t="s">
        <v>1468</v>
      </c>
      <c r="N53" s="1589"/>
      <c r="O53" s="1589"/>
      <c r="P53" s="1589"/>
      <c r="Q53" s="2488">
        <v>1</v>
      </c>
      <c r="R53" s="1691"/>
      <c r="S53" s="1691"/>
      <c r="T53" s="642"/>
      <c r="U53" s="1365"/>
      <c r="V53" s="1744"/>
      <c r="W53" s="1745"/>
      <c r="X53" s="2528"/>
      <c r="Y53" s="2529"/>
      <c r="Z53" s="2529"/>
      <c r="AA53" s="2529"/>
      <c r="AB53" s="2529"/>
      <c r="AC53" s="2529"/>
      <c r="AD53" s="2529"/>
      <c r="AE53" s="2529"/>
      <c r="AF53" s="2530"/>
      <c r="AG53" s="2528"/>
      <c r="AH53" s="2529"/>
      <c r="AI53" s="2529"/>
      <c r="AJ53" s="2529"/>
      <c r="AK53" s="2529"/>
      <c r="AL53" s="2529"/>
      <c r="AM53" s="2529"/>
      <c r="AN53" s="2529"/>
      <c r="AO53" s="2529"/>
      <c r="AP53" s="2530"/>
      <c r="AQ53" s="1746"/>
      <c r="AS53" s="802"/>
      <c r="AT53" s="802" t="str">
        <f>IF(V53="","",V53)</f>
        <v/>
      </c>
      <c r="AU53" s="802"/>
      <c r="AV53" s="802"/>
    </row>
    <row customHeight="1" ht="21">
      <c r="A54" s="1621" t="s">
        <v>176</v>
      </c>
      <c r="B54" s="1621" t="s">
        <v>177</v>
      </c>
      <c r="C54" s="1621" t="s">
        <v>178</v>
      </c>
      <c r="D54" s="1621" t="s">
        <v>179</v>
      </c>
      <c r="E54" s="2533"/>
      <c r="F54" s="2533"/>
      <c r="G54" s="2533"/>
      <c r="H54" s="2540"/>
      <c r="I54" s="2201"/>
      <c r="J54" s="2534" t="str">
        <f>I53&amp;".1"</f>
        <v>....1.1</v>
      </c>
      <c r="K54" s="1621"/>
      <c r="L54" s="1621"/>
      <c r="M54" s="1670" t="s">
        <v>1471</v>
      </c>
      <c r="Q54" s="2488"/>
      <c r="R54" s="2488">
        <v>1</v>
      </c>
      <c r="S54" s="820"/>
      <c r="T54" s="643"/>
      <c r="U54" s="1696" t="str">
        <f>$J54</f>
        <v>....1.1</v>
      </c>
      <c r="V54" s="561" t="s">
        <v>1472</v>
      </c>
      <c r="W54" s="575"/>
      <c r="X54" s="2476"/>
      <c r="Y54" s="2477"/>
      <c r="Z54" s="2477"/>
      <c r="AA54" s="2477"/>
      <c r="AB54" s="2477"/>
      <c r="AC54" s="2536"/>
      <c r="AD54" s="2536"/>
      <c r="AE54" s="2536"/>
      <c r="AF54" s="2537"/>
      <c r="AG54" s="2476"/>
      <c r="AH54" s="2477"/>
      <c r="AI54" s="2477"/>
      <c r="AJ54" s="2477"/>
      <c r="AK54" s="2477"/>
      <c r="AL54" s="2477"/>
      <c r="AM54" s="2477"/>
      <c r="AN54" s="2477"/>
      <c r="AO54" s="2477"/>
      <c r="AP54" s="2478"/>
      <c r="AQ54" s="1611" t="s">
        <v>1473</v>
      </c>
      <c r="AS54" s="802"/>
      <c r="AT54" s="802" t="str">
        <f>IF(V54="","",V54)</f>
        <v>Группа потребителей</v>
      </c>
      <c r="AU54" s="802"/>
      <c r="AV54" s="802"/>
    </row>
    <row customHeight="1" ht="21">
      <c r="A55" s="1621" t="s">
        <v>176</v>
      </c>
      <c r="B55" s="1621" t="s">
        <v>177</v>
      </c>
      <c r="C55" s="1621" t="s">
        <v>178</v>
      </c>
      <c r="D55" s="1621" t="s">
        <v>179</v>
      </c>
      <c r="E55" s="2533"/>
      <c r="F55" s="2533"/>
      <c r="G55" s="2533"/>
      <c r="H55" s="2540"/>
      <c r="I55" s="2201"/>
      <c r="J55" s="2535"/>
      <c r="K55" s="2534" t="str">
        <f>J54&amp;".1"</f>
        <v>....1.1.1</v>
      </c>
      <c r="L55" s="410"/>
      <c r="M55" s="1670" t="s">
        <v>1474</v>
      </c>
      <c r="Q55" s="2488"/>
      <c r="R55" s="2488"/>
      <c r="S55" s="820">
        <v>1</v>
      </c>
      <c r="T55" s="643"/>
      <c r="U55" s="1696" t="str">
        <f>$K55</f>
        <v>....1.1.1</v>
      </c>
      <c r="V55" s="1707"/>
      <c r="W55" s="575"/>
      <c r="X55" s="4130"/>
      <c r="Y55" s="4130"/>
      <c r="Z55" s="4130"/>
      <c r="AA55" s="4130"/>
      <c r="AB55" s="4282"/>
      <c r="AC55" s="2495"/>
      <c r="AD55" s="2207" t="s">
        <v>63</v>
      </c>
      <c r="AE55" s="2495"/>
      <c r="AF55" s="2207" t="s">
        <v>63</v>
      </c>
      <c r="AG55" s="4283"/>
      <c r="AH55" s="4130"/>
      <c r="AI55" s="4130"/>
      <c r="AJ55" s="4130"/>
      <c r="AK55" s="4132"/>
      <c r="AL55" s="2495"/>
      <c r="AM55" s="2207" t="s">
        <v>63</v>
      </c>
      <c r="AN55" s="2495"/>
      <c r="AO55" s="2207" t="s">
        <v>63</v>
      </c>
      <c r="AP55" s="4231"/>
      <c r="AQ55" s="1667" t="s">
        <v>1524</v>
      </c>
      <c r="AR55" s="813">
        <f>STRCHECKDATE(X57:AP57)</f>
      </c>
      <c r="AS55" s="802"/>
      <c r="AT55" s="802" t="str">
        <f>IF(V55="","",V55)</f>
        <v/>
      </c>
      <c r="AU55" s="802"/>
      <c r="AV55" s="802"/>
    </row>
    <row customHeight="1" ht="11.25">
      <c r="A56" s="1621" t="s">
        <v>176</v>
      </c>
      <c r="B56" s="1621" t="s">
        <v>177</v>
      </c>
      <c r="C56" s="1621" t="s">
        <v>178</v>
      </c>
      <c r="D56" s="1621" t="s">
        <v>179</v>
      </c>
      <c r="E56" s="2533"/>
      <c r="F56" s="2533"/>
      <c r="G56" s="2533"/>
      <c r="H56" s="2540"/>
      <c r="I56" s="2201"/>
      <c r="J56" s="2535"/>
      <c r="K56" s="2535"/>
      <c r="L56" s="2534" t="str">
        <f>K55&amp;".1"</f>
        <v>....1.1.1.1</v>
      </c>
      <c r="M56" s="1670"/>
      <c r="Q56" s="2488"/>
      <c r="R56" s="2488"/>
      <c r="S56" s="820">
        <v>1</v>
      </c>
      <c r="T56" s="643"/>
      <c r="U56" s="1696" t="str">
        <f>$L56</f>
        <v>....1.1.1.1</v>
      </c>
      <c r="V56" s="1752"/>
      <c r="W56" s="575"/>
      <c r="X56" s="4131"/>
      <c r="Y56" s="4130"/>
      <c r="Z56" s="4130"/>
      <c r="AA56" s="4130"/>
      <c r="AB56" s="4282"/>
      <c r="AC56" s="2538"/>
      <c r="AD56" s="2207"/>
      <c r="AE56" s="2538"/>
      <c r="AF56" s="2207"/>
      <c r="AG56" s="4283"/>
      <c r="AH56" s="4130"/>
      <c r="AI56" s="4130"/>
      <c r="AJ56" s="4130"/>
      <c r="AK56" s="4132"/>
      <c r="AL56" s="2538"/>
      <c r="AM56" s="2207"/>
      <c r="AN56" s="2538"/>
      <c r="AO56" s="2207"/>
      <c r="AP56" s="4231"/>
      <c r="AQ56" s="2484" t="s">
        <v>1525</v>
      </c>
      <c r="AR56" s="813">
        <f>STRCHECKDATE(X58:AP58)</f>
      </c>
      <c r="AS56" s="802"/>
      <c r="AT56" s="802" t="str">
        <f>IF(V56="","",V56)</f>
        <v/>
      </c>
      <c r="AU56" s="802"/>
      <c r="AV56" s="802"/>
    </row>
    <row customHeight="1" ht="0">
      <c r="A57" s="1621" t="s">
        <v>176</v>
      </c>
      <c r="B57" s="1621" t="s">
        <v>177</v>
      </c>
      <c r="C57" s="1621" t="s">
        <v>178</v>
      </c>
      <c r="D57" s="1621" t="s">
        <v>179</v>
      </c>
      <c r="E57" s="2533"/>
      <c r="F57" s="2533"/>
      <c r="G57" s="2533"/>
      <c r="H57" s="2540"/>
      <c r="I57" s="2201"/>
      <c r="J57" s="2535"/>
      <c r="K57" s="2535"/>
      <c r="L57" s="2534"/>
      <c r="M57" s="1670"/>
      <c r="Q57" s="2488"/>
      <c r="R57" s="2488"/>
      <c r="S57" s="820"/>
      <c r="T57" s="643"/>
      <c r="U57" s="1702"/>
      <c r="V57" s="575"/>
      <c r="W57" s="575"/>
      <c r="X57" s="4131"/>
      <c r="Y57" s="4131"/>
      <c r="Z57" s="4131"/>
      <c r="AA57" s="4131"/>
      <c r="AB57" s="4287" t="str">
        <f>AC55&amp;"-"&amp;AE55</f>
        <v>-</v>
      </c>
      <c r="AC57" s="2538"/>
      <c r="AD57" s="2207"/>
      <c r="AE57" s="2538"/>
      <c r="AF57" s="2207"/>
      <c r="AG57" s="4288"/>
      <c r="AH57" s="4131"/>
      <c r="AI57" s="4131"/>
      <c r="AJ57" s="4131"/>
      <c r="AK57" s="4136" t="str">
        <f>AL55&amp;"-"&amp;AN55</f>
        <v>-</v>
      </c>
      <c r="AL57" s="2538"/>
      <c r="AM57" s="2207"/>
      <c r="AN57" s="2538"/>
      <c r="AO57" s="2207"/>
      <c r="AP57" s="4234"/>
      <c r="AQ57" s="2485"/>
      <c r="AS57" s="802"/>
      <c r="AT57" s="802" t="str">
        <f>IF(V57="","",V57)</f>
        <v/>
      </c>
      <c r="AU57" s="802"/>
      <c r="AV57" s="802"/>
    </row>
    <row customHeight="1" ht="11.25">
      <c r="A58" s="1621" t="s">
        <v>176</v>
      </c>
      <c r="B58" s="1621" t="s">
        <v>177</v>
      </c>
      <c r="C58" s="1621" t="s">
        <v>178</v>
      </c>
      <c r="D58" s="1621" t="s">
        <v>179</v>
      </c>
      <c r="E58" s="2533"/>
      <c r="F58" s="2533"/>
      <c r="G58" s="2533"/>
      <c r="H58" s="2540"/>
      <c r="I58" s="2201"/>
      <c r="J58" s="2535"/>
      <c r="K58" s="2534"/>
      <c r="L58" s="1621"/>
      <c r="M58" s="1670"/>
      <c r="Q58" s="2488"/>
      <c r="R58" s="2488"/>
      <c r="S58" s="1691"/>
      <c r="T58" s="642"/>
      <c r="U58" s="1633"/>
      <c r="V58" s="563" t="s">
        <v>1526</v>
      </c>
      <c r="W58" s="657"/>
      <c r="X58" s="657"/>
      <c r="Y58" s="657"/>
      <c r="Z58" s="657"/>
      <c r="AA58" s="657"/>
      <c r="AB58" s="657"/>
      <c r="AC58" s="2538"/>
      <c r="AD58" s="2207"/>
      <c r="AE58" s="2538"/>
      <c r="AF58" s="2207"/>
      <c r="AG58" s="657"/>
      <c r="AH58" s="657"/>
      <c r="AI58" s="657"/>
      <c r="AJ58" s="657"/>
      <c r="AK58" s="657"/>
      <c r="AL58" s="2538"/>
      <c r="AM58" s="2207"/>
      <c r="AN58" s="2538"/>
      <c r="AO58" s="2207"/>
      <c r="AP58" s="609"/>
      <c r="AQ58" s="2485"/>
      <c r="AS58" s="802"/>
      <c r="AT58" s="802" t="str">
        <f>IF(V58="","",V58)</f>
        <v>Добавить наименование поставщика</v>
      </c>
      <c r="AU58" s="802"/>
      <c r="AV58" s="802"/>
    </row>
    <row customHeight="1" ht="11.25">
      <c r="A59" s="1621" t="s">
        <v>176</v>
      </c>
      <c r="B59" s="1621" t="s">
        <v>177</v>
      </c>
      <c r="C59" s="1621" t="s">
        <v>178</v>
      </c>
      <c r="D59" s="1621" t="s">
        <v>179</v>
      </c>
      <c r="E59" s="2533"/>
      <c r="F59" s="2533"/>
      <c r="G59" s="2533"/>
      <c r="H59" s="2540"/>
      <c r="I59" s="2201"/>
      <c r="J59" s="2534"/>
      <c r="K59" s="1621"/>
      <c r="L59" s="1621"/>
      <c r="M59" s="1670"/>
      <c r="Q59" s="2488"/>
      <c r="R59" s="2488"/>
      <c r="S59" s="1691"/>
      <c r="T59" s="642"/>
      <c r="U59" s="1633"/>
      <c r="V59" s="562" t="s">
        <v>1476</v>
      </c>
      <c r="W59" s="657"/>
      <c r="X59" s="657"/>
      <c r="Y59" s="657"/>
      <c r="Z59" s="657"/>
      <c r="AA59" s="657"/>
      <c r="AB59" s="657"/>
      <c r="AC59" s="1770"/>
      <c r="AD59" s="1770"/>
      <c r="AE59" s="1770"/>
      <c r="AF59" s="1770"/>
      <c r="AG59" s="657"/>
      <c r="AH59" s="657"/>
      <c r="AI59" s="657"/>
      <c r="AJ59" s="657"/>
      <c r="AK59" s="657"/>
      <c r="AL59" s="657"/>
      <c r="AM59" s="657"/>
      <c r="AN59" s="657"/>
      <c r="AO59" s="657"/>
      <c r="AP59" s="609"/>
      <c r="AQ59" s="2486"/>
      <c r="AS59" s="802"/>
      <c r="AT59" s="802" t="str">
        <f>IF(V59="","",V59)</f>
        <v>Добавить вид теплоносителя (параметры теплоносителя)</v>
      </c>
      <c r="AU59" s="802"/>
      <c r="AV59" s="802"/>
    </row>
    <row customHeight="1" ht="11.25">
      <c r="A60" s="1621" t="s">
        <v>176</v>
      </c>
      <c r="B60" s="1621" t="s">
        <v>177</v>
      </c>
      <c r="C60" s="1621" t="s">
        <v>178</v>
      </c>
      <c r="D60" s="1621" t="s">
        <v>179</v>
      </c>
      <c r="E60" s="2533"/>
      <c r="F60" s="2533"/>
      <c r="G60" s="2533"/>
      <c r="H60" s="2540"/>
      <c r="I60" s="2342"/>
      <c r="J60" s="1621"/>
      <c r="K60" s="1621"/>
      <c r="L60" s="1621"/>
      <c r="M60" s="1670"/>
      <c r="Q60" s="2488"/>
      <c r="R60" s="1691"/>
      <c r="S60" s="1691"/>
      <c r="T60" s="642"/>
      <c r="U60" s="1633"/>
      <c r="V60" s="654" t="s">
        <v>1477</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176</v>
      </c>
      <c r="B61" s="1621" t="s">
        <v>177</v>
      </c>
      <c r="C61" s="1621" t="s">
        <v>178</v>
      </c>
      <c r="D61" s="1621" t="s">
        <v>179</v>
      </c>
      <c r="E61" s="2533"/>
      <c r="F61" s="2533"/>
      <c r="G61" s="2533"/>
      <c r="H61" s="2539"/>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813" customFormat="1" customHeight="1" ht="0.75">
      <c r="A62" s="1736" t="s">
        <v>176</v>
      </c>
      <c r="B62" s="1736" t="s">
        <v>177</v>
      </c>
      <c r="C62" s="1736" t="s">
        <v>178</v>
      </c>
      <c r="D62" s="1735"/>
      <c r="E62" s="2533"/>
      <c r="F62" s="2533"/>
      <c r="G62" s="2532"/>
      <c r="H62" s="1735"/>
      <c r="I62" s="1735"/>
      <c r="J62" s="1735"/>
      <c r="K62" s="1735"/>
      <c r="L62" s="1735"/>
      <c r="M62" s="1738"/>
      <c r="N62" s="1739"/>
      <c r="O62" s="1739"/>
      <c r="P62" s="637"/>
      <c r="Q62" s="1676"/>
      <c r="R62" s="1677"/>
      <c r="S62" s="1676"/>
      <c r="T62" s="1676"/>
      <c r="U62" s="1682"/>
      <c r="V62" s="1685" t="s">
        <v>1437</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813" customFormat="1" customHeight="1" ht="0.75">
      <c r="A63" s="1736" t="s">
        <v>176</v>
      </c>
      <c r="B63" s="1736" t="s">
        <v>177</v>
      </c>
      <c r="C63" s="1735"/>
      <c r="D63" s="1735"/>
      <c r="E63" s="2533"/>
      <c r="F63" s="2532"/>
      <c r="G63" s="1735"/>
      <c r="H63" s="1735"/>
      <c r="I63" s="1735"/>
      <c r="J63" s="1735"/>
      <c r="K63" s="1735"/>
      <c r="L63" s="1735"/>
      <c r="M63" s="1738"/>
      <c r="N63" s="1740"/>
      <c r="O63" s="1740"/>
      <c r="P63" s="637"/>
      <c r="Q63" s="1676"/>
      <c r="R63" s="1677"/>
      <c r="S63" s="1676"/>
      <c r="T63" s="1676"/>
      <c r="U63" s="1682"/>
      <c r="V63" s="1685" t="s">
        <v>1438</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1901" customFormat="1" customHeight="1" ht="0.75">
      <c r="A64" s="1736" t="s">
        <v>176</v>
      </c>
      <c r="B64" s="1736"/>
      <c r="C64" s="1736"/>
      <c r="D64" s="1736"/>
      <c r="E64" s="2532"/>
      <c r="F64" s="1736"/>
      <c r="G64" s="1736"/>
      <c r="H64" s="1736"/>
      <c r="I64" s="1736"/>
      <c r="J64" s="1736"/>
      <c r="K64" s="1736"/>
      <c r="L64" s="1736"/>
      <c r="M64" s="1742"/>
      <c r="N64" s="1740"/>
      <c r="O64" s="1740"/>
      <c r="P64" s="637"/>
      <c r="Q64" s="675"/>
      <c r="R64" s="1704"/>
      <c r="S64" s="675"/>
      <c r="T64" s="675"/>
      <c r="U64" s="1682"/>
      <c r="V64" s="1685" t="s">
        <v>1439</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813"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1440</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1510</v>
      </c>
      <c r="V67" s="2517" t="s">
        <v>1520</v>
      </c>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row>
    <row customHeight="1" ht="19.5" hidden="1">
      <c r="P68" s="811"/>
      <c r="V68" s="2517" t="s">
        <v>1536</v>
      </c>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row>
    <row customHeight="1" ht="14.25" hidden="1">
      <c r="P69" s="811"/>
    </row>
    <row customHeight="1" ht="27" hidden="1">
      <c r="P70" s="811"/>
      <c r="V70" s="2517" t="s">
        <v>1537</v>
      </c>
      <c r="W70" s="2517"/>
      <c r="X70" s="2517"/>
      <c r="Y70" s="2517"/>
      <c r="Z70" s="2517"/>
      <c r="AA70" s="2517"/>
      <c r="AB70" s="2517"/>
      <c r="AC70" s="2517"/>
      <c r="AD70" s="2517"/>
      <c r="AE70" s="2517"/>
      <c r="AF70" s="2517"/>
      <c r="AG70" s="2517"/>
      <c r="AH70" s="2517"/>
      <c r="AI70" s="2517"/>
      <c r="AJ70" s="2517"/>
      <c r="AK70" s="2517"/>
      <c r="AL70" s="2517"/>
      <c r="AM70" s="2517"/>
      <c r="AN70" s="2517"/>
      <c r="AO70" s="2517"/>
      <c r="AP70" s="2517"/>
      <c r="AQ70" s="2517"/>
    </row>
    <row customHeight="1" ht="18" hidden="1">
      <c r="P71" s="811"/>
      <c r="V71" s="2517" t="s">
        <v>1536</v>
      </c>
      <c r="W71" s="2517"/>
      <c r="X71" s="2517"/>
      <c r="Y71" s="2517"/>
      <c r="Z71" s="2517"/>
      <c r="AA71" s="2517"/>
      <c r="AB71" s="2517"/>
      <c r="AC71" s="2517"/>
      <c r="AD71" s="2517"/>
      <c r="AE71" s="2517"/>
      <c r="AF71" s="2517"/>
      <c r="AG71" s="2517"/>
      <c r="AH71" s="2517"/>
      <c r="AI71" s="2517"/>
      <c r="AJ71" s="2517"/>
      <c r="AK71" s="2517"/>
      <c r="AL71" s="2517"/>
      <c r="AM71" s="2517"/>
      <c r="AN71" s="2517"/>
      <c r="AO71" s="2517"/>
      <c r="AP71" s="2517"/>
      <c r="AQ71" s="25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70BF9-549E-BB9D-CCCD-965C2852BCD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3" style="11396" width="21.7109375" hidden="1" customWidth="1"/>
    <col min="24" max="24" style="11396" width="11.7109375" hidden="1" customWidth="1"/>
    <col min="25" max="25" style="11396" width="3.7109375" hidden="1" customWidth="1"/>
    <col min="26" max="26" style="11396" width="11.7109375" hidden="1" customWidth="1"/>
    <col min="27" max="27" style="11396" width="8.57421875" hidden="1" customWidth="1"/>
    <col min="28" max="28" style="11396" width="5.421875" customWidth="1"/>
    <col min="29" max="30" style="11396" width="3.7109375" customWidth="1"/>
    <col min="31" max="31" style="11396" width="24.7109375" customWidth="1"/>
    <col min="32" max="34" style="11396" width="3.7109375" customWidth="1"/>
    <col min="35" max="35" style="11396" width="24.7109375" customWidth="1"/>
    <col min="36" max="38" style="11396" width="3.7109375" customWidth="1"/>
    <col min="39" max="39" style="11396" width="18.8515625" customWidth="1"/>
    <col min="40" max="41" style="11396" width="21.7109375" customWidth="1"/>
    <col min="42" max="42" style="11396" width="11.7109375" customWidth="1"/>
    <col min="43" max="43" style="11396" width="3.7109375" customWidth="1"/>
    <col min="44" max="44" style="11396" width="11.7109375" customWidth="1"/>
    <col min="45" max="45" style="11396" width="8.57421875" customWidth="1"/>
    <col min="46" max="46" style="11396" width="4.7109375" customWidth="1"/>
    <col min="47" max="47" style="11396" width="115.7109375" customWidth="1"/>
    <col min="48" max="49" style="11901" width="10.57421875"/>
    <col min="50" max="50" style="11901" width="11.140625" customWidth="1"/>
    <col min="51" max="52" style="11901" width="10.57421875"/>
  </cols>
  <sheetData>
    <row customHeight="1" ht="14.25" hidden="1">
      <c r="W1" s="613"/>
      <c r="X1" s="613"/>
      <c r="AO1" s="613"/>
      <c r="AP1" s="613"/>
    </row>
    <row customHeight="1" ht="21" hidden="1">
      <c r="A2" s="1724"/>
      <c r="B2" s="1724"/>
      <c r="C2" s="1724"/>
      <c r="D2" s="1724"/>
      <c r="E2" s="2489">
        <v>1</v>
      </c>
      <c r="F2" s="1724"/>
      <c r="G2" s="1724"/>
      <c r="H2" s="1724"/>
      <c r="I2" s="1724"/>
      <c r="J2" s="1724"/>
      <c r="K2" s="1724"/>
      <c r="L2" s="1725"/>
      <c r="M2" s="1726"/>
      <c r="N2" s="1726"/>
      <c r="O2" s="1726"/>
      <c r="P2" s="1771"/>
      <c r="Q2" s="1185"/>
      <c r="R2" s="641"/>
      <c r="S2" s="1696">
        <f>INDEX(PT_DIFFERENTIATION_NUM_NTAR,MATCH(A2,PT_DIFFERENTIATION_NTAR_ID,0))</f>
      </c>
      <c r="T2" s="573" t="s">
        <v>123</v>
      </c>
      <c r="U2" s="575"/>
      <c r="V2" s="4103"/>
      <c r="W2" s="4103"/>
      <c r="X2" s="4103"/>
      <c r="Y2" s="4103"/>
      <c r="Z2" s="4103"/>
      <c r="AA2" s="4104"/>
      <c r="AB2" s="4102">
        <f>INDEX(PT_DIFFERENTIATION_NTAR,MATCH(A2,PT_DIFFERENTIATION_NTAR_ID,0))</f>
      </c>
      <c r="AC2" s="4103"/>
      <c r="AD2" s="4103"/>
      <c r="AE2" s="4103"/>
      <c r="AF2" s="4103"/>
      <c r="AG2" s="4103"/>
      <c r="AH2" s="4103"/>
      <c r="AI2" s="4103"/>
      <c r="AJ2" s="4103"/>
      <c r="AK2" s="4103"/>
      <c r="AL2" s="4103"/>
      <c r="AM2" s="4103"/>
      <c r="AN2" s="4103"/>
      <c r="AO2" s="4103"/>
      <c r="AP2" s="4103"/>
      <c r="AQ2" s="4103"/>
      <c r="AR2" s="4103"/>
      <c r="AS2" s="4103"/>
      <c r="AT2" s="4104"/>
      <c r="AU2" s="1611" t="s">
        <v>1461</v>
      </c>
      <c r="AW2" s="802"/>
      <c r="AX2" s="802" t="str">
        <f>IF(T2="","",T2)</f>
        <v>Наименование тарифа</v>
      </c>
      <c r="AY2" s="802"/>
      <c r="AZ2" s="802"/>
    </row>
    <row customHeight="1" ht="21" hidden="1">
      <c r="A3" s="1724"/>
      <c r="B3" s="1724"/>
      <c r="C3" s="1724"/>
      <c r="D3" s="1724"/>
      <c r="E3" s="2490"/>
      <c r="F3" s="2489">
        <v>1</v>
      </c>
      <c r="G3" s="1724"/>
      <c r="H3" s="1724"/>
      <c r="I3" s="1724"/>
      <c r="J3" s="1724"/>
      <c r="K3" s="1724"/>
      <c r="L3" s="1725"/>
      <c r="M3" s="1726"/>
      <c r="N3" s="1726"/>
      <c r="O3" s="1726"/>
      <c r="P3" s="1772"/>
      <c r="Q3" s="1773"/>
      <c r="R3" s="639"/>
      <c r="S3" s="1696">
        <f>INDEX(PT_DIFFERENTIATION_NUM_TER,MATCH(B3,PT_DIFFERENTIATION_TER_ID,0))</f>
      </c>
      <c r="T3" s="585" t="s">
        <v>1462</v>
      </c>
      <c r="U3" s="575"/>
      <c r="V3" s="4103"/>
      <c r="W3" s="4103"/>
      <c r="X3" s="4103"/>
      <c r="Y3" s="4103"/>
      <c r="Z3" s="4103"/>
      <c r="AA3" s="4104"/>
      <c r="AB3" s="4102">
        <f>INDEX(PT_DIFFERENTIATION_TER,MATCH(B3,PT_DIFFERENTIATION_TER_ID,0))</f>
      </c>
      <c r="AC3" s="4103"/>
      <c r="AD3" s="4103"/>
      <c r="AE3" s="4103"/>
      <c r="AF3" s="4103"/>
      <c r="AG3" s="4103"/>
      <c r="AH3" s="4103"/>
      <c r="AI3" s="4103"/>
      <c r="AJ3" s="4103"/>
      <c r="AK3" s="4103"/>
      <c r="AL3" s="4103"/>
      <c r="AM3" s="4103"/>
      <c r="AN3" s="4103"/>
      <c r="AO3" s="4103"/>
      <c r="AP3" s="4103"/>
      <c r="AQ3" s="4103"/>
      <c r="AR3" s="4103"/>
      <c r="AS3" s="4103"/>
      <c r="AT3" s="4104"/>
      <c r="AU3" s="1611" t="s">
        <v>1463</v>
      </c>
      <c r="AW3" s="802"/>
      <c r="AX3" s="802" t="str">
        <f>IF(T3="","",T3)</f>
        <v>Территория действия тарифа</v>
      </c>
      <c r="AY3" s="802"/>
      <c r="AZ3" s="802"/>
    </row>
    <row customHeight="1" ht="22.5" hidden="1">
      <c r="A4" s="1724"/>
      <c r="B4" s="1724"/>
      <c r="C4" s="1724"/>
      <c r="D4" s="1724"/>
      <c r="E4" s="2490"/>
      <c r="F4" s="2490"/>
      <c r="G4" s="2489">
        <v>1</v>
      </c>
      <c r="H4" s="1724"/>
      <c r="I4" s="1724"/>
      <c r="J4" s="1724"/>
      <c r="K4" s="1724"/>
      <c r="L4" s="1725"/>
      <c r="M4" s="1726"/>
      <c r="N4" s="1726"/>
      <c r="O4" s="1726"/>
      <c r="P4" s="1774"/>
      <c r="Q4" s="1773"/>
      <c r="R4" s="639"/>
      <c r="S4" s="1696">
        <f>INDEX(PT_DIFFERENTIATION_NUM_CS,MATCH(C4,PT_DIFFERENTIATION_CS_ID,0))</f>
      </c>
      <c r="T4" s="586" t="s">
        <v>1464</v>
      </c>
      <c r="U4" s="575"/>
      <c r="V4" s="4103"/>
      <c r="W4" s="4103"/>
      <c r="X4" s="4103"/>
      <c r="Y4" s="4103"/>
      <c r="Z4" s="4103"/>
      <c r="AA4" s="4104"/>
      <c r="AB4" s="4102">
        <f>INDEX(PT_DIFFERENTIATION_CS,MATCH(C4,PT_DIFFERENTIATION_CS_ID,0))</f>
      </c>
      <c r="AC4" s="4103"/>
      <c r="AD4" s="4103"/>
      <c r="AE4" s="4103"/>
      <c r="AF4" s="4103"/>
      <c r="AG4" s="4103"/>
      <c r="AH4" s="4103"/>
      <c r="AI4" s="4103"/>
      <c r="AJ4" s="4103"/>
      <c r="AK4" s="4103"/>
      <c r="AL4" s="4103"/>
      <c r="AM4" s="4103"/>
      <c r="AN4" s="4103"/>
      <c r="AO4" s="4103"/>
      <c r="AP4" s="4103"/>
      <c r="AQ4" s="4103"/>
      <c r="AR4" s="4103"/>
      <c r="AS4" s="4103"/>
      <c r="AT4" s="4104"/>
      <c r="AU4" s="1611" t="s">
        <v>1465</v>
      </c>
      <c r="AW4" s="802"/>
      <c r="AX4" s="802" t="str">
        <f>IF(T4="","",T4)</f>
        <v>Наименование системы теплоснабжения </v>
      </c>
      <c r="AY4" s="802"/>
      <c r="AZ4" s="802"/>
    </row>
    <row customHeight="1" ht="21" hidden="1">
      <c r="A5" s="1724"/>
      <c r="B5" s="1724"/>
      <c r="C5" s="1724"/>
      <c r="D5" s="1724"/>
      <c r="E5" s="2490"/>
      <c r="F5" s="2490"/>
      <c r="G5" s="2490"/>
      <c r="H5" s="2489">
        <v>1</v>
      </c>
      <c r="I5" s="1724"/>
      <c r="J5" s="1724"/>
      <c r="K5" s="1724"/>
      <c r="L5" s="1725"/>
      <c r="M5" s="1726"/>
      <c r="N5" s="1726"/>
      <c r="O5" s="1726"/>
      <c r="P5" s="1774"/>
      <c r="Q5" s="1773"/>
      <c r="R5" s="639"/>
      <c r="S5" s="1696">
        <f>INDEX(PT_DIFFERENTIATION_NUM_IST_TE,MATCH(D5,PT_DIFFERENTIATION_IST_TE_ID,0))</f>
      </c>
      <c r="T5" s="587" t="s">
        <v>1466</v>
      </c>
      <c r="U5" s="575"/>
      <c r="V5" s="4103"/>
      <c r="W5" s="4103"/>
      <c r="X5" s="4103"/>
      <c r="Y5" s="4103"/>
      <c r="Z5" s="4103"/>
      <c r="AA5" s="4104"/>
      <c r="AB5" s="4102">
        <f>INDEX(PT_DIFFERENTIATION_IST_TE,MATCH(D5,PT_DIFFERENTIATION_IST_TE_ID,0))</f>
      </c>
      <c r="AC5" s="4103"/>
      <c r="AD5" s="4103"/>
      <c r="AE5" s="4103"/>
      <c r="AF5" s="4103"/>
      <c r="AG5" s="4103"/>
      <c r="AH5" s="4103"/>
      <c r="AI5" s="4103"/>
      <c r="AJ5" s="4103"/>
      <c r="AK5" s="4103"/>
      <c r="AL5" s="4103"/>
      <c r="AM5" s="4103"/>
      <c r="AN5" s="4103"/>
      <c r="AO5" s="4103"/>
      <c r="AP5" s="4103"/>
      <c r="AQ5" s="4103"/>
      <c r="AR5" s="4103"/>
      <c r="AS5" s="4103"/>
      <c r="AT5" s="4104"/>
      <c r="AU5" s="1611" t="s">
        <v>1467</v>
      </c>
      <c r="AW5" s="802"/>
      <c r="AX5" s="802" t="str">
        <f>IF(T5="","",T5)</f>
        <v>Источник тепловой энергии  </v>
      </c>
      <c r="AY5" s="802"/>
      <c r="AZ5" s="802"/>
    </row>
    <row s="11901" customFormat="1" customHeight="1" ht="14.25" hidden="1">
      <c r="A6" s="1703"/>
      <c r="B6" s="1703"/>
      <c r="C6" s="1703"/>
      <c r="D6" s="1703"/>
      <c r="E6" s="2490"/>
      <c r="F6" s="2490"/>
      <c r="G6" s="2490"/>
      <c r="H6" s="2490"/>
      <c r="I6" s="2518">
        <f>S5&amp;".1"</f>
      </c>
      <c r="J6" s="1703"/>
      <c r="K6" s="1703"/>
      <c r="L6" s="1706" t="s">
        <v>1468</v>
      </c>
      <c r="M6" s="812"/>
      <c r="N6" s="812"/>
      <c r="O6" s="812"/>
      <c r="P6" s="2488">
        <v>1</v>
      </c>
      <c r="Q6" s="1691"/>
      <c r="R6" s="642"/>
      <c r="S6" s="1365"/>
      <c r="T6" s="1744"/>
      <c r="U6" s="1745"/>
      <c r="V6" s="2529"/>
      <c r="W6" s="2529"/>
      <c r="X6" s="2529"/>
      <c r="Y6" s="2529"/>
      <c r="Z6" s="2529"/>
      <c r="AA6" s="2530"/>
      <c r="AB6" s="2528"/>
      <c r="AC6" s="2529"/>
      <c r="AD6" s="2529"/>
      <c r="AE6" s="2529"/>
      <c r="AF6" s="2529"/>
      <c r="AG6" s="2529"/>
      <c r="AH6" s="2529"/>
      <c r="AI6" s="2529"/>
      <c r="AJ6" s="2529"/>
      <c r="AK6" s="2529"/>
      <c r="AL6" s="2529"/>
      <c r="AM6" s="2529"/>
      <c r="AN6" s="2529"/>
      <c r="AO6" s="2529"/>
      <c r="AP6" s="2529"/>
      <c r="AQ6" s="2529"/>
      <c r="AR6" s="2529"/>
      <c r="AS6" s="2529"/>
      <c r="AT6" s="2530"/>
      <c r="AU6" s="1746"/>
      <c r="AW6" s="802"/>
      <c r="AX6" s="802" t="str">
        <f>IF(T6="","",T6)</f>
        <v/>
      </c>
      <c r="AY6" s="802"/>
      <c r="AZ6" s="802"/>
    </row>
    <row s="11901" customFormat="1" customHeight="1" ht="14.25" hidden="1">
      <c r="A7" s="1703"/>
      <c r="B7" s="1703"/>
      <c r="C7" s="1703"/>
      <c r="D7" s="1703"/>
      <c r="E7" s="2490"/>
      <c r="F7" s="2490"/>
      <c r="G7" s="2490"/>
      <c r="H7" s="2490"/>
      <c r="I7" s="2519"/>
      <c r="J7" s="2487">
        <f>S5&amp;".1"</f>
      </c>
      <c r="K7" s="1703"/>
      <c r="L7" s="1706"/>
      <c r="M7" s="812"/>
      <c r="N7" s="812"/>
      <c r="O7" s="812"/>
      <c r="P7" s="2488"/>
      <c r="Q7" s="2488">
        <v>1</v>
      </c>
      <c r="R7" s="643"/>
      <c r="S7" s="1365"/>
      <c r="T7" s="1760"/>
      <c r="U7" s="1745"/>
      <c r="V7" s="2529"/>
      <c r="W7" s="2529"/>
      <c r="X7" s="2529"/>
      <c r="Y7" s="2529"/>
      <c r="Z7" s="2529"/>
      <c r="AA7" s="2530"/>
      <c r="AB7" s="2528"/>
      <c r="AC7" s="2529"/>
      <c r="AD7" s="2529"/>
      <c r="AE7" s="2529"/>
      <c r="AF7" s="2529"/>
      <c r="AG7" s="2529"/>
      <c r="AH7" s="2529"/>
      <c r="AI7" s="2529"/>
      <c r="AJ7" s="2529"/>
      <c r="AK7" s="2529"/>
      <c r="AL7" s="2529"/>
      <c r="AM7" s="2529"/>
      <c r="AN7" s="2529"/>
      <c r="AO7" s="2529"/>
      <c r="AP7" s="2529"/>
      <c r="AQ7" s="2529"/>
      <c r="AR7" s="2529"/>
      <c r="AS7" s="2529"/>
      <c r="AT7" s="2530"/>
      <c r="AU7" s="1746"/>
      <c r="AW7" s="802"/>
      <c r="AX7" s="802" t="str">
        <f>IF(T7="","",T7)</f>
        <v/>
      </c>
      <c r="AY7" s="802"/>
      <c r="AZ7" s="802"/>
    </row>
    <row customHeight="1" ht="21" hidden="1">
      <c r="A8" s="1724"/>
      <c r="B8" s="1724"/>
      <c r="C8" s="1724"/>
      <c r="D8" s="1724"/>
      <c r="E8" s="2490"/>
      <c r="F8" s="2490"/>
      <c r="G8" s="2490"/>
      <c r="H8" s="2490"/>
      <c r="I8" s="2519"/>
      <c r="J8" s="2520"/>
      <c r="K8" s="2487">
        <f>S5&amp;".1"</f>
      </c>
      <c r="L8" s="1725"/>
      <c r="P8" s="2488"/>
      <c r="Q8" s="2488"/>
      <c r="R8" s="2578">
        <v>1</v>
      </c>
      <c r="S8" s="2572">
        <f>$K8</f>
      </c>
      <c r="T8" s="2575"/>
      <c r="U8" s="575"/>
      <c r="V8" s="4130"/>
      <c r="W8" s="4132"/>
      <c r="X8" s="2495"/>
      <c r="Y8" s="2207" t="s">
        <v>63</v>
      </c>
      <c r="Z8" s="2495"/>
      <c r="AA8" s="2207" t="s">
        <v>63</v>
      </c>
      <c r="AB8" s="2207" t="s">
        <v>56</v>
      </c>
      <c r="AC8" s="2561"/>
      <c r="AD8" s="2562">
        <v>1</v>
      </c>
      <c r="AE8" s="2563"/>
      <c r="AF8" s="2207" t="s">
        <v>56</v>
      </c>
      <c r="AG8" s="2561"/>
      <c r="AH8" s="2562">
        <v>1</v>
      </c>
      <c r="AI8" s="2563"/>
      <c r="AJ8" s="2207" t="s">
        <v>56</v>
      </c>
      <c r="AK8" s="588"/>
      <c r="AL8" s="1697">
        <v>1</v>
      </c>
      <c r="AM8" s="1759"/>
      <c r="AN8" s="4130"/>
      <c r="AO8" s="4132"/>
      <c r="AP8" s="2114"/>
      <c r="AQ8" s="1821" t="s">
        <v>63</v>
      </c>
      <c r="AR8" s="2114"/>
      <c r="AS8" s="1821" t="s">
        <v>63</v>
      </c>
      <c r="AT8" s="4231"/>
      <c r="AU8" s="2484" t="s">
        <v>1538</v>
      </c>
      <c r="AV8" s="813">
        <f>STRCHECKDATE(V11:AT11)</f>
      </c>
      <c r="AW8" s="802"/>
      <c r="AX8" s="802" t="str">
        <f>IF(T8="","",T8)</f>
        <v/>
      </c>
      <c r="AY8" s="802"/>
      <c r="AZ8" s="802"/>
    </row>
    <row customHeight="1" ht="11.25" hidden="1">
      <c r="A9" s="1724"/>
      <c r="B9" s="1724"/>
      <c r="C9" s="1724"/>
      <c r="D9" s="1724"/>
      <c r="E9" s="2490"/>
      <c r="F9" s="2490"/>
      <c r="G9" s="2490"/>
      <c r="H9" s="2490"/>
      <c r="I9" s="2519"/>
      <c r="J9" s="2520"/>
      <c r="K9" s="2487"/>
      <c r="L9" s="1725"/>
      <c r="P9" s="2488"/>
      <c r="Q9" s="2488"/>
      <c r="R9" s="2578"/>
      <c r="S9" s="2573"/>
      <c r="T9" s="2576"/>
      <c r="U9" s="575"/>
      <c r="V9" s="4290"/>
      <c r="W9" s="4344"/>
      <c r="X9" s="2495"/>
      <c r="Y9" s="2207"/>
      <c r="Z9" s="2495"/>
      <c r="AA9" s="2207"/>
      <c r="AB9" s="2207"/>
      <c r="AC9" s="2561"/>
      <c r="AD9" s="2562"/>
      <c r="AE9" s="2563"/>
      <c r="AF9" s="2207"/>
      <c r="AG9" s="2561"/>
      <c r="AH9" s="2562"/>
      <c r="AI9" s="2563"/>
      <c r="AJ9" s="2207"/>
      <c r="AK9" s="595"/>
      <c r="AL9" s="717"/>
      <c r="AM9" s="716" t="s">
        <v>1539</v>
      </c>
      <c r="AN9" s="4290"/>
      <c r="AO9" s="4346"/>
      <c r="AP9" s="4290"/>
      <c r="AQ9" s="4290"/>
      <c r="AR9" s="4290"/>
      <c r="AS9" s="4290"/>
      <c r="AT9" s="4347"/>
      <c r="AU9" s="2485"/>
      <c r="AW9" s="802"/>
      <c r="AX9" s="802"/>
      <c r="AY9" s="802"/>
      <c r="AZ9" s="802"/>
    </row>
    <row customHeight="1" ht="11.25" hidden="1">
      <c r="A10" s="1724"/>
      <c r="B10" s="1724"/>
      <c r="C10" s="1724"/>
      <c r="D10" s="1724"/>
      <c r="E10" s="2490"/>
      <c r="F10" s="2490"/>
      <c r="G10" s="2490"/>
      <c r="H10" s="2490"/>
      <c r="I10" s="2519"/>
      <c r="J10" s="2520"/>
      <c r="K10" s="2487"/>
      <c r="L10" s="1725"/>
      <c r="P10" s="2488"/>
      <c r="Q10" s="2488"/>
      <c r="R10" s="2578"/>
      <c r="S10" s="2573"/>
      <c r="T10" s="2576"/>
      <c r="U10" s="575"/>
      <c r="V10" s="4290"/>
      <c r="W10" s="4344"/>
      <c r="X10" s="2495"/>
      <c r="Y10" s="2207"/>
      <c r="Z10" s="2495"/>
      <c r="AA10" s="2207"/>
      <c r="AB10" s="2207"/>
      <c r="AC10" s="2561"/>
      <c r="AD10" s="2562"/>
      <c r="AE10" s="2563"/>
      <c r="AF10" s="2207"/>
      <c r="AG10" s="569"/>
      <c r="AH10" s="716"/>
      <c r="AI10" s="716" t="s">
        <v>1540</v>
      </c>
      <c r="AJ10" s="4290"/>
      <c r="AK10" s="4290"/>
      <c r="AL10" s="4290"/>
      <c r="AM10" s="4290"/>
      <c r="AN10" s="4290"/>
      <c r="AO10" s="4346"/>
      <c r="AP10" s="4290"/>
      <c r="AQ10" s="4290"/>
      <c r="AR10" s="4290"/>
      <c r="AS10" s="4290"/>
      <c r="AT10" s="4347"/>
      <c r="AU10" s="2485"/>
      <c r="AW10" s="802"/>
      <c r="AX10" s="802"/>
      <c r="AY10" s="802"/>
      <c r="AZ10" s="802"/>
    </row>
    <row customHeight="1" ht="11.25" hidden="1">
      <c r="A11" s="1724"/>
      <c r="B11" s="1724"/>
      <c r="C11" s="1724"/>
      <c r="D11" s="1724"/>
      <c r="E11" s="2490"/>
      <c r="F11" s="2490"/>
      <c r="G11" s="2490"/>
      <c r="H11" s="2490"/>
      <c r="I11" s="2519"/>
      <c r="J11" s="2520"/>
      <c r="K11" s="2487"/>
      <c r="L11" s="1725"/>
      <c r="P11" s="2488"/>
      <c r="Q11" s="2488"/>
      <c r="R11" s="2578"/>
      <c r="S11" s="2574"/>
      <c r="T11" s="2577"/>
      <c r="U11" s="575"/>
      <c r="V11" s="4290"/>
      <c r="W11" s="4351" t="str">
        <f>X8&amp;"-"&amp;Z8</f>
        <v>-</v>
      </c>
      <c r="X11" s="2496"/>
      <c r="Y11" s="2207"/>
      <c r="Z11" s="2496"/>
      <c r="AA11" s="2207"/>
      <c r="AB11" s="2207"/>
      <c r="AC11" s="589"/>
      <c r="AD11" s="591"/>
      <c r="AE11" s="716" t="s">
        <v>1541</v>
      </c>
      <c r="AF11" s="4290"/>
      <c r="AG11" s="4290"/>
      <c r="AH11" s="4290"/>
      <c r="AI11" s="4290"/>
      <c r="AJ11" s="4290"/>
      <c r="AK11" s="4290"/>
      <c r="AL11" s="4290"/>
      <c r="AM11" s="4290"/>
      <c r="AN11" s="4290"/>
      <c r="AO11" s="4291" t="str">
        <f>AP8&amp;"-"&amp;AR8</f>
        <v>-</v>
      </c>
      <c r="AP11" s="4290"/>
      <c r="AQ11" s="4290"/>
      <c r="AR11" s="4290"/>
      <c r="AS11" s="4290"/>
      <c r="AT11" s="4234"/>
      <c r="AU11" s="2485"/>
      <c r="AW11" s="802"/>
      <c r="AX11" s="802" t="str">
        <f>IF(T11="","",T11)</f>
        <v/>
      </c>
      <c r="AY11" s="802"/>
      <c r="AZ11" s="802"/>
    </row>
    <row customHeight="1" ht="11.25" hidden="1">
      <c r="A12" s="1724"/>
      <c r="B12" s="1724"/>
      <c r="C12" s="1724"/>
      <c r="D12" s="1724"/>
      <c r="E12" s="2490"/>
      <c r="F12" s="2490"/>
      <c r="G12" s="2490"/>
      <c r="H12" s="2490"/>
      <c r="I12" s="2519"/>
      <c r="J12" s="2487"/>
      <c r="K12" s="1724"/>
      <c r="L12" s="1725"/>
      <c r="P12" s="2488"/>
      <c r="Q12" s="2488"/>
      <c r="R12" s="642"/>
      <c r="S12" s="1633"/>
      <c r="T12" s="562" t="s">
        <v>1542</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486"/>
      <c r="AW12" s="802"/>
      <c r="AX12" s="802" t="str">
        <f>IF(T12="","",T12)</f>
        <v>Добавить строку</v>
      </c>
      <c r="AY12" s="802"/>
      <c r="AZ12" s="802"/>
    </row>
    <row s="11901" customFormat="1" customHeight="1" ht="14.25" hidden="1">
      <c r="A13" s="1703"/>
      <c r="B13" s="1703"/>
      <c r="C13" s="1703"/>
      <c r="D13" s="1703"/>
      <c r="E13" s="2490"/>
      <c r="F13" s="2490"/>
      <c r="G13" s="2490"/>
      <c r="H13" s="2490"/>
      <c r="I13" s="2518"/>
      <c r="J13" s="1703"/>
      <c r="K13" s="1703"/>
      <c r="L13" s="1706"/>
      <c r="M13" s="812"/>
      <c r="N13" s="812"/>
      <c r="O13" s="812"/>
      <c r="P13" s="2488"/>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1901" customFormat="1" customHeight="1" ht="14.25" hidden="1">
      <c r="A14" s="1703"/>
      <c r="B14" s="1703"/>
      <c r="C14" s="1703"/>
      <c r="D14" s="1703"/>
      <c r="E14" s="2490"/>
      <c r="F14" s="2490"/>
      <c r="G14" s="2490"/>
      <c r="H14" s="2489"/>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813" customFormat="1" customHeight="1" ht="14.25" hidden="1">
      <c r="A15" s="1703"/>
      <c r="B15" s="1703"/>
      <c r="C15" s="1703"/>
      <c r="D15" s="1674"/>
      <c r="E15" s="2490"/>
      <c r="F15" s="2490"/>
      <c r="G15" s="2489"/>
      <c r="H15" s="1674"/>
      <c r="I15" s="1674"/>
      <c r="J15" s="1674"/>
      <c r="K15" s="1674"/>
      <c r="L15" s="1699"/>
      <c r="M15" s="1675"/>
      <c r="N15" s="1675"/>
      <c r="P15" s="1676"/>
      <c r="Q15" s="1677"/>
      <c r="R15" s="1676"/>
      <c r="S15" s="1682"/>
      <c r="T15" s="1685" t="s">
        <v>1437</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813" customFormat="1" customHeight="1" ht="14.25" hidden="1">
      <c r="A16" s="1703"/>
      <c r="B16" s="1703"/>
      <c r="C16" s="1674"/>
      <c r="D16" s="1674"/>
      <c r="E16" s="2490"/>
      <c r="F16" s="2489"/>
      <c r="G16" s="1674"/>
      <c r="H16" s="1674"/>
      <c r="I16" s="1674"/>
      <c r="J16" s="1674"/>
      <c r="K16" s="1674"/>
      <c r="L16" s="1699"/>
      <c r="M16" s="1681"/>
      <c r="N16" s="1681"/>
      <c r="P16" s="1676"/>
      <c r="Q16" s="1677"/>
      <c r="R16" s="1676"/>
      <c r="S16" s="1682"/>
      <c r="T16" s="1685" t="s">
        <v>1438</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1901" customFormat="1" customHeight="1" ht="14.25" hidden="1">
      <c r="A17" s="1703"/>
      <c r="B17" s="1703"/>
      <c r="C17" s="1703"/>
      <c r="D17" s="1703"/>
      <c r="E17" s="2489"/>
      <c r="F17" s="1703"/>
      <c r="G17" s="1703"/>
      <c r="H17" s="1703"/>
      <c r="I17" s="1703"/>
      <c r="J17" s="1703"/>
      <c r="K17" s="1703"/>
      <c r="L17" s="1706"/>
      <c r="M17" s="1681"/>
      <c r="N17" s="1681"/>
      <c r="O17" s="820"/>
      <c r="P17" s="675"/>
      <c r="Q17" s="1704"/>
      <c r="R17" s="675"/>
      <c r="S17" s="1682"/>
      <c r="T17" s="1685" t="s">
        <v>1439</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56</v>
      </c>
      <c r="AC19" s="1863"/>
      <c r="AD19" s="850">
        <v>1</v>
      </c>
      <c r="AE19" s="1864"/>
      <c r="AF19" s="1684" t="s">
        <v>56</v>
      </c>
      <c r="AG19" s="1863"/>
      <c r="AH19" s="850">
        <v>1</v>
      </c>
      <c r="AI19" s="1864"/>
      <c r="AJ19" s="1684" t="s">
        <v>56</v>
      </c>
      <c r="AK19" s="1865"/>
      <c r="AL19" s="850">
        <v>1</v>
      </c>
      <c r="AM19" s="1868"/>
      <c r="AN19" s="4360"/>
      <c r="AO19" s="4361"/>
      <c r="AP19" s="2116"/>
      <c r="AQ19" s="1822" t="s">
        <v>63</v>
      </c>
      <c r="AR19" s="2116"/>
      <c r="AS19" s="1822" t="s">
        <v>63</v>
      </c>
    </row>
    <row customHeight="1" ht="14.25" hidden="1">
      <c r="AV20" s="798"/>
      <c r="AW20" s="798"/>
      <c r="AX20" s="798"/>
      <c r="AY20" s="798"/>
      <c r="AZ20" s="798"/>
    </row>
    <row customHeight="1" ht="14.25" hidden="1">
      <c r="O21" s="1728" t="s">
        <v>1479</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037" customFormat="1" customHeight="1" ht="14.25" hidden="1">
      <c r="M23" s="1870"/>
      <c r="N23" s="1870"/>
      <c r="O23" s="1871" t="s">
        <v>1480</v>
      </c>
      <c r="P23" s="1870"/>
      <c r="Q23" s="1872"/>
      <c r="R23" s="1872"/>
      <c r="Y23" s="1869" t="s">
        <v>1482</v>
      </c>
      <c r="AA23" s="1869" t="s">
        <v>1483</v>
      </c>
      <c r="AB23" s="1869" t="s">
        <v>1543</v>
      </c>
      <c r="AE23" s="1869" t="s">
        <v>1544</v>
      </c>
      <c r="AF23" s="1869" t="s">
        <v>1543</v>
      </c>
      <c r="AI23" s="1869" t="s">
        <v>1545</v>
      </c>
      <c r="AJ23" s="1869" t="s">
        <v>1543</v>
      </c>
      <c r="AM23" s="1869" t="s">
        <v>1546</v>
      </c>
      <c r="AQ23" s="1869" t="s">
        <v>1482</v>
      </c>
      <c r="AS23" s="1869" t="s">
        <v>1483</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47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86"/>
    </row>
    <row customHeight="1" ht="14.25">
      <c r="Q28" s="566"/>
      <c r="R28" s="667"/>
      <c r="S28"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843" customFormat="1" customHeight="1" ht="25.5" hidden="1">
      <c r="A30" s="1729"/>
      <c r="B30" s="1729"/>
      <c r="C30" s="1729"/>
      <c r="D30" s="1729"/>
      <c r="E30" s="1729"/>
      <c r="F30" s="1729"/>
      <c r="G30" s="1729"/>
      <c r="H30" s="1729"/>
      <c r="I30" s="1729"/>
      <c r="J30" s="1729"/>
      <c r="K30" s="1729"/>
      <c r="L30" s="1730"/>
      <c r="M30" s="1729"/>
      <c r="N30" s="1729"/>
      <c r="O30" s="1729"/>
      <c r="P30" s="1729"/>
      <c r="Q30" s="1729"/>
      <c r="S30" s="2481" t="s">
        <v>38</v>
      </c>
      <c r="T30" s="2481"/>
      <c r="U30" s="1733"/>
      <c r="V30" s="2482"/>
      <c r="W30" s="2482"/>
      <c r="X30" s="2482"/>
      <c r="Y30" s="2482"/>
      <c r="Z30" s="2482"/>
      <c r="AA30" s="612"/>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12"/>
      <c r="AT30" s="612"/>
      <c r="AU30" s="555"/>
      <c r="AV30" s="658"/>
      <c r="AW30" s="658"/>
      <c r="AX30" s="658"/>
      <c r="AY30" s="658"/>
      <c r="AZ30" s="658"/>
    </row>
    <row s="11843" customFormat="1" customHeight="1" ht="18.75" hidden="1">
      <c r="A31" s="1729"/>
      <c r="B31" s="1729"/>
      <c r="C31" s="1729"/>
      <c r="D31" s="1729"/>
      <c r="E31" s="1729"/>
      <c r="F31" s="1729"/>
      <c r="G31" s="1729"/>
      <c r="H31" s="1729"/>
      <c r="I31" s="1729"/>
      <c r="J31" s="1729"/>
      <c r="K31" s="1729"/>
      <c r="L31" s="1730"/>
      <c r="M31" s="1729"/>
      <c r="N31" s="1729"/>
      <c r="O31" s="1729"/>
      <c r="P31" s="1729"/>
      <c r="Q31" s="1729"/>
      <c r="S31" s="2481" t="s">
        <v>1485</v>
      </c>
      <c r="T31" s="2481"/>
      <c r="U31" s="1733"/>
      <c r="V31" s="2482"/>
      <c r="W31" s="2482"/>
      <c r="X31" s="2482"/>
      <c r="Y31" s="2482"/>
      <c r="Z31" s="2482"/>
      <c r="AA31" s="612"/>
      <c r="AB31" s="2482" t="str">
        <f>IF(TITLE_DATE_CHANGE_PERIOD="",IF(TITLE_DATE_PR="","",TITLE_DATE_PR),TITLE_DATE_CHANGE_PERIOD)</f>
        <v/>
      </c>
      <c r="AC31" s="2482"/>
      <c r="AD31" s="2482"/>
      <c r="AE31" s="2482"/>
      <c r="AF31" s="2482"/>
      <c r="AG31" s="2482"/>
      <c r="AH31" s="2482"/>
      <c r="AI31" s="2482"/>
      <c r="AJ31" s="2482"/>
      <c r="AK31" s="2482"/>
      <c r="AL31" s="2482"/>
      <c r="AM31" s="2482"/>
      <c r="AN31" s="2482"/>
      <c r="AO31" s="2482"/>
      <c r="AP31" s="2482"/>
      <c r="AQ31" s="2482"/>
      <c r="AR31" s="2482"/>
      <c r="AS31" s="612"/>
      <c r="AT31" s="612"/>
      <c r="AU31" s="555"/>
      <c r="AV31" s="658"/>
      <c r="AW31" s="658"/>
      <c r="AX31" s="658"/>
      <c r="AY31" s="658"/>
      <c r="AZ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1486</v>
      </c>
      <c r="T32" s="2481"/>
      <c r="U32" s="1733"/>
      <c r="V32" s="2482"/>
      <c r="W32" s="2482"/>
      <c r="X32" s="2482"/>
      <c r="Y32" s="2482"/>
      <c r="Z32" s="2482"/>
      <c r="AA32" s="612"/>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12"/>
      <c r="AT32" s="612"/>
      <c r="AU32" s="555"/>
      <c r="AV32" s="658"/>
      <c r="AW32" s="658"/>
      <c r="AX32" s="658"/>
      <c r="AY32" s="658"/>
      <c r="AZ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39</v>
      </c>
      <c r="T33" s="2481"/>
      <c r="U33" s="1733"/>
      <c r="V33" s="2482"/>
      <c r="W33" s="2482"/>
      <c r="X33" s="2482"/>
      <c r="Y33" s="2482"/>
      <c r="Z33" s="2482"/>
      <c r="AA33" s="612"/>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12"/>
      <c r="AT33" s="612"/>
      <c r="AU33" s="555"/>
      <c r="AV33" s="658"/>
      <c r="AW33" s="658"/>
      <c r="AX33" s="658"/>
      <c r="AY33" s="658"/>
      <c r="AZ33" s="658"/>
    </row>
    <row customHeight="1" ht="14.25" hidden="1">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843" customFormat="1" customHeight="1" ht="18.75" hidden="1">
      <c r="A35" s="1729"/>
      <c r="B35" s="1729"/>
      <c r="C35" s="1729"/>
      <c r="D35" s="1729"/>
      <c r="E35" s="1729"/>
      <c r="F35" s="1729"/>
      <c r="G35" s="1729"/>
      <c r="H35" s="1729"/>
      <c r="I35" s="1729"/>
      <c r="J35" s="1729"/>
      <c r="K35" s="1729"/>
      <c r="L35" s="1730"/>
      <c r="M35" s="1729"/>
      <c r="N35" s="1729"/>
      <c r="O35" s="1729"/>
      <c r="P35" s="1729"/>
      <c r="Q35" s="1729"/>
      <c r="S35" s="2481" t="s">
        <v>1485</v>
      </c>
      <c r="T35" s="2481"/>
      <c r="U35" s="1733"/>
      <c r="V35" s="2482"/>
      <c r="W35" s="2482"/>
      <c r="X35" s="2482"/>
      <c r="Y35" s="2482"/>
      <c r="Z35" s="2482"/>
      <c r="AA35" s="612"/>
      <c r="AB35" s="2482" t="str">
        <f>IF(TITLE_DATE_CHANGE_PERIOD="",IF(TITLE_DATE_PR="","",TITLE_DATE_PR),TITLE_DATE_CHANGE_PERIOD)</f>
        <v/>
      </c>
      <c r="AC35" s="2482"/>
      <c r="AD35" s="2482"/>
      <c r="AE35" s="2482"/>
      <c r="AF35" s="2482"/>
      <c r="AG35" s="2482"/>
      <c r="AH35" s="2482"/>
      <c r="AI35" s="2482"/>
      <c r="AJ35" s="2482"/>
      <c r="AK35" s="2482"/>
      <c r="AL35" s="2482"/>
      <c r="AM35" s="2482"/>
      <c r="AN35" s="2482"/>
      <c r="AO35" s="2482"/>
      <c r="AP35" s="2482"/>
      <c r="AQ35" s="2482"/>
      <c r="AR35" s="2482"/>
      <c r="AS35" s="612"/>
      <c r="AT35" s="612"/>
      <c r="AU35" s="555"/>
      <c r="AV35" s="658"/>
      <c r="AW35" s="658"/>
      <c r="AX35" s="658"/>
      <c r="AY35" s="658"/>
      <c r="AZ35" s="658"/>
    </row>
    <row s="11843" customFormat="1" customHeight="1" ht="18" hidden="1">
      <c r="A36" s="1729"/>
      <c r="B36" s="1729"/>
      <c r="C36" s="1729"/>
      <c r="D36" s="1729"/>
      <c r="E36" s="1729"/>
      <c r="F36" s="1729"/>
      <c r="G36" s="1729"/>
      <c r="H36" s="1729"/>
      <c r="I36" s="1729"/>
      <c r="J36" s="1729"/>
      <c r="K36" s="1729"/>
      <c r="L36" s="1730"/>
      <c r="M36" s="1729"/>
      <c r="N36" s="1729"/>
      <c r="O36" s="1729"/>
      <c r="P36" s="1729"/>
      <c r="Q36" s="1729"/>
      <c r="S36" s="2481" t="s">
        <v>1486</v>
      </c>
      <c r="T36" s="2481"/>
      <c r="U36" s="1733"/>
      <c r="V36" s="2482"/>
      <c r="W36" s="2482"/>
      <c r="X36" s="2482"/>
      <c r="Y36" s="2482"/>
      <c r="Z36" s="2482"/>
      <c r="AA36" s="612"/>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12"/>
      <c r="AT36" s="612"/>
      <c r="AU36" s="555"/>
      <c r="AV36" s="658"/>
      <c r="AW36" s="658"/>
      <c r="AX36" s="658"/>
      <c r="AY36" s="658"/>
      <c r="AZ36" s="658"/>
    </row>
    <row s="11843"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1489</v>
      </c>
      <c r="AB37" s="612"/>
      <c r="AC37" s="612"/>
      <c r="AD37" s="612"/>
      <c r="AE37" s="612"/>
      <c r="AF37" s="612"/>
      <c r="AG37" s="612"/>
      <c r="AH37" s="612"/>
      <c r="AI37" s="612"/>
      <c r="AJ37" s="612"/>
      <c r="AK37" s="612"/>
      <c r="AL37" s="612"/>
      <c r="AM37" s="612"/>
      <c r="AN37" s="612"/>
      <c r="AO37" s="612"/>
      <c r="AP37" s="612"/>
      <c r="AQ37" s="612"/>
      <c r="AR37" s="612"/>
      <c r="AS37" s="553" t="s">
        <v>1489</v>
      </c>
      <c r="AV37" s="658"/>
      <c r="AW37" s="658"/>
      <c r="AX37" s="658"/>
      <c r="AY37" s="658"/>
      <c r="AZ37" s="658"/>
    </row>
    <row customHeight="1" ht="14.25">
      <c r="Q38" s="566"/>
      <c r="R38" s="667"/>
      <c r="S38" s="1630"/>
      <c r="T38" s="651"/>
      <c r="U38" s="1587"/>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566"/>
      <c r="R39" s="667"/>
      <c r="S39" s="2342" t="s">
        <v>291</v>
      </c>
      <c r="T39" s="2342"/>
      <c r="U39" s="2342"/>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t="s">
        <v>292</v>
      </c>
    </row>
    <row customHeight="1" ht="14.25">
      <c r="Q40" s="566"/>
      <c r="R40" s="667"/>
      <c r="S40" s="2505" t="s">
        <v>88</v>
      </c>
      <c r="T40" s="2366" t="s">
        <v>1490</v>
      </c>
      <c r="U40" s="576"/>
      <c r="V40" s="2507"/>
      <c r="W40" s="2507"/>
      <c r="X40" s="2507"/>
      <c r="Y40" s="2507"/>
      <c r="Z40" s="2508"/>
      <c r="AA40" s="2509" t="s">
        <v>1492</v>
      </c>
      <c r="AB40" s="2564" t="s">
        <v>1547</v>
      </c>
      <c r="AC40" s="2523"/>
      <c r="AD40" s="2523"/>
      <c r="AE40" s="2565"/>
      <c r="AF40" s="2564" t="s">
        <v>1548</v>
      </c>
      <c r="AG40" s="2523"/>
      <c r="AH40" s="2523"/>
      <c r="AI40" s="2565"/>
      <c r="AJ40" s="2564" t="s">
        <v>1549</v>
      </c>
      <c r="AK40" s="2523"/>
      <c r="AL40" s="2523"/>
      <c r="AM40" s="2565"/>
      <c r="AN40" s="2506" t="s">
        <v>1491</v>
      </c>
      <c r="AO40" s="2507"/>
      <c r="AP40" s="2507"/>
      <c r="AQ40" s="2507"/>
      <c r="AR40" s="2508"/>
      <c r="AS40" s="2509" t="s">
        <v>1492</v>
      </c>
      <c r="AT40" s="2512" t="s">
        <v>1494</v>
      </c>
      <c r="AU40" s="2342"/>
    </row>
    <row customHeight="1" ht="33.75">
      <c r="Q41" s="566"/>
      <c r="R41" s="667"/>
      <c r="S41" s="2505"/>
      <c r="T41" s="2366"/>
      <c r="U41" s="1354"/>
      <c r="V41" s="2355" t="s">
        <v>1550</v>
      </c>
      <c r="W41" s="2356"/>
      <c r="X41" s="2542" t="s">
        <v>1498</v>
      </c>
      <c r="Y41" s="2543"/>
      <c r="Z41" s="2544"/>
      <c r="AA41" s="2510"/>
      <c r="AB41" s="2566"/>
      <c r="AC41" s="2567"/>
      <c r="AD41" s="2567"/>
      <c r="AE41" s="2568"/>
      <c r="AF41" s="2566"/>
      <c r="AG41" s="2567"/>
      <c r="AH41" s="2567"/>
      <c r="AI41" s="2568"/>
      <c r="AJ41" s="2566"/>
      <c r="AK41" s="2567"/>
      <c r="AL41" s="2567"/>
      <c r="AM41" s="2568"/>
      <c r="AN41" s="2355" t="s">
        <v>1550</v>
      </c>
      <c r="AO41" s="2356"/>
      <c r="AP41" s="2542" t="s">
        <v>1498</v>
      </c>
      <c r="AQ41" s="2543"/>
      <c r="AR41" s="2544"/>
      <c r="AS41" s="2510"/>
      <c r="AT41" s="2513"/>
      <c r="AU41" s="2342"/>
    </row>
    <row customHeight="1" ht="14.25">
      <c r="Q42" s="566"/>
      <c r="R42" s="667"/>
      <c r="S42" s="2505"/>
      <c r="T42" s="2366"/>
      <c r="U42" s="1354"/>
      <c r="V42" s="2357"/>
      <c r="W42" s="2358"/>
      <c r="X42" s="2545"/>
      <c r="Y42" s="2546"/>
      <c r="Z42" s="2547"/>
      <c r="AA42" s="2510"/>
      <c r="AB42" s="2566"/>
      <c r="AC42" s="2567"/>
      <c r="AD42" s="2567"/>
      <c r="AE42" s="2568"/>
      <c r="AF42" s="2566"/>
      <c r="AG42" s="2567"/>
      <c r="AH42" s="2567"/>
      <c r="AI42" s="2568"/>
      <c r="AJ42" s="2566"/>
      <c r="AK42" s="2567"/>
      <c r="AL42" s="2567"/>
      <c r="AM42" s="2568"/>
      <c r="AN42" s="2357"/>
      <c r="AO42" s="2358"/>
      <c r="AP42" s="2545"/>
      <c r="AQ42" s="2546"/>
      <c r="AR42" s="2547"/>
      <c r="AS42" s="2510"/>
      <c r="AT42" s="2513"/>
      <c r="AU42" s="2342"/>
    </row>
    <row customHeight="1" ht="14.25">
      <c r="A43" s="1731"/>
      <c r="B43" s="1731" t="s">
        <v>135</v>
      </c>
      <c r="C43" s="1731" t="s">
        <v>136</v>
      </c>
      <c r="D43" s="1731" t="s">
        <v>137</v>
      </c>
      <c r="E43" s="1725" t="s">
        <v>1499</v>
      </c>
      <c r="F43" s="1725" t="s">
        <v>1500</v>
      </c>
      <c r="G43" s="1725" t="s">
        <v>1501</v>
      </c>
      <c r="H43" s="1725" t="s">
        <v>1502</v>
      </c>
      <c r="I43" s="1725" t="s">
        <v>1503</v>
      </c>
      <c r="J43" s="1725" t="s">
        <v>1504</v>
      </c>
      <c r="K43" s="1725" t="s">
        <v>1505</v>
      </c>
      <c r="L43" s="1725" t="s">
        <v>1480</v>
      </c>
      <c r="Q43" s="566"/>
      <c r="R43" s="667"/>
      <c r="S43" s="2505"/>
      <c r="T43" s="2366"/>
      <c r="U43" s="577"/>
      <c r="V43" s="1690" t="s">
        <v>1551</v>
      </c>
      <c r="W43" s="1690" t="s">
        <v>1552</v>
      </c>
      <c r="X43" s="1698" t="s">
        <v>1508</v>
      </c>
      <c r="Y43" s="2502" t="s">
        <v>1509</v>
      </c>
      <c r="Z43" s="2503"/>
      <c r="AA43" s="2511"/>
      <c r="AB43" s="2569"/>
      <c r="AC43" s="2570"/>
      <c r="AD43" s="2570"/>
      <c r="AE43" s="2571"/>
      <c r="AF43" s="2569"/>
      <c r="AG43" s="2570"/>
      <c r="AH43" s="2570"/>
      <c r="AI43" s="2571"/>
      <c r="AJ43" s="2569"/>
      <c r="AK43" s="2570"/>
      <c r="AL43" s="2570"/>
      <c r="AM43" s="2571"/>
      <c r="AN43" s="1690" t="s">
        <v>1551</v>
      </c>
      <c r="AO43" s="1690" t="s">
        <v>1552</v>
      </c>
      <c r="AP43" s="1698" t="s">
        <v>1508</v>
      </c>
      <c r="AQ43" s="2502" t="s">
        <v>1509</v>
      </c>
      <c r="AR43" s="2503"/>
      <c r="AS43" s="2511"/>
      <c r="AT43" s="2514"/>
      <c r="AU43" s="2342"/>
    </row>
    <row s="11084"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99</v>
      </c>
      <c r="T44" s="1606" t="s">
        <v>109</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203</v>
      </c>
      <c r="B45" s="1724"/>
      <c r="C45" s="1724"/>
      <c r="D45" s="1724"/>
      <c r="E45" s="2489">
        <v>1</v>
      </c>
      <c r="F45" s="1724"/>
      <c r="G45" s="1724"/>
      <c r="H45" s="1724"/>
      <c r="I45" s="1724"/>
      <c r="J45" s="1724"/>
      <c r="K45" s="1724"/>
      <c r="L45" s="1725"/>
      <c r="M45" s="1726"/>
      <c r="N45" s="1726"/>
      <c r="O45" s="1726"/>
      <c r="P45" s="1771"/>
      <c r="Q45" s="1185"/>
      <c r="R45" s="641"/>
      <c r="S45" s="1696">
        <f>INDEX(PT_DIFFERENTIATION_NUM_NTAR,MATCH(A45,PT_DIFFERENTIATION_NTAR_ID,0))</f>
        <v>0</v>
      </c>
      <c r="T45" s="573" t="s">
        <v>123</v>
      </c>
      <c r="U45" s="575"/>
      <c r="V45" s="4103"/>
      <c r="W45" s="4103"/>
      <c r="X45" s="4103"/>
      <c r="Y45" s="4103"/>
      <c r="Z45" s="4103"/>
      <c r="AA45" s="4104"/>
      <c r="AB45" s="4102" t="str">
        <f>INDEX(PT_DIFFERENTIATION_NTAR,MATCH(A45,PT_DIFFERENTIATION_NTAR_ID,0))</f>
        <v/>
      </c>
      <c r="AC45" s="4103"/>
      <c r="AD45" s="4103"/>
      <c r="AE45" s="4103"/>
      <c r="AF45" s="4103"/>
      <c r="AG45" s="4103"/>
      <c r="AH45" s="4103"/>
      <c r="AI45" s="4103"/>
      <c r="AJ45" s="4103"/>
      <c r="AK45" s="4103"/>
      <c r="AL45" s="4103"/>
      <c r="AM45" s="4103"/>
      <c r="AN45" s="4103"/>
      <c r="AO45" s="4103"/>
      <c r="AP45" s="4103"/>
      <c r="AQ45" s="4103"/>
      <c r="AR45" s="4103"/>
      <c r="AS45" s="4103"/>
      <c r="AT45" s="4104"/>
      <c r="AU45" s="1611" t="s">
        <v>1461</v>
      </c>
      <c r="AW45" s="802"/>
      <c r="AX45" s="802" t="str">
        <f>IF(T45="","",T45)</f>
        <v>Наименование тарифа</v>
      </c>
      <c r="AY45" s="802"/>
      <c r="AZ45" s="802"/>
    </row>
    <row customHeight="1" ht="21">
      <c r="A46" s="1724" t="s">
        <v>203</v>
      </c>
      <c r="B46" s="1724" t="s">
        <v>204</v>
      </c>
      <c r="C46" s="1724"/>
      <c r="D46" s="1724"/>
      <c r="E46" s="2490"/>
      <c r="F46" s="2489">
        <v>1</v>
      </c>
      <c r="G46" s="1724"/>
      <c r="H46" s="1724"/>
      <c r="I46" s="1724"/>
      <c r="J46" s="1724"/>
      <c r="K46" s="1724"/>
      <c r="L46" s="1725"/>
      <c r="M46" s="1726"/>
      <c r="N46" s="1726"/>
      <c r="O46" s="1726"/>
      <c r="P46" s="1772"/>
      <c r="Q46" s="1773"/>
      <c r="R46" s="639"/>
      <c r="S46" s="1696" t="str">
        <f>INDEX(PT_DIFFERENTIATION_NUM_TER,MATCH(B46,PT_DIFFERENTIATION_TER_ID,0))</f>
        <v>.</v>
      </c>
      <c r="T46" s="585" t="s">
        <v>1462</v>
      </c>
      <c r="U46" s="575"/>
      <c r="V46" s="4103"/>
      <c r="W46" s="4103"/>
      <c r="X46" s="4103"/>
      <c r="Y46" s="4103"/>
      <c r="Z46" s="4103"/>
      <c r="AA46" s="4104"/>
      <c r="AB46" s="4102" t="str">
        <f>INDEX(PT_DIFFERENTIATION_TER,MATCH(B46,PT_DIFFERENTIATION_TER_ID,0))</f>
        <v/>
      </c>
      <c r="AC46" s="4103"/>
      <c r="AD46" s="4103"/>
      <c r="AE46" s="4103"/>
      <c r="AF46" s="4103"/>
      <c r="AG46" s="4103"/>
      <c r="AH46" s="4103"/>
      <c r="AI46" s="4103"/>
      <c r="AJ46" s="4103"/>
      <c r="AK46" s="4103"/>
      <c r="AL46" s="4103"/>
      <c r="AM46" s="4103"/>
      <c r="AN46" s="4103"/>
      <c r="AO46" s="4103"/>
      <c r="AP46" s="4103"/>
      <c r="AQ46" s="4103"/>
      <c r="AR46" s="4103"/>
      <c r="AS46" s="4103"/>
      <c r="AT46" s="4104"/>
      <c r="AU46" s="1611" t="s">
        <v>1463</v>
      </c>
      <c r="AW46" s="802"/>
      <c r="AX46" s="802" t="str">
        <f>IF(T46="","",T46)</f>
        <v>Территория действия тарифа</v>
      </c>
      <c r="AY46" s="802"/>
      <c r="AZ46" s="802"/>
    </row>
    <row customHeight="1" ht="23.25">
      <c r="A47" s="1724" t="s">
        <v>203</v>
      </c>
      <c r="B47" s="1724" t="s">
        <v>204</v>
      </c>
      <c r="C47" s="1724" t="s">
        <v>205</v>
      </c>
      <c r="D47" s="1724"/>
      <c r="E47" s="2490"/>
      <c r="F47" s="2490"/>
      <c r="G47" s="2489">
        <v>1</v>
      </c>
      <c r="H47" s="1724"/>
      <c r="I47" s="1724"/>
      <c r="J47" s="1724"/>
      <c r="K47" s="1724"/>
      <c r="L47" s="1725"/>
      <c r="M47" s="1726"/>
      <c r="N47" s="1726"/>
      <c r="O47" s="1726"/>
      <c r="P47" s="1774"/>
      <c r="Q47" s="1773"/>
      <c r="R47" s="639"/>
      <c r="S47" s="1696" t="str">
        <f>INDEX(PT_DIFFERENTIATION_NUM_CS,MATCH(C47,PT_DIFFERENTIATION_CS_ID,0))</f>
        <v>..</v>
      </c>
      <c r="T47" s="586" t="s">
        <v>1464</v>
      </c>
      <c r="U47" s="575"/>
      <c r="V47" s="4103"/>
      <c r="W47" s="4103"/>
      <c r="X47" s="4103"/>
      <c r="Y47" s="4103"/>
      <c r="Z47" s="4103"/>
      <c r="AA47" s="4104"/>
      <c r="AB47" s="4102" t="str">
        <f>INDEX(PT_DIFFERENTIATION_CS,MATCH(C47,PT_DIFFERENTIATION_CS_ID,0))</f>
        <v/>
      </c>
      <c r="AC47" s="4103"/>
      <c r="AD47" s="4103"/>
      <c r="AE47" s="4103"/>
      <c r="AF47" s="4103"/>
      <c r="AG47" s="4103"/>
      <c r="AH47" s="4103"/>
      <c r="AI47" s="4103"/>
      <c r="AJ47" s="4103"/>
      <c r="AK47" s="4103"/>
      <c r="AL47" s="4103"/>
      <c r="AM47" s="4103"/>
      <c r="AN47" s="4103"/>
      <c r="AO47" s="4103"/>
      <c r="AP47" s="4103"/>
      <c r="AQ47" s="4103"/>
      <c r="AR47" s="4103"/>
      <c r="AS47" s="4103"/>
      <c r="AT47" s="4104"/>
      <c r="AU47" s="1611" t="s">
        <v>1465</v>
      </c>
      <c r="AW47" s="802"/>
      <c r="AX47" s="802" t="str">
        <f>IF(T47="","",T47)</f>
        <v>Наименование системы теплоснабжения </v>
      </c>
      <c r="AY47" s="802"/>
      <c r="AZ47" s="802"/>
    </row>
    <row customHeight="1" ht="21">
      <c r="A48" s="1724" t="s">
        <v>203</v>
      </c>
      <c r="B48" s="1724" t="s">
        <v>204</v>
      </c>
      <c r="C48" s="1724" t="s">
        <v>205</v>
      </c>
      <c r="D48" s="1724" t="s">
        <v>206</v>
      </c>
      <c r="E48" s="2490"/>
      <c r="F48" s="2490"/>
      <c r="G48" s="2490"/>
      <c r="H48" s="2489">
        <v>1</v>
      </c>
      <c r="I48" s="1724"/>
      <c r="J48" s="1724"/>
      <c r="K48" s="1724"/>
      <c r="L48" s="1725"/>
      <c r="M48" s="1726"/>
      <c r="N48" s="1726"/>
      <c r="O48" s="1726"/>
      <c r="P48" s="1774"/>
      <c r="Q48" s="1773"/>
      <c r="R48" s="639"/>
      <c r="S48" s="1696" t="str">
        <f>INDEX(PT_DIFFERENTIATION_NUM_IST_TE,MATCH(D48,PT_DIFFERENTIATION_IST_TE_ID,0))</f>
        <v>...</v>
      </c>
      <c r="T48" s="587" t="s">
        <v>1466</v>
      </c>
      <c r="U48" s="575"/>
      <c r="V48" s="4103"/>
      <c r="W48" s="4103"/>
      <c r="X48" s="4103"/>
      <c r="Y48" s="4103"/>
      <c r="Z48" s="4103"/>
      <c r="AA48" s="4104"/>
      <c r="AB48" s="4102" t="str">
        <f>INDEX(PT_DIFFERENTIATION_IST_TE,MATCH(D48,PT_DIFFERENTIATION_IST_TE_ID,0))</f>
        <v/>
      </c>
      <c r="AC48" s="4103"/>
      <c r="AD48" s="4103"/>
      <c r="AE48" s="4103"/>
      <c r="AF48" s="4103"/>
      <c r="AG48" s="4103"/>
      <c r="AH48" s="4103"/>
      <c r="AI48" s="4103"/>
      <c r="AJ48" s="4103"/>
      <c r="AK48" s="4103"/>
      <c r="AL48" s="4103"/>
      <c r="AM48" s="4103"/>
      <c r="AN48" s="4103"/>
      <c r="AO48" s="4103"/>
      <c r="AP48" s="4103"/>
      <c r="AQ48" s="4103"/>
      <c r="AR48" s="4103"/>
      <c r="AS48" s="4103"/>
      <c r="AT48" s="4104"/>
      <c r="AU48" s="1611" t="s">
        <v>1467</v>
      </c>
      <c r="AW48" s="802"/>
      <c r="AX48" s="802" t="str">
        <f>IF(T48="","",T48)</f>
        <v>Источник тепловой энергии  </v>
      </c>
      <c r="AY48" s="802"/>
      <c r="AZ48" s="802"/>
    </row>
    <row s="11901" customFormat="1" customHeight="1" ht="0">
      <c r="A49" s="1703" t="s">
        <v>203</v>
      </c>
      <c r="B49" s="1703" t="s">
        <v>204</v>
      </c>
      <c r="C49" s="1703" t="s">
        <v>205</v>
      </c>
      <c r="D49" s="1703" t="s">
        <v>206</v>
      </c>
      <c r="E49" s="2490"/>
      <c r="F49" s="2490"/>
      <c r="G49" s="2490"/>
      <c r="H49" s="2490"/>
      <c r="I49" s="2518" t="str">
        <f>S48&amp;".1"</f>
        <v>....1</v>
      </c>
      <c r="J49" s="1703"/>
      <c r="K49" s="1703"/>
      <c r="L49" s="1706" t="s">
        <v>1468</v>
      </c>
      <c r="M49" s="812"/>
      <c r="N49" s="812"/>
      <c r="O49" s="812"/>
      <c r="P49" s="2488">
        <v>1</v>
      </c>
      <c r="Q49" s="1691"/>
      <c r="R49" s="642"/>
      <c r="S49" s="1365"/>
      <c r="T49" s="1744"/>
      <c r="U49" s="1745"/>
      <c r="V49" s="2529"/>
      <c r="W49" s="2529"/>
      <c r="X49" s="2529"/>
      <c r="Y49" s="2529"/>
      <c r="Z49" s="2529"/>
      <c r="AA49" s="2530"/>
      <c r="AB49" s="2528"/>
      <c r="AC49" s="2529"/>
      <c r="AD49" s="2529"/>
      <c r="AE49" s="2529"/>
      <c r="AF49" s="2529"/>
      <c r="AG49" s="2529"/>
      <c r="AH49" s="2529"/>
      <c r="AI49" s="2529"/>
      <c r="AJ49" s="2529"/>
      <c r="AK49" s="2529"/>
      <c r="AL49" s="2529"/>
      <c r="AM49" s="2529"/>
      <c r="AN49" s="2529"/>
      <c r="AO49" s="2529"/>
      <c r="AP49" s="2529"/>
      <c r="AQ49" s="2529"/>
      <c r="AR49" s="2529"/>
      <c r="AS49" s="2529"/>
      <c r="AT49" s="2530"/>
      <c r="AU49" s="1746"/>
      <c r="AW49" s="802"/>
      <c r="AX49" s="802" t="str">
        <f>IF(T49="","",T49)</f>
        <v/>
      </c>
      <c r="AY49" s="802"/>
      <c r="AZ49" s="802"/>
    </row>
    <row s="11901" customFormat="1" customHeight="1" ht="0">
      <c r="A50" s="1703" t="s">
        <v>203</v>
      </c>
      <c r="B50" s="1703" t="s">
        <v>204</v>
      </c>
      <c r="C50" s="1703" t="s">
        <v>205</v>
      </c>
      <c r="D50" s="1703" t="s">
        <v>206</v>
      </c>
      <c r="E50" s="2490"/>
      <c r="F50" s="2490"/>
      <c r="G50" s="2490"/>
      <c r="H50" s="2490"/>
      <c r="I50" s="2519"/>
      <c r="J50" s="2487" t="str">
        <f>S48&amp;".1"</f>
        <v>....1</v>
      </c>
      <c r="K50" s="1703"/>
      <c r="L50" s="1706"/>
      <c r="M50" s="812"/>
      <c r="N50" s="812"/>
      <c r="O50" s="812"/>
      <c r="P50" s="2488"/>
      <c r="Q50" s="2488">
        <v>1</v>
      </c>
      <c r="R50" s="643"/>
      <c r="S50" s="1365"/>
      <c r="T50" s="1760"/>
      <c r="U50" s="1745"/>
      <c r="V50" s="2529"/>
      <c r="W50" s="2529"/>
      <c r="X50" s="2529"/>
      <c r="Y50" s="2529"/>
      <c r="Z50" s="2529"/>
      <c r="AA50" s="2530"/>
      <c r="AB50" s="2528"/>
      <c r="AC50" s="2529"/>
      <c r="AD50" s="2529"/>
      <c r="AE50" s="2529"/>
      <c r="AF50" s="2529"/>
      <c r="AG50" s="2529"/>
      <c r="AH50" s="2529"/>
      <c r="AI50" s="2529"/>
      <c r="AJ50" s="2529"/>
      <c r="AK50" s="2529"/>
      <c r="AL50" s="2529"/>
      <c r="AM50" s="2529"/>
      <c r="AN50" s="2529"/>
      <c r="AO50" s="2529"/>
      <c r="AP50" s="2529"/>
      <c r="AQ50" s="2529"/>
      <c r="AR50" s="2529"/>
      <c r="AS50" s="2529"/>
      <c r="AT50" s="2530"/>
      <c r="AU50" s="1746"/>
      <c r="AW50" s="802"/>
      <c r="AX50" s="802" t="str">
        <f>IF(T50="","",T50)</f>
        <v/>
      </c>
      <c r="AY50" s="802"/>
      <c r="AZ50" s="802"/>
    </row>
    <row customHeight="1" ht="21">
      <c r="A51" s="1724" t="s">
        <v>203</v>
      </c>
      <c r="B51" s="1724" t="s">
        <v>204</v>
      </c>
      <c r="C51" s="1724" t="s">
        <v>205</v>
      </c>
      <c r="D51" s="1724" t="s">
        <v>206</v>
      </c>
      <c r="E51" s="2490"/>
      <c r="F51" s="2490"/>
      <c r="G51" s="2490"/>
      <c r="H51" s="2490"/>
      <c r="I51" s="2519"/>
      <c r="J51" s="2520"/>
      <c r="K51" s="2487" t="str">
        <f>S48&amp;".1"</f>
        <v>....1</v>
      </c>
      <c r="L51" s="1725"/>
      <c r="P51" s="2488"/>
      <c r="Q51" s="2488"/>
      <c r="R51" s="643">
        <v>1</v>
      </c>
      <c r="S51" s="2572" t="str">
        <f>$K51</f>
        <v>....1</v>
      </c>
      <c r="T51" s="2575"/>
      <c r="U51" s="575"/>
      <c r="V51" s="4130"/>
      <c r="W51" s="4132"/>
      <c r="X51" s="2114"/>
      <c r="Y51" s="1821" t="s">
        <v>63</v>
      </c>
      <c r="Z51" s="2114"/>
      <c r="AA51" s="1821" t="s">
        <v>63</v>
      </c>
      <c r="AB51" s="2207" t="s">
        <v>56</v>
      </c>
      <c r="AC51" s="2561"/>
      <c r="AD51" s="2562">
        <v>1</v>
      </c>
      <c r="AE51" s="2579" t="s">
        <v>17</v>
      </c>
      <c r="AF51" s="2207" t="s">
        <v>56</v>
      </c>
      <c r="AG51" s="2561"/>
      <c r="AH51" s="2562">
        <v>1</v>
      </c>
      <c r="AI51" s="2579" t="s">
        <v>17</v>
      </c>
      <c r="AJ51" s="2207" t="s">
        <v>56</v>
      </c>
      <c r="AK51" s="588"/>
      <c r="AL51" s="1697">
        <v>1</v>
      </c>
      <c r="AM51" s="1763"/>
      <c r="AN51" s="4130"/>
      <c r="AO51" s="4132"/>
      <c r="AP51" s="2114"/>
      <c r="AQ51" s="1821" t="s">
        <v>63</v>
      </c>
      <c r="AR51" s="2114"/>
      <c r="AS51" s="1821" t="s">
        <v>63</v>
      </c>
      <c r="AT51" s="4231"/>
      <c r="AU51" s="2484" t="s">
        <v>1538</v>
      </c>
      <c r="AV51" s="813">
        <f>STRCHECKDATE(V54:AT54)</f>
      </c>
      <c r="AW51" s="802"/>
      <c r="AX51" s="802" t="str">
        <f>IF(T51="","",T51)</f>
        <v/>
      </c>
      <c r="AY51" s="802"/>
      <c r="AZ51" s="802"/>
    </row>
    <row customHeight="1" ht="11.25">
      <c r="A52" s="1724" t="s">
        <v>203</v>
      </c>
      <c r="B52" s="1724"/>
      <c r="C52" s="1724"/>
      <c r="D52" s="1724"/>
      <c r="E52" s="2490"/>
      <c r="F52" s="2490"/>
      <c r="G52" s="2490"/>
      <c r="H52" s="2490"/>
      <c r="I52" s="2519"/>
      <c r="J52" s="2520"/>
      <c r="K52" s="2487"/>
      <c r="L52" s="1725"/>
      <c r="P52" s="2488"/>
      <c r="Q52" s="2488"/>
      <c r="R52" s="643"/>
      <c r="S52" s="2573"/>
      <c r="T52" s="2576"/>
      <c r="U52" s="575"/>
      <c r="V52" s="4290"/>
      <c r="W52" s="4346"/>
      <c r="X52" s="4290"/>
      <c r="Y52" s="4290"/>
      <c r="Z52" s="4290"/>
      <c r="AA52" s="4290"/>
      <c r="AB52" s="2207"/>
      <c r="AC52" s="2561"/>
      <c r="AD52" s="2562"/>
      <c r="AE52" s="2579"/>
      <c r="AF52" s="2207"/>
      <c r="AG52" s="2561"/>
      <c r="AH52" s="2562"/>
      <c r="AI52" s="2579"/>
      <c r="AJ52" s="2207"/>
      <c r="AK52" s="595"/>
      <c r="AL52" s="717"/>
      <c r="AM52" s="716" t="s">
        <v>1539</v>
      </c>
      <c r="AN52" s="4290"/>
      <c r="AO52" s="4346"/>
      <c r="AP52" s="4290"/>
      <c r="AQ52" s="4290"/>
      <c r="AR52" s="4290"/>
      <c r="AS52" s="4290"/>
      <c r="AT52" s="4347"/>
      <c r="AU52" s="2485"/>
      <c r="AW52" s="802"/>
      <c r="AX52" s="802"/>
      <c r="AY52" s="802"/>
      <c r="AZ52" s="802"/>
    </row>
    <row customHeight="1" ht="11.25">
      <c r="A53" s="1724" t="s">
        <v>203</v>
      </c>
      <c r="B53" s="1724"/>
      <c r="C53" s="1724"/>
      <c r="D53" s="1724"/>
      <c r="E53" s="2490"/>
      <c r="F53" s="2490"/>
      <c r="G53" s="2490"/>
      <c r="H53" s="2490"/>
      <c r="I53" s="2519"/>
      <c r="J53" s="2520"/>
      <c r="K53" s="2487"/>
      <c r="L53" s="1725"/>
      <c r="P53" s="2488"/>
      <c r="Q53" s="2488"/>
      <c r="R53" s="643"/>
      <c r="S53" s="2573"/>
      <c r="T53" s="2576"/>
      <c r="U53" s="575"/>
      <c r="V53" s="4290"/>
      <c r="W53" s="4346"/>
      <c r="X53" s="4290"/>
      <c r="Y53" s="4290"/>
      <c r="Z53" s="4290"/>
      <c r="AA53" s="4290"/>
      <c r="AB53" s="2207"/>
      <c r="AC53" s="2561"/>
      <c r="AD53" s="2562"/>
      <c r="AE53" s="2579"/>
      <c r="AF53" s="2207"/>
      <c r="AG53" s="569"/>
      <c r="AH53" s="716"/>
      <c r="AI53" s="716" t="s">
        <v>1540</v>
      </c>
      <c r="AJ53" s="4290"/>
      <c r="AK53" s="4290"/>
      <c r="AL53" s="4290"/>
      <c r="AM53" s="4290"/>
      <c r="AN53" s="4290"/>
      <c r="AO53" s="4346"/>
      <c r="AP53" s="4290"/>
      <c r="AQ53" s="4290"/>
      <c r="AR53" s="4290"/>
      <c r="AS53" s="4290"/>
      <c r="AT53" s="4347"/>
      <c r="AU53" s="2485"/>
      <c r="AW53" s="802"/>
      <c r="AX53" s="802"/>
      <c r="AY53" s="802"/>
      <c r="AZ53" s="802"/>
    </row>
    <row customHeight="1" ht="11.25">
      <c r="A54" s="1724" t="s">
        <v>203</v>
      </c>
      <c r="B54" s="1724" t="s">
        <v>204</v>
      </c>
      <c r="C54" s="1724" t="s">
        <v>205</v>
      </c>
      <c r="D54" s="1724" t="s">
        <v>206</v>
      </c>
      <c r="E54" s="2490"/>
      <c r="F54" s="2490"/>
      <c r="G54" s="2490"/>
      <c r="H54" s="2490"/>
      <c r="I54" s="2519"/>
      <c r="J54" s="2520"/>
      <c r="K54" s="2487"/>
      <c r="L54" s="1725"/>
      <c r="P54" s="2488"/>
      <c r="Q54" s="2488"/>
      <c r="R54" s="643"/>
      <c r="S54" s="2574"/>
      <c r="T54" s="2577"/>
      <c r="U54" s="575"/>
      <c r="V54" s="4290"/>
      <c r="W54" s="4291" t="str">
        <f>X51&amp;"-"&amp;Z51</f>
        <v>-</v>
      </c>
      <c r="X54" s="4290"/>
      <c r="Y54" s="4290"/>
      <c r="Z54" s="4290"/>
      <c r="AA54" s="4290"/>
      <c r="AB54" s="2207"/>
      <c r="AC54" s="589"/>
      <c r="AD54" s="591"/>
      <c r="AE54" s="716" t="s">
        <v>1541</v>
      </c>
      <c r="AF54" s="4290"/>
      <c r="AG54" s="4290"/>
      <c r="AH54" s="4290"/>
      <c r="AI54" s="4290"/>
      <c r="AJ54" s="4290"/>
      <c r="AK54" s="4290"/>
      <c r="AL54" s="4290"/>
      <c r="AM54" s="4290"/>
      <c r="AN54" s="4290"/>
      <c r="AO54" s="4291" t="str">
        <f>AP51&amp;"-"&amp;AR51</f>
        <v>-</v>
      </c>
      <c r="AP54" s="4290"/>
      <c r="AQ54" s="4290"/>
      <c r="AR54" s="4290"/>
      <c r="AS54" s="4290"/>
      <c r="AT54" s="4234"/>
      <c r="AU54" s="2485"/>
      <c r="AW54" s="802"/>
      <c r="AX54" s="802" t="str">
        <f>IF(T54="","",T54)</f>
        <v/>
      </c>
      <c r="AY54" s="802"/>
      <c r="AZ54" s="802"/>
    </row>
    <row customHeight="1" ht="11.25">
      <c r="A55" s="1724" t="s">
        <v>203</v>
      </c>
      <c r="B55" s="1724" t="s">
        <v>204</v>
      </c>
      <c r="C55" s="1724" t="s">
        <v>205</v>
      </c>
      <c r="D55" s="1724" t="s">
        <v>206</v>
      </c>
      <c r="E55" s="2490"/>
      <c r="F55" s="2490"/>
      <c r="G55" s="2490"/>
      <c r="H55" s="2490"/>
      <c r="I55" s="2519"/>
      <c r="J55" s="2487"/>
      <c r="K55" s="1724"/>
      <c r="L55" s="1725"/>
      <c r="P55" s="2488"/>
      <c r="Q55" s="2488"/>
      <c r="R55" s="642"/>
      <c r="S55" s="1633"/>
      <c r="T55" s="562" t="s">
        <v>1542</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486"/>
      <c r="AW55" s="802"/>
      <c r="AX55" s="802" t="str">
        <f>IF(T55="","",T55)</f>
        <v>Добавить строку</v>
      </c>
      <c r="AY55" s="802"/>
      <c r="AZ55" s="802"/>
    </row>
    <row s="11901" customFormat="1" customHeight="1" ht="0">
      <c r="A56" s="1703" t="s">
        <v>203</v>
      </c>
      <c r="B56" s="1703" t="s">
        <v>204</v>
      </c>
      <c r="C56" s="1703" t="s">
        <v>205</v>
      </c>
      <c r="D56" s="1703" t="s">
        <v>206</v>
      </c>
      <c r="E56" s="2490"/>
      <c r="F56" s="2490"/>
      <c r="G56" s="2490"/>
      <c r="H56" s="2490"/>
      <c r="I56" s="2518"/>
      <c r="J56" s="1703"/>
      <c r="K56" s="1703"/>
      <c r="L56" s="1706"/>
      <c r="M56" s="812"/>
      <c r="N56" s="812"/>
      <c r="O56" s="812"/>
      <c r="P56" s="2488"/>
      <c r="Q56" s="1691"/>
      <c r="R56" s="642"/>
      <c r="S56" s="1747"/>
      <c r="T56" s="1748" t="s">
        <v>1477</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084" customFormat="1" customHeight="1" ht="0">
      <c r="A57" s="1703" t="s">
        <v>203</v>
      </c>
      <c r="B57" s="1703" t="s">
        <v>204</v>
      </c>
      <c r="C57" s="1703" t="s">
        <v>205</v>
      </c>
      <c r="D57" s="1703" t="s">
        <v>206</v>
      </c>
      <c r="E57" s="2490"/>
      <c r="F57" s="2490"/>
      <c r="G57" s="2490"/>
      <c r="H57" s="2489"/>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813" customFormat="1" customHeight="1" ht="0">
      <c r="A58" s="1703" t="s">
        <v>203</v>
      </c>
      <c r="B58" s="1703" t="s">
        <v>204</v>
      </c>
      <c r="C58" s="1703" t="s">
        <v>205</v>
      </c>
      <c r="D58" s="1674"/>
      <c r="E58" s="2490"/>
      <c r="F58" s="2490"/>
      <c r="G58" s="2489"/>
      <c r="H58" s="1674"/>
      <c r="I58" s="1674"/>
      <c r="J58" s="1674"/>
      <c r="K58" s="1674"/>
      <c r="L58" s="1699"/>
      <c r="M58" s="1675"/>
      <c r="N58" s="1675"/>
      <c r="P58" s="1676"/>
      <c r="Q58" s="1677"/>
      <c r="R58" s="1676"/>
      <c r="S58" s="1682"/>
      <c r="T58" s="1685" t="s">
        <v>1437</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813" customFormat="1" customHeight="1" ht="0">
      <c r="A59" s="1703" t="s">
        <v>203</v>
      </c>
      <c r="B59" s="1703" t="s">
        <v>204</v>
      </c>
      <c r="C59" s="1674"/>
      <c r="D59" s="1674"/>
      <c r="E59" s="2490"/>
      <c r="F59" s="2489"/>
      <c r="G59" s="1674"/>
      <c r="H59" s="1674"/>
      <c r="I59" s="1674"/>
      <c r="J59" s="1674"/>
      <c r="K59" s="1674"/>
      <c r="L59" s="1699"/>
      <c r="M59" s="1681"/>
      <c r="N59" s="1681"/>
      <c r="P59" s="1676"/>
      <c r="Q59" s="1677"/>
      <c r="R59" s="1676"/>
      <c r="S59" s="1682"/>
      <c r="T59" s="1685" t="s">
        <v>1438</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1901" customFormat="1" customHeight="1" ht="0">
      <c r="A60" s="1703" t="s">
        <v>203</v>
      </c>
      <c r="B60" s="1703"/>
      <c r="C60" s="1703"/>
      <c r="D60" s="1703"/>
      <c r="E60" s="2490"/>
      <c r="F60" s="1703"/>
      <c r="G60" s="1703"/>
      <c r="H60" s="1703"/>
      <c r="I60" s="1703"/>
      <c r="J60" s="1703"/>
      <c r="K60" s="1703"/>
      <c r="L60" s="1706"/>
      <c r="M60" s="1681"/>
      <c r="N60" s="1681"/>
      <c r="O60" s="820"/>
      <c r="P60" s="675"/>
      <c r="Q60" s="1704"/>
      <c r="R60" s="675"/>
      <c r="S60" s="1682"/>
      <c r="T60" s="1685" t="s">
        <v>1439</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1901" customFormat="1" customHeight="1" ht="0">
      <c r="A61" s="1703" t="s">
        <v>203</v>
      </c>
      <c r="B61" s="1703"/>
      <c r="C61" s="1703"/>
      <c r="D61" s="1703"/>
      <c r="E61" s="2489"/>
      <c r="F61" s="1703"/>
      <c r="G61" s="1703"/>
      <c r="H61" s="1703"/>
      <c r="I61" s="1703"/>
      <c r="J61" s="1703"/>
      <c r="K61" s="1703"/>
      <c r="L61" s="1706"/>
      <c r="M61" s="1681"/>
      <c r="N61" s="1681"/>
      <c r="O61" s="820"/>
      <c r="P61" s="675"/>
      <c r="Q61" s="1704"/>
      <c r="R61" s="675"/>
      <c r="S61" s="1682"/>
      <c r="T61" s="1685" t="s">
        <v>1439</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813"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1440</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1510</v>
      </c>
      <c r="T64" s="2517" t="s">
        <v>1553</v>
      </c>
      <c r="U64" s="2517"/>
      <c r="V64" s="2517"/>
      <c r="W64" s="2517"/>
      <c r="X64" s="2517"/>
      <c r="Y64" s="2517"/>
      <c r="Z64" s="2517"/>
      <c r="AA64" s="2517"/>
      <c r="AB64" s="2517"/>
      <c r="AC64" s="2517"/>
      <c r="AD64" s="2517"/>
      <c r="AE64" s="2517"/>
      <c r="AF64" s="2517"/>
      <c r="AG64" s="2517"/>
      <c r="AH64" s="2517"/>
      <c r="AI64" s="2517"/>
      <c r="AJ64" s="2517"/>
      <c r="AK64" s="2517"/>
      <c r="AL64" s="2517"/>
      <c r="AM64" s="2517"/>
      <c r="AN64" s="2517"/>
      <c r="AO64" s="2517"/>
      <c r="AP64" s="2517"/>
      <c r="AQ64" s="2517"/>
      <c r="AR64" s="2517"/>
      <c r="AS64" s="2517"/>
      <c r="AT64" s="2517"/>
      <c r="AU64" s="2517"/>
    </row>
    <row customHeight="1" ht="19.5" hidden="1">
      <c r="O65" s="839"/>
      <c r="T65" s="2517" t="s">
        <v>1536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row>
    <row customHeight="1" ht="14.25" hidden="1">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hidden="1">
      <c r="O67" s="839"/>
      <c r="T67" s="2517" t="s">
        <v>1554</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row>
    <row customHeight="1" ht="15.75" hidden="1">
      <c r="O68" s="839"/>
      <c r="T68" s="2517" t="s">
        <v>1536</v>
      </c>
      <c r="U68" s="2517"/>
      <c r="V68" s="2517"/>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c r="AR68" s="2517"/>
      <c r="AS68" s="2517"/>
      <c r="AT68" s="2517"/>
      <c r="AU68" s="2517"/>
    </row>
    <row customHeight="1" ht="14.25">
      <c r="O69" s="83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9B63-89C2-FEBD-9AC4-C5A3270416B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2.28125" hidden="1" customWidth="1"/>
    <col min="6" max="8" style="11910" width="12.28125" hidden="1"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414</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A8" s="1729"/>
      <c r="B8" s="1729"/>
      <c r="C8" s="1729"/>
      <c r="D8" s="1729"/>
      <c r="E8" s="1729"/>
      <c r="F8" s="1729"/>
      <c r="G8" s="1729"/>
      <c r="H8" s="1729"/>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A9" s="1729"/>
      <c r="B9" s="1729"/>
      <c r="C9" s="1729"/>
      <c r="D9" s="1729"/>
      <c r="E9" s="1729"/>
      <c r="F9" s="1729"/>
      <c r="G9" s="1729"/>
      <c r="H9" s="1729"/>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A10" s="1729"/>
      <c r="B10" s="1729"/>
      <c r="C10" s="1729"/>
      <c r="D10" s="1729"/>
      <c r="E10" s="1729"/>
      <c r="F10" s="1729"/>
      <c r="G10" s="1729"/>
      <c r="H10" s="1729"/>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A11" s="1729"/>
      <c r="B11" s="1729"/>
      <c r="C11" s="1729"/>
      <c r="D11" s="1729"/>
      <c r="E11" s="1729"/>
      <c r="F11" s="1729"/>
      <c r="G11" s="1729"/>
      <c r="H11" s="1729"/>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A12" s="1729"/>
      <c r="B12" s="1729"/>
      <c r="C12" s="1729"/>
      <c r="D12" s="1729"/>
      <c r="E12" s="1729"/>
      <c r="F12" s="1729"/>
      <c r="G12" s="1729"/>
      <c r="H12" s="1729"/>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291</v>
      </c>
      <c r="M14" s="2342"/>
      <c r="N14" s="2342"/>
      <c r="O14" s="2342"/>
      <c r="P14" s="2342"/>
      <c r="Q14" s="2342"/>
      <c r="R14" s="2342"/>
      <c r="S14" s="2342"/>
      <c r="T14" s="2342"/>
      <c r="U14" s="2342"/>
      <c r="V14" s="2342"/>
      <c r="W14" s="2342"/>
      <c r="X14" s="2342" t="s">
        <v>292</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731" t="s">
        <v>134</v>
      </c>
      <c r="B17" s="1731" t="s">
        <v>135</v>
      </c>
      <c r="C17" s="1731" t="s">
        <v>136</v>
      </c>
      <c r="D17" s="1731" t="s">
        <v>137</v>
      </c>
      <c r="E17" s="1731"/>
      <c r="J17" s="667"/>
      <c r="K17" s="667"/>
      <c r="L17" s="2505"/>
      <c r="M17" s="2366"/>
      <c r="N17" s="577"/>
      <c r="O17" s="2492"/>
      <c r="P17" s="2492"/>
      <c r="Q17" s="1562" t="s">
        <v>1506</v>
      </c>
      <c r="R17" s="1562" t="s">
        <v>1507</v>
      </c>
      <c r="S17" s="1647" t="s">
        <v>1508</v>
      </c>
      <c r="T17" s="2502" t="s">
        <v>1509</v>
      </c>
      <c r="U17" s="2503"/>
      <c r="V17" s="2511"/>
      <c r="W17" s="2514"/>
      <c r="X17" s="2342"/>
    </row>
    <row s="11084" customFormat="1" customHeight="1" ht="11.25">
      <c r="A18" s="1731"/>
      <c r="B18" s="1731"/>
      <c r="C18" s="1731"/>
      <c r="D18" s="1731"/>
      <c r="E18" s="1731"/>
      <c r="F18" s="1723"/>
      <c r="G18" s="1723"/>
      <c r="H18" s="1723"/>
      <c r="I18" s="1589"/>
      <c r="J18" s="1590"/>
      <c r="K18" s="1605">
        <v>1</v>
      </c>
      <c r="L18" s="1632" t="s">
        <v>99</v>
      </c>
      <c r="M18" s="1606" t="s">
        <v>109</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170</v>
      </c>
      <c r="B19" s="1724" t="s">
        <v>171</v>
      </c>
      <c r="C19" s="1724" t="s">
        <v>172</v>
      </c>
      <c r="D19" s="1724" t="s">
        <v>173</v>
      </c>
      <c r="E19" s="1724"/>
      <c r="F19" s="1726"/>
      <c r="G19" s="1726"/>
      <c r="H19" s="1726"/>
      <c r="I19" s="647"/>
      <c r="J19" s="646"/>
      <c r="K19" s="641"/>
      <c r="L19" s="1648">
        <f>INDEX(PT_DIFFERENTIATION_NUM_NTAR,MATCH(A19,PT_DIFFERENTIATION_NTAR_ID,0))</f>
        <v>0</v>
      </c>
      <c r="M19" s="573" t="s">
        <v>123</v>
      </c>
      <c r="N19" s="575"/>
      <c r="O19" s="4393" t="str">
        <f>INDEX(PT_DIFFERENTIATION_NTAR,MATCH(A19,PT_DIFFERENTIATION_NTAR_ID,0))</f>
        <v/>
      </c>
      <c r="P19" s="4393"/>
      <c r="Q19" s="4393"/>
      <c r="R19" s="4393"/>
      <c r="S19" s="4393"/>
      <c r="T19" s="4393"/>
      <c r="U19" s="4393"/>
      <c r="V19" s="4393"/>
      <c r="W19" s="4393"/>
      <c r="X19" s="1611" t="s">
        <v>1461</v>
      </c>
      <c r="Z19" s="802"/>
      <c r="AA19" s="802" t="str">
        <f>IF(M19="","",M19)</f>
        <v>Наименование тарифа</v>
      </c>
      <c r="AB19" s="802"/>
      <c r="AC19" s="802"/>
    </row>
    <row customHeight="1" ht="21">
      <c r="A20" s="1724" t="s">
        <v>170</v>
      </c>
      <c r="B20" s="1724" t="s">
        <v>171</v>
      </c>
      <c r="C20" s="1724" t="s">
        <v>172</v>
      </c>
      <c r="D20" s="1724" t="s">
        <v>173</v>
      </c>
      <c r="E20" s="1724"/>
      <c r="F20" s="1726"/>
      <c r="G20" s="1726"/>
      <c r="H20" s="1726"/>
      <c r="I20" s="1645"/>
      <c r="J20" s="638"/>
      <c r="K20" s="639"/>
      <c r="L20" s="1648" t="str">
        <f>INDEX(PT_DIFFERENTIATION_NUM_TER,MATCH(B19,PT_DIFFERENTIATION_TER_ID,0))</f>
        <v>.</v>
      </c>
      <c r="M20" s="585" t="s">
        <v>1462</v>
      </c>
      <c r="N20" s="575"/>
      <c r="O20" s="4393" t="str">
        <f>INDEX(PT_DIFFERENTIATION_TER,MATCH(B19,PT_DIFFERENTIATION_TER_ID,0))</f>
        <v/>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724" t="s">
        <v>170</v>
      </c>
      <c r="B21" s="1724" t="s">
        <v>171</v>
      </c>
      <c r="C21" s="1724" t="s">
        <v>172</v>
      </c>
      <c r="D21" s="1724" t="s">
        <v>173</v>
      </c>
      <c r="E21" s="1724"/>
      <c r="F21" s="1726"/>
      <c r="G21" s="1726"/>
      <c r="H21" s="1726"/>
      <c r="I21" s="640"/>
      <c r="J21" s="638"/>
      <c r="K21" s="639"/>
      <c r="L21" s="1648" t="str">
        <f>INDEX(PT_DIFFERENTIATION_NUM_CS,MATCH(C19,PT_DIFFERENTIATION_CS_ID,0))</f>
        <v>..</v>
      </c>
      <c r="M21" s="586" t="s">
        <v>1464</v>
      </c>
      <c r="N21" s="575"/>
      <c r="O21" s="4393" t="str">
        <f>INDEX(PT_DIFFERENTIATION_CS,MATCH(C19,PT_DIFFERENTIATION_CS_ID,0))</f>
        <v/>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724" t="s">
        <v>170</v>
      </c>
      <c r="B22" s="1724" t="s">
        <v>171</v>
      </c>
      <c r="C22" s="1724" t="s">
        <v>172</v>
      </c>
      <c r="D22" s="1724" t="s">
        <v>173</v>
      </c>
      <c r="E22" s="1724"/>
      <c r="F22" s="1726"/>
      <c r="G22" s="1726"/>
      <c r="H22" s="1726"/>
      <c r="I22" s="640"/>
      <c r="J22" s="638"/>
      <c r="K22" s="639"/>
      <c r="L22" s="1648" t="str">
        <f>INDEX(PT_DIFFERENTIATION_NUM_IST_TE,MATCH(D19,PT_DIFFERENTIATION_IST_TE_ID,0))</f>
        <v>...</v>
      </c>
      <c r="M22" s="587" t="s">
        <v>1466</v>
      </c>
      <c r="N22" s="575"/>
      <c r="O22" s="4393" t="str">
        <f>INDEX(PT_DIFFERENTIATION_IST_TE,MATCH(D19,PT_DIFFERENTIATION_IST_TE_ID,0))</f>
        <v/>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724" t="s">
        <v>170</v>
      </c>
      <c r="B23" s="1724" t="s">
        <v>171</v>
      </c>
      <c r="C23" s="1724" t="s">
        <v>172</v>
      </c>
      <c r="D23" s="1724" t="s">
        <v>173</v>
      </c>
      <c r="E23" s="1724"/>
      <c r="F23" s="2584" t="str">
        <f>L22&amp;".1"</f>
        <v>....1</v>
      </c>
      <c r="I23" s="2488">
        <v>1</v>
      </c>
      <c r="J23" s="1646"/>
      <c r="K23" s="642"/>
      <c r="L23" s="1648" t="str">
        <f>$F$23</f>
        <v>....1</v>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170</v>
      </c>
      <c r="B24" s="1724" t="s">
        <v>171</v>
      </c>
      <c r="C24" s="1724" t="s">
        <v>172</v>
      </c>
      <c r="D24" s="1724" t="s">
        <v>173</v>
      </c>
      <c r="E24" s="1724"/>
      <c r="F24" s="2584"/>
      <c r="G24" s="2580" t="str">
        <f>F23&amp;".1"</f>
        <v>....1.1</v>
      </c>
      <c r="I24" s="2488"/>
      <c r="J24" s="2488">
        <v>1</v>
      </c>
      <c r="K24" s="643"/>
      <c r="L24" s="1648" t="str">
        <f>$G$24</f>
        <v>....1.1</v>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724" t="s">
        <v>170</v>
      </c>
      <c r="B25" s="1724" t="s">
        <v>171</v>
      </c>
      <c r="C25" s="1724" t="s">
        <v>172</v>
      </c>
      <c r="D25" s="1724" t="s">
        <v>173</v>
      </c>
      <c r="E25" s="1724"/>
      <c r="F25" s="2584"/>
      <c r="G25" s="2580"/>
      <c r="H25" s="2580" t="str">
        <f>G24&amp;".1"</f>
        <v>....1.1.1</v>
      </c>
      <c r="I25" s="2488"/>
      <c r="J25" s="2488"/>
      <c r="K25" s="643">
        <v>1</v>
      </c>
      <c r="L25" s="1648" t="str">
        <f>$H$25</f>
        <v>....1.1.1</v>
      </c>
      <c r="M25" s="1612"/>
      <c r="N25" s="575"/>
      <c r="O25" s="4130"/>
      <c r="P25" s="4131"/>
      <c r="Q25" s="4130"/>
      <c r="R25" s="4132"/>
      <c r="S25" s="2581"/>
      <c r="T25" s="2207" t="s">
        <v>63</v>
      </c>
      <c r="U25" s="2581"/>
      <c r="V25" s="2207" t="s">
        <v>56</v>
      </c>
      <c r="W25" s="4131"/>
      <c r="X25" s="2484" t="s">
        <v>1475</v>
      </c>
      <c r="Y25" s="813">
        <f>STRCHECKDATE(O26:W26)</f>
      </c>
      <c r="Z25" s="802"/>
      <c r="AA25" s="802" t="str">
        <f>IF(M25="","",M25)</f>
        <v/>
      </c>
      <c r="AB25" s="802"/>
      <c r="AC25" s="802"/>
    </row>
    <row customHeight="1" ht="11.25">
      <c r="A26" s="1724" t="s">
        <v>170</v>
      </c>
      <c r="B26" s="1724" t="s">
        <v>171</v>
      </c>
      <c r="C26" s="1724" t="s">
        <v>172</v>
      </c>
      <c r="D26" s="1724" t="s">
        <v>173</v>
      </c>
      <c r="E26" s="1724"/>
      <c r="F26" s="2584"/>
      <c r="G26" s="2580"/>
      <c r="H26" s="258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724" t="s">
        <v>170</v>
      </c>
      <c r="B27" s="1724" t="s">
        <v>171</v>
      </c>
      <c r="C27" s="1724" t="s">
        <v>172</v>
      </c>
      <c r="D27" s="1724" t="s">
        <v>173</v>
      </c>
      <c r="E27" s="1724"/>
      <c r="F27" s="2584"/>
      <c r="G27" s="258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724" t="s">
        <v>170</v>
      </c>
      <c r="B28" s="1724" t="s">
        <v>171</v>
      </c>
      <c r="C28" s="1724" t="s">
        <v>172</v>
      </c>
      <c r="D28" s="1724" t="s">
        <v>173</v>
      </c>
      <c r="E28" s="1724"/>
      <c r="F28" s="2584"/>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170</v>
      </c>
      <c r="B29" s="1724" t="s">
        <v>171</v>
      </c>
      <c r="C29" s="1724" t="s">
        <v>172</v>
      </c>
      <c r="D29" s="1724" t="s">
        <v>173</v>
      </c>
      <c r="E29" s="1724"/>
      <c r="F29" s="1726"/>
      <c r="G29" s="1726"/>
      <c r="H29" s="839"/>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170</v>
      </c>
      <c r="B30" s="1724" t="s">
        <v>171</v>
      </c>
      <c r="C30" s="1724" t="s">
        <v>172</v>
      </c>
      <c r="D30" s="1724"/>
      <c r="E30" s="1724" t="s">
        <v>1557</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170</v>
      </c>
      <c r="B31" s="1724" t="s">
        <v>171</v>
      </c>
      <c r="C31" s="1724"/>
      <c r="D31" s="1724"/>
      <c r="E31" s="1724" t="s">
        <v>1558</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1559</v>
      </c>
      <c r="B32" s="1724"/>
      <c r="C32" s="1724"/>
      <c r="D32" s="1724"/>
      <c r="E32" s="1724" t="s">
        <v>104</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0" customFormat="1" customHeight="1" ht="11.25">
      <c r="A33" s="1724"/>
      <c r="B33" s="1724"/>
      <c r="C33" s="1724"/>
      <c r="D33" s="1724"/>
      <c r="E33" s="1724" t="s">
        <v>1440</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1510</v>
      </c>
      <c r="M35" s="2517" t="s">
        <v>1517</v>
      </c>
      <c r="N35" s="2517"/>
      <c r="O35" s="2517"/>
      <c r="P35" s="2517"/>
      <c r="Q35" s="2517"/>
      <c r="R35" s="2517"/>
      <c r="S35" s="2517"/>
      <c r="T35" s="2517"/>
      <c r="U35" s="2517"/>
      <c r="V35" s="2517"/>
      <c r="W35" s="2517"/>
      <c r="X35" s="2517"/>
    </row>
    <row customHeight="1" ht="104.25">
      <c r="H36" s="839"/>
      <c r="I36" s="1662"/>
      <c r="M36" s="2517" t="s">
        <v>1512</v>
      </c>
      <c r="N36" s="2517"/>
      <c r="O36" s="2517"/>
      <c r="P36" s="2517"/>
      <c r="Q36" s="2517"/>
      <c r="R36" s="2517"/>
      <c r="S36" s="2517"/>
      <c r="T36" s="2517"/>
      <c r="U36" s="2517"/>
      <c r="V36" s="2517"/>
      <c r="W36" s="2517"/>
      <c r="X36" s="2517"/>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574C-F93E-3F4D-4C05-76303C41F7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396" width="11.57421875" customWidth="1"/>
    <col min="2" max="2" style="11396" width="10.7109375" customWidth="1"/>
    <col min="3" max="3" style="11396" width="10.00390625" customWidth="1"/>
    <col min="4" max="4" style="11396" width="12.8515625" customWidth="1"/>
    <col min="5" max="5" style="11396" width="12.28125" customWidth="1"/>
    <col min="6" max="8" style="12095" width="12.28125"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414</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F8" s="1592"/>
      <c r="G8" s="1592"/>
      <c r="H8" s="1592"/>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F9" s="1592"/>
      <c r="G9" s="1592"/>
      <c r="H9" s="1592"/>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F10" s="1592"/>
      <c r="G10" s="1592"/>
      <c r="H10" s="1592"/>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F11" s="1592"/>
      <c r="G11" s="1592"/>
      <c r="H11" s="1592"/>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F12" s="1592"/>
      <c r="G12" s="1592"/>
      <c r="H12" s="1592"/>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291</v>
      </c>
      <c r="M14" s="2342"/>
      <c r="N14" s="2342"/>
      <c r="O14" s="2342"/>
      <c r="P14" s="2342"/>
      <c r="Q14" s="2342"/>
      <c r="R14" s="2342"/>
      <c r="S14" s="2342"/>
      <c r="T14" s="2342"/>
      <c r="U14" s="2342"/>
      <c r="V14" s="2342"/>
      <c r="W14" s="2342"/>
      <c r="X14" s="2342" t="s">
        <v>292</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613" t="s">
        <v>134</v>
      </c>
      <c r="B17" s="1613" t="s">
        <v>135</v>
      </c>
      <c r="C17" s="1613" t="s">
        <v>136</v>
      </c>
      <c r="D17" s="1613" t="s">
        <v>137</v>
      </c>
      <c r="E17" s="1613"/>
      <c r="J17" s="667"/>
      <c r="K17" s="667"/>
      <c r="L17" s="2505"/>
      <c r="M17" s="2366"/>
      <c r="N17" s="577"/>
      <c r="O17" s="2492"/>
      <c r="P17" s="2492"/>
      <c r="Q17" s="1562" t="s">
        <v>1506</v>
      </c>
      <c r="R17" s="1562" t="s">
        <v>1507</v>
      </c>
      <c r="S17" s="1647" t="s">
        <v>1508</v>
      </c>
      <c r="T17" s="2502" t="s">
        <v>1509</v>
      </c>
      <c r="U17" s="2503"/>
      <c r="V17" s="2511"/>
      <c r="W17" s="2514"/>
      <c r="X17" s="2342"/>
    </row>
    <row s="11084" customFormat="1" customHeight="1" ht="11.25">
      <c r="A18" s="1613"/>
      <c r="B18" s="1613"/>
      <c r="C18" s="1613"/>
      <c r="D18" s="1613"/>
      <c r="E18" s="1613"/>
      <c r="F18" s="1641"/>
      <c r="G18" s="1641"/>
      <c r="H18" s="1641"/>
      <c r="I18" s="1589"/>
      <c r="J18" s="1590"/>
      <c r="K18" s="1605">
        <v>1</v>
      </c>
      <c r="L18" s="1632" t="s">
        <v>99</v>
      </c>
      <c r="M18" s="1606" t="s">
        <v>109</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1560</v>
      </c>
      <c r="B19" s="1621" t="s">
        <v>1561</v>
      </c>
      <c r="C19" s="1621" t="s">
        <v>1562</v>
      </c>
      <c r="D19" s="1621" t="s">
        <v>1563</v>
      </c>
      <c r="E19" s="1621"/>
      <c r="F19" s="990"/>
      <c r="G19" s="990"/>
      <c r="H19" s="990"/>
      <c r="I19" s="647"/>
      <c r="J19" s="646"/>
      <c r="K19" s="641"/>
      <c r="L19" s="1648">
        <f>INDEX(PT_DIFFERENTIATION_NUM_NTAR,MATCH(A19,PT_DIFFERENTIATION_NTAR_ID,0))</f>
      </c>
      <c r="M19" s="573" t="s">
        <v>123</v>
      </c>
      <c r="N19" s="575"/>
      <c r="O19" s="4393">
        <f>INDEX(PT_DIFFERENTIATION_NTAR,MATCH(A19,PT_DIFFERENTIATION_NTAR_ID,0))</f>
      </c>
      <c r="P19" s="4393"/>
      <c r="Q19" s="4393"/>
      <c r="R19" s="4393"/>
      <c r="S19" s="4393"/>
      <c r="T19" s="4393"/>
      <c r="U19" s="4393"/>
      <c r="V19" s="4393"/>
      <c r="W19" s="4393"/>
      <c r="X19" s="1611" t="s">
        <v>1461</v>
      </c>
      <c r="Z19" s="802"/>
      <c r="AA19" s="802" t="str">
        <f>IF(M19="","",M19)</f>
        <v>Наименование тарифа</v>
      </c>
      <c r="AB19" s="802"/>
      <c r="AC19" s="802"/>
    </row>
    <row customHeight="1" ht="21">
      <c r="A20" s="1621" t="s">
        <v>1560</v>
      </c>
      <c r="B20" s="1621" t="s">
        <v>1561</v>
      </c>
      <c r="C20" s="1621" t="s">
        <v>1562</v>
      </c>
      <c r="D20" s="1621" t="s">
        <v>1563</v>
      </c>
      <c r="E20" s="1621"/>
      <c r="F20" s="990"/>
      <c r="G20" s="990"/>
      <c r="H20" s="990"/>
      <c r="I20" s="1645"/>
      <c r="J20" s="638"/>
      <c r="K20" s="639"/>
      <c r="L20" s="1648">
        <f>INDEX(PT_DIFFERENTIATION_NUM_TER,MATCH(B19,PT_DIFFERENTIATION_TER_ID,0))</f>
      </c>
      <c r="M20" s="585" t="s">
        <v>1462</v>
      </c>
      <c r="N20" s="575"/>
      <c r="O20" s="4393">
        <f>INDEX(PT_DIFFERENTIATION_TER,MATCH(B19,PT_DIFFERENTIATION_TER_ID,0))</f>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621" t="s">
        <v>1560</v>
      </c>
      <c r="B21" s="1621" t="s">
        <v>1561</v>
      </c>
      <c r="C21" s="1621" t="s">
        <v>1562</v>
      </c>
      <c r="D21" s="1621" t="s">
        <v>1563</v>
      </c>
      <c r="E21" s="1621"/>
      <c r="F21" s="990"/>
      <c r="G21" s="990"/>
      <c r="H21" s="990"/>
      <c r="I21" s="640"/>
      <c r="J21" s="638"/>
      <c r="K21" s="639"/>
      <c r="L21" s="1648">
        <f>INDEX(PT_DIFFERENTIATION_NUM_CS,MATCH(C19,PT_DIFFERENTIATION_CS_ID,0))</f>
      </c>
      <c r="M21" s="586" t="s">
        <v>1464</v>
      </c>
      <c r="N21" s="575"/>
      <c r="O21" s="4393">
        <f>INDEX(PT_DIFFERENTIATION_CS,MATCH(C19,PT_DIFFERENTIATION_CS_ID,0))</f>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621" t="s">
        <v>1560</v>
      </c>
      <c r="B22" s="1621" t="s">
        <v>1561</v>
      </c>
      <c r="C22" s="1621" t="s">
        <v>1562</v>
      </c>
      <c r="D22" s="1621" t="s">
        <v>1563</v>
      </c>
      <c r="E22" s="1621"/>
      <c r="F22" s="990"/>
      <c r="G22" s="990"/>
      <c r="H22" s="990"/>
      <c r="I22" s="640"/>
      <c r="J22" s="638"/>
      <c r="K22" s="639"/>
      <c r="L22" s="1648">
        <f>INDEX(PT_DIFFERENTIATION_NUM_IST_TE,MATCH(D19,PT_DIFFERENTIATION_IST_TE_ID,0))</f>
      </c>
      <c r="M22" s="587" t="s">
        <v>1466</v>
      </c>
      <c r="N22" s="575"/>
      <c r="O22" s="4393">
        <f>INDEX(PT_DIFFERENTIATION_IST_TE,MATCH(D19,PT_DIFFERENTIATION_IST_TE_ID,0))</f>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621" t="s">
        <v>1560</v>
      </c>
      <c r="B23" s="1621" t="s">
        <v>1561</v>
      </c>
      <c r="C23" s="1621" t="s">
        <v>1562</v>
      </c>
      <c r="D23" s="1621" t="s">
        <v>1563</v>
      </c>
      <c r="E23" s="1621"/>
      <c r="F23" s="2589">
        <f>L22&amp;".1"</f>
      </c>
      <c r="I23" s="2488">
        <v>1</v>
      </c>
      <c r="J23" s="1646"/>
      <c r="K23" s="642"/>
      <c r="L23" s="1648">
        <f>$F$23</f>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1560</v>
      </c>
      <c r="B24" s="1621" t="s">
        <v>1561</v>
      </c>
      <c r="C24" s="1621" t="s">
        <v>1562</v>
      </c>
      <c r="D24" s="1621" t="s">
        <v>1563</v>
      </c>
      <c r="E24" s="1621"/>
      <c r="F24" s="2589"/>
      <c r="G24" s="2590">
        <f>F23&amp;".1"</f>
      </c>
      <c r="I24" s="2488"/>
      <c r="J24" s="2488">
        <v>1</v>
      </c>
      <c r="K24" s="643"/>
      <c r="L24" s="1648">
        <f>$G$24</f>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621" t="s">
        <v>1560</v>
      </c>
      <c r="B25" s="1621" t="s">
        <v>1561</v>
      </c>
      <c r="C25" s="1621" t="s">
        <v>1562</v>
      </c>
      <c r="D25" s="1621" t="s">
        <v>1563</v>
      </c>
      <c r="E25" s="1621"/>
      <c r="F25" s="2589"/>
      <c r="G25" s="2590"/>
      <c r="H25" s="2590">
        <f>G24&amp;".1"</f>
      </c>
      <c r="I25" s="2488"/>
      <c r="J25" s="2488"/>
      <c r="K25" s="643">
        <v>1</v>
      </c>
      <c r="L25" s="1648">
        <f>$H$25</f>
      </c>
      <c r="M25" s="1612"/>
      <c r="N25" s="575"/>
      <c r="O25" s="4130"/>
      <c r="P25" s="4131"/>
      <c r="Q25" s="4130"/>
      <c r="R25" s="4132"/>
      <c r="S25" s="2581"/>
      <c r="T25" s="2207" t="s">
        <v>63</v>
      </c>
      <c r="U25" s="2581"/>
      <c r="V25" s="2207" t="s">
        <v>56</v>
      </c>
      <c r="W25" s="4131"/>
      <c r="X25" s="2484" t="s">
        <v>1475</v>
      </c>
      <c r="Y25" s="813">
        <f>STRCHECKDATE(O26:W26)</f>
      </c>
      <c r="Z25" s="802"/>
      <c r="AA25" s="802" t="str">
        <f>IF(M25="","",M25)</f>
        <v/>
      </c>
      <c r="AB25" s="802"/>
      <c r="AC25" s="802"/>
    </row>
    <row customHeight="1" ht="11.25">
      <c r="A26" s="1621" t="s">
        <v>1560</v>
      </c>
      <c r="B26" s="1621" t="s">
        <v>1561</v>
      </c>
      <c r="C26" s="1621" t="s">
        <v>1562</v>
      </c>
      <c r="D26" s="1621" t="s">
        <v>1563</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1560</v>
      </c>
      <c r="B27" s="1621" t="s">
        <v>1561</v>
      </c>
      <c r="C27" s="1621" t="s">
        <v>1562</v>
      </c>
      <c r="D27" s="1621" t="s">
        <v>1563</v>
      </c>
      <c r="E27" s="1621"/>
      <c r="F27" s="2589"/>
      <c r="G27" s="259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1560</v>
      </c>
      <c r="B28" s="1621" t="s">
        <v>1561</v>
      </c>
      <c r="C28" s="1621" t="s">
        <v>1562</v>
      </c>
      <c r="D28" s="1621" t="s">
        <v>1563</v>
      </c>
      <c r="E28" s="1621"/>
      <c r="F28" s="2589"/>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1560</v>
      </c>
      <c r="B29" s="1621" t="s">
        <v>1561</v>
      </c>
      <c r="C29" s="1621" t="s">
        <v>1562</v>
      </c>
      <c r="D29" s="1621" t="s">
        <v>1563</v>
      </c>
      <c r="E29" s="1621"/>
      <c r="F29" s="990"/>
      <c r="G29" s="990"/>
      <c r="H29" s="811"/>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1560</v>
      </c>
      <c r="B30" s="1621" t="s">
        <v>1561</v>
      </c>
      <c r="C30" s="1621" t="s">
        <v>1562</v>
      </c>
      <c r="D30" s="1621"/>
      <c r="E30" s="1621" t="s">
        <v>1557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1560</v>
      </c>
      <c r="B31" s="1621" t="s">
        <v>1561</v>
      </c>
      <c r="C31" s="1621"/>
      <c r="D31" s="1621"/>
      <c r="E31" s="1621" t="s">
        <v>1558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1564</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0" customFormat="1" customHeight="1" ht="11.25">
      <c r="A33" s="1621"/>
      <c r="B33" s="1621"/>
      <c r="C33" s="1621"/>
      <c r="D33" s="1621"/>
      <c r="E33" s="1621" t="s">
        <v>1440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1510</v>
      </c>
      <c r="M35" s="2517" t="s">
        <v>1517</v>
      </c>
      <c r="N35" s="2517"/>
      <c r="O35" s="2517"/>
      <c r="P35" s="2517"/>
      <c r="Q35" s="2517"/>
      <c r="R35" s="2517"/>
      <c r="S35" s="2517"/>
      <c r="T35" s="2517"/>
      <c r="U35" s="2517"/>
      <c r="V35" s="2517"/>
      <c r="W35" s="2517"/>
      <c r="X35" s="2517"/>
    </row>
    <row customHeight="1" ht="104.25">
      <c r="F36" s="1662"/>
      <c r="G36" s="1662"/>
      <c r="H36" s="811"/>
      <c r="I36" s="1662"/>
      <c r="M36" s="2517" t="s">
        <v>1512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28CDC-FFCF-FA8D-E926-EA98C072FD4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396" width="10.57421875"/>
    <col min="2" max="2" style="11396" width="11.00390625" customWidth="1"/>
    <col min="3" max="3" style="11396" width="10.57421875"/>
    <col min="4" max="4" style="11396" width="11.8515625" customWidth="1"/>
    <col min="5" max="5" style="11396" width="12.28125" customWidth="1"/>
    <col min="6" max="8" style="12095" width="12.28125"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414</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F8" s="1592"/>
      <c r="G8" s="1592"/>
      <c r="H8" s="1592"/>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F9" s="1592"/>
      <c r="G9" s="1592"/>
      <c r="H9" s="1592"/>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F10" s="1592"/>
      <c r="G10" s="1592"/>
      <c r="H10" s="1592"/>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F11" s="1592"/>
      <c r="G11" s="1592"/>
      <c r="H11" s="1592"/>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F12" s="1592"/>
      <c r="G12" s="1592"/>
      <c r="H12" s="1592"/>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291</v>
      </c>
      <c r="M14" s="2342"/>
      <c r="N14" s="2342"/>
      <c r="O14" s="2342"/>
      <c r="P14" s="2342"/>
      <c r="Q14" s="2342"/>
      <c r="R14" s="2342"/>
      <c r="S14" s="2342"/>
      <c r="T14" s="2342"/>
      <c r="U14" s="2342"/>
      <c r="V14" s="2342"/>
      <c r="W14" s="2342"/>
      <c r="X14" s="2342" t="s">
        <v>292</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613" t="s">
        <v>134</v>
      </c>
      <c r="B17" s="1613" t="s">
        <v>135</v>
      </c>
      <c r="C17" s="1613" t="s">
        <v>136</v>
      </c>
      <c r="D17" s="1613" t="s">
        <v>137</v>
      </c>
      <c r="E17" s="1613"/>
      <c r="J17" s="667"/>
      <c r="K17" s="667"/>
      <c r="L17" s="2505"/>
      <c r="M17" s="2366"/>
      <c r="N17" s="577"/>
      <c r="O17" s="2492"/>
      <c r="P17" s="2492"/>
      <c r="Q17" s="1562" t="s">
        <v>1506</v>
      </c>
      <c r="R17" s="1562" t="s">
        <v>1507</v>
      </c>
      <c r="S17" s="1647" t="s">
        <v>1508</v>
      </c>
      <c r="T17" s="2502" t="s">
        <v>1509</v>
      </c>
      <c r="U17" s="2503"/>
      <c r="V17" s="2511"/>
      <c r="W17" s="2514"/>
      <c r="X17" s="2342"/>
    </row>
    <row s="11084" customFormat="1" customHeight="1" ht="11.25">
      <c r="A18" s="1613"/>
      <c r="B18" s="1613"/>
      <c r="C18" s="1613"/>
      <c r="D18" s="1613"/>
      <c r="E18" s="1613"/>
      <c r="F18" s="1641"/>
      <c r="G18" s="1641"/>
      <c r="H18" s="1641"/>
      <c r="I18" s="1589"/>
      <c r="J18" s="1590"/>
      <c r="K18" s="1605">
        <v>1</v>
      </c>
      <c r="L18" s="1632" t="s">
        <v>99</v>
      </c>
      <c r="M18" s="1606" t="s">
        <v>109</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1565</v>
      </c>
      <c r="B19" s="1621" t="s">
        <v>1566</v>
      </c>
      <c r="C19" s="1621" t="s">
        <v>1567</v>
      </c>
      <c r="D19" s="1621" t="s">
        <v>1568</v>
      </c>
      <c r="E19" s="1621"/>
      <c r="F19" s="990"/>
      <c r="G19" s="990"/>
      <c r="H19" s="990"/>
      <c r="I19" s="647"/>
      <c r="J19" s="646"/>
      <c r="K19" s="641"/>
      <c r="L19" s="1648">
        <f>INDEX(PT_DIFFERENTIATION_NUM_NTAR,MATCH(A19,PT_DIFFERENTIATION_NTAR_ID,0))</f>
      </c>
      <c r="M19" s="573" t="s">
        <v>123</v>
      </c>
      <c r="N19" s="575"/>
      <c r="O19" s="4393">
        <f>INDEX(PT_DIFFERENTIATION_NTAR,MATCH(A19,PT_DIFFERENTIATION_NTAR_ID,0))</f>
      </c>
      <c r="P19" s="4393"/>
      <c r="Q19" s="4393"/>
      <c r="R19" s="4393"/>
      <c r="S19" s="4393"/>
      <c r="T19" s="4393"/>
      <c r="U19" s="4393"/>
      <c r="V19" s="4393"/>
      <c r="W19" s="4393"/>
      <c r="X19" s="1611" t="s">
        <v>1461</v>
      </c>
      <c r="Z19" s="802"/>
      <c r="AA19" s="802" t="str">
        <f>IF(M19="","",M19)</f>
        <v>Наименование тарифа</v>
      </c>
      <c r="AB19" s="802"/>
      <c r="AC19" s="802"/>
    </row>
    <row customHeight="1" ht="21">
      <c r="A20" s="1621" t="s">
        <v>1565</v>
      </c>
      <c r="B20" s="1621" t="s">
        <v>1566</v>
      </c>
      <c r="C20" s="1621" t="s">
        <v>1567</v>
      </c>
      <c r="D20" s="1621" t="s">
        <v>1568</v>
      </c>
      <c r="E20" s="1621"/>
      <c r="F20" s="990"/>
      <c r="G20" s="990"/>
      <c r="H20" s="990"/>
      <c r="I20" s="1645"/>
      <c r="J20" s="638"/>
      <c r="K20" s="639"/>
      <c r="L20" s="1648">
        <f>INDEX(PT_DIFFERENTIATION_NUM_TER,MATCH(B19,PT_DIFFERENTIATION_TER_ID,0))</f>
      </c>
      <c r="M20" s="585" t="s">
        <v>1462</v>
      </c>
      <c r="N20" s="575"/>
      <c r="O20" s="4393">
        <f>INDEX(PT_DIFFERENTIATION_TER,MATCH(B19,PT_DIFFERENTIATION_TER_ID,0))</f>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621" t="s">
        <v>1565</v>
      </c>
      <c r="B21" s="1621" t="s">
        <v>1566</v>
      </c>
      <c r="C21" s="1621" t="s">
        <v>1567</v>
      </c>
      <c r="D21" s="1621" t="s">
        <v>1568</v>
      </c>
      <c r="E21" s="1621"/>
      <c r="F21" s="990"/>
      <c r="G21" s="990"/>
      <c r="H21" s="990"/>
      <c r="I21" s="640"/>
      <c r="J21" s="638"/>
      <c r="K21" s="639"/>
      <c r="L21" s="1648">
        <f>INDEX(PT_DIFFERENTIATION_NUM_CS,MATCH(C19,PT_DIFFERENTIATION_CS_ID,0))</f>
      </c>
      <c r="M21" s="586" t="s">
        <v>1464</v>
      </c>
      <c r="N21" s="575"/>
      <c r="O21" s="4393">
        <f>INDEX(PT_DIFFERENTIATION_CS,MATCH(C19,PT_DIFFERENTIATION_CS_ID,0))</f>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621" t="s">
        <v>1565</v>
      </c>
      <c r="B22" s="1621" t="s">
        <v>1566</v>
      </c>
      <c r="C22" s="1621" t="s">
        <v>1567</v>
      </c>
      <c r="D22" s="1621" t="s">
        <v>1568</v>
      </c>
      <c r="E22" s="1621"/>
      <c r="F22" s="990"/>
      <c r="G22" s="990"/>
      <c r="H22" s="990"/>
      <c r="I22" s="640"/>
      <c r="J22" s="638"/>
      <c r="K22" s="639"/>
      <c r="L22" s="1648">
        <f>INDEX(PT_DIFFERENTIATION_NUM_IST_TE,MATCH(D19,PT_DIFFERENTIATION_IST_TE_ID,0))</f>
      </c>
      <c r="M22" s="587" t="s">
        <v>1466</v>
      </c>
      <c r="N22" s="575"/>
      <c r="O22" s="4393">
        <f>INDEX(PT_DIFFERENTIATION_IST_TE,MATCH(D19,PT_DIFFERENTIATION_IST_TE_ID,0))</f>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621" t="s">
        <v>1565</v>
      </c>
      <c r="B23" s="1621" t="s">
        <v>1566</v>
      </c>
      <c r="C23" s="1621" t="s">
        <v>1567</v>
      </c>
      <c r="D23" s="1621" t="s">
        <v>1568</v>
      </c>
      <c r="E23" s="1621"/>
      <c r="F23" s="2589">
        <f>L22&amp;".1"</f>
      </c>
      <c r="I23" s="2488">
        <v>1</v>
      </c>
      <c r="J23" s="1646"/>
      <c r="K23" s="642"/>
      <c r="L23" s="1648">
        <f>$F$23</f>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1565</v>
      </c>
      <c r="B24" s="1621" t="s">
        <v>1566</v>
      </c>
      <c r="C24" s="1621" t="s">
        <v>1567</v>
      </c>
      <c r="D24" s="1621" t="s">
        <v>1568</v>
      </c>
      <c r="E24" s="1621"/>
      <c r="F24" s="2589"/>
      <c r="G24" s="2590">
        <f>F23&amp;".1"</f>
      </c>
      <c r="I24" s="2488"/>
      <c r="J24" s="2488">
        <v>1</v>
      </c>
      <c r="K24" s="643"/>
      <c r="L24" s="1648">
        <f>$G$24</f>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621" t="s">
        <v>1565</v>
      </c>
      <c r="B25" s="1621" t="s">
        <v>1566</v>
      </c>
      <c r="C25" s="1621" t="s">
        <v>1567</v>
      </c>
      <c r="D25" s="1621" t="s">
        <v>1568</v>
      </c>
      <c r="E25" s="1621"/>
      <c r="F25" s="2589"/>
      <c r="G25" s="2590"/>
      <c r="H25" s="2590">
        <f>G24&amp;".1"</f>
      </c>
      <c r="I25" s="2488"/>
      <c r="J25" s="2488"/>
      <c r="K25" s="643">
        <v>1</v>
      </c>
      <c r="L25" s="1648">
        <f>$H$25</f>
      </c>
      <c r="M25" s="1612"/>
      <c r="N25" s="575"/>
      <c r="O25" s="4130"/>
      <c r="P25" s="4131"/>
      <c r="Q25" s="4130"/>
      <c r="R25" s="4132"/>
      <c r="S25" s="2581"/>
      <c r="T25" s="2207" t="s">
        <v>63</v>
      </c>
      <c r="U25" s="2581"/>
      <c r="V25" s="2207" t="s">
        <v>56</v>
      </c>
      <c r="W25" s="4131"/>
      <c r="X25" s="2484" t="s">
        <v>1475</v>
      </c>
      <c r="Y25" s="813">
        <f>STRCHECKDATE(O26:W26)</f>
      </c>
      <c r="Z25" s="802"/>
      <c r="AA25" s="802" t="str">
        <f>IF(M25="","",M25)</f>
        <v/>
      </c>
      <c r="AB25" s="802"/>
      <c r="AC25" s="802"/>
    </row>
    <row customHeight="1" ht="11.25">
      <c r="A26" s="1621" t="s">
        <v>1565</v>
      </c>
      <c r="B26" s="1621" t="s">
        <v>1566</v>
      </c>
      <c r="C26" s="1621" t="s">
        <v>1567</v>
      </c>
      <c r="D26" s="1621" t="s">
        <v>1568</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1565</v>
      </c>
      <c r="B27" s="1621" t="s">
        <v>1566</v>
      </c>
      <c r="C27" s="1621" t="s">
        <v>1567</v>
      </c>
      <c r="D27" s="1621" t="s">
        <v>1568</v>
      </c>
      <c r="E27" s="1621"/>
      <c r="F27" s="2589"/>
      <c r="G27" s="259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1565</v>
      </c>
      <c r="B28" s="1621" t="s">
        <v>1566</v>
      </c>
      <c r="C28" s="1621" t="s">
        <v>1567</v>
      </c>
      <c r="D28" s="1621" t="s">
        <v>1568</v>
      </c>
      <c r="E28" s="1621"/>
      <c r="F28" s="2589"/>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1565</v>
      </c>
      <c r="B29" s="1621" t="s">
        <v>1566</v>
      </c>
      <c r="C29" s="1621" t="s">
        <v>1567</v>
      </c>
      <c r="D29" s="1621" t="s">
        <v>1568</v>
      </c>
      <c r="E29" s="1621"/>
      <c r="F29" s="990"/>
      <c r="G29" s="990"/>
      <c r="H29" s="811"/>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1565</v>
      </c>
      <c r="B30" s="1621" t="s">
        <v>1566</v>
      </c>
      <c r="C30" s="1621" t="s">
        <v>1567</v>
      </c>
      <c r="D30" s="1621"/>
      <c r="E30" s="1621" t="s">
        <v>1557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1565</v>
      </c>
      <c r="B31" s="1621" t="s">
        <v>1566</v>
      </c>
      <c r="C31" s="1621"/>
      <c r="D31" s="1621"/>
      <c r="E31" s="1621" t="s">
        <v>1558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1569</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0" customFormat="1" customHeight="1" ht="11.25">
      <c r="A33" s="1621"/>
      <c r="B33" s="1621"/>
      <c r="C33" s="1621"/>
      <c r="D33" s="1621"/>
      <c r="E33" s="1621" t="s">
        <v>1440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1510</v>
      </c>
      <c r="M35" s="2517" t="s">
        <v>1517</v>
      </c>
      <c r="N35" s="2517"/>
      <c r="O35" s="2517"/>
      <c r="P35" s="2517"/>
      <c r="Q35" s="2517"/>
      <c r="R35" s="2517"/>
      <c r="S35" s="2517"/>
      <c r="T35" s="2517"/>
      <c r="U35" s="2517"/>
      <c r="V35" s="2517"/>
      <c r="W35" s="2517"/>
      <c r="X35" s="2517"/>
    </row>
    <row customHeight="1" ht="104.25">
      <c r="F36" s="1662"/>
      <c r="G36" s="1662"/>
      <c r="H36" s="811"/>
      <c r="I36" s="1662"/>
      <c r="M36" s="2517" t="s">
        <v>1512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D66CD-5782-78F7-0538-3A5CEE2073F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1901" width="10.57421875"/>
    <col min="7" max="8" style="12155" width="9.140625" customWidth="1"/>
    <col min="9" max="9" style="11911" width="3.7109375" customWidth="1"/>
    <col min="10" max="11" style="11912" width="3.7109375" customWidth="1"/>
    <col min="12" max="12" style="11396" width="12.7109375" customWidth="1"/>
    <col min="13" max="13" style="11396" width="47.421875" customWidth="1"/>
    <col min="14" max="14" style="11396" width="2.7109375" hidden="1" customWidth="1"/>
    <col min="15" max="18" style="11396" width="23.7109375" customWidth="1"/>
    <col min="19" max="19" style="11396" width="11.7109375" customWidth="1"/>
    <col min="20" max="20" style="11396" width="3.7109375" customWidth="1"/>
    <col min="21" max="21" style="11396" width="11.7109375" customWidth="1"/>
    <col min="22" max="22" style="11396" width="8.57421875" hidden="1" customWidth="1"/>
    <col min="23" max="23" style="11396" width="4.7109375" customWidth="1"/>
    <col min="24" max="24" style="11396" width="115.7109375" customWidth="1"/>
    <col min="25" max="29" style="11901"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591" t="s">
        <v>1570</v>
      </c>
      <c r="M5" s="2591"/>
      <c r="N5" s="2591"/>
      <c r="O5" s="2591"/>
      <c r="P5" s="2591"/>
      <c r="Q5" s="2591"/>
      <c r="R5" s="2591"/>
      <c r="S5" s="2591"/>
      <c r="T5" s="2591"/>
      <c r="U5" s="551"/>
      <c r="V5" s="551"/>
    </row>
    <row customHeight="1" ht="14.25">
      <c r="J6" s="667"/>
      <c r="K6" s="667"/>
      <c r="L6" s="651"/>
      <c r="M6" s="651"/>
      <c r="N6" s="651"/>
      <c r="O6" s="606"/>
      <c r="P6" s="606"/>
      <c r="Q6" s="606"/>
      <c r="R6" s="606"/>
      <c r="S6" s="606"/>
      <c r="T6" s="606"/>
      <c r="U6" s="651"/>
    </row>
    <row s="11843" customFormat="1" customHeight="1" ht="22.5">
      <c r="A7" s="658"/>
      <c r="B7" s="658"/>
      <c r="C7" s="658"/>
      <c r="D7" s="658"/>
      <c r="E7" s="658"/>
      <c r="F7" s="658"/>
      <c r="G7" s="658"/>
      <c r="H7" s="658"/>
      <c r="L7" s="552"/>
      <c r="M7" s="570" t="s">
        <v>38</v>
      </c>
      <c r="N7" s="579"/>
      <c r="O7" s="2592">
        <f>IF(NameOrPr_ch="",IF(NameOrPr="","",NameOrPr),NameOrPr_ch)</f>
      </c>
      <c r="P7" s="2593"/>
      <c r="Q7" s="2593"/>
      <c r="R7" s="2593"/>
      <c r="S7" s="2593"/>
      <c r="T7" s="2594"/>
      <c r="U7" s="1591"/>
      <c r="Y7" s="658"/>
      <c r="Z7" s="658"/>
      <c r="AA7" s="658"/>
      <c r="AB7" s="658"/>
      <c r="AC7" s="658"/>
    </row>
    <row s="11843" customFormat="1" customHeight="1" ht="18.75">
      <c r="A8" s="658"/>
      <c r="B8" s="658"/>
      <c r="C8" s="658"/>
      <c r="D8" s="658"/>
      <c r="E8" s="658"/>
      <c r="F8" s="658"/>
      <c r="G8" s="658"/>
      <c r="H8" s="658"/>
      <c r="L8" s="552"/>
      <c r="M8" s="570" t="s">
        <v>1485</v>
      </c>
      <c r="N8" s="579"/>
      <c r="O8" s="2592">
        <f>IF(datePr_ch="",IF(datePr="","",datePr),datePr_ch)</f>
      </c>
      <c r="P8" s="2593"/>
      <c r="Q8" s="2593"/>
      <c r="R8" s="2593"/>
      <c r="S8" s="2593"/>
      <c r="T8" s="2594"/>
      <c r="U8" s="1591"/>
      <c r="Y8" s="658"/>
      <c r="Z8" s="658"/>
      <c r="AA8" s="658"/>
      <c r="AB8" s="658"/>
      <c r="AC8" s="658"/>
    </row>
    <row s="11843" customFormat="1" customHeight="1" ht="18.75">
      <c r="A9" s="658"/>
      <c r="B9" s="658"/>
      <c r="C9" s="658"/>
      <c r="D9" s="658"/>
      <c r="E9" s="658"/>
      <c r="F9" s="658"/>
      <c r="G9" s="658"/>
      <c r="H9" s="658"/>
      <c r="L9" s="608"/>
      <c r="M9" s="570" t="s">
        <v>1486</v>
      </c>
      <c r="N9" s="579"/>
      <c r="O9" s="2592">
        <f>IF(numberPr_ch="",IF(numberPr="","",numberPr),numberPr_ch)</f>
      </c>
      <c r="P9" s="2593"/>
      <c r="Q9" s="2593"/>
      <c r="R9" s="2593"/>
      <c r="S9" s="2593"/>
      <c r="T9" s="2594"/>
      <c r="U9" s="1591"/>
      <c r="Y9" s="658"/>
      <c r="Z9" s="658"/>
      <c r="AA9" s="658"/>
      <c r="AB9" s="658"/>
      <c r="AC9" s="658"/>
    </row>
    <row s="11843" customFormat="1" customHeight="1" ht="18.75">
      <c r="A10" s="658"/>
      <c r="B10" s="658"/>
      <c r="C10" s="658"/>
      <c r="D10" s="658"/>
      <c r="E10" s="658"/>
      <c r="F10" s="658"/>
      <c r="G10" s="658"/>
      <c r="H10" s="658"/>
      <c r="L10" s="608"/>
      <c r="M10" s="570" t="s">
        <v>39</v>
      </c>
      <c r="N10" s="579"/>
      <c r="O10" s="2592">
        <f>IF(IstPub_ch="",IF(IstPub="","",IstPub),IstPub_ch)</f>
      </c>
      <c r="P10" s="2593"/>
      <c r="Q10" s="2593"/>
      <c r="R10" s="2593"/>
      <c r="S10" s="2593"/>
      <c r="T10" s="2594"/>
      <c r="U10" s="1591"/>
      <c r="Y10" s="658"/>
      <c r="Z10" s="658"/>
      <c r="AA10" s="658"/>
      <c r="AB10" s="658"/>
      <c r="AC10" s="658"/>
    </row>
    <row s="12109" customFormat="1" customHeight="1" ht="18.75" hidden="1">
      <c r="A11" s="1595"/>
      <c r="B11" s="1595"/>
      <c r="C11" s="1595"/>
      <c r="D11" s="1595"/>
      <c r="E11" s="1595"/>
      <c r="F11" s="1595"/>
      <c r="G11" s="1595"/>
      <c r="H11" s="1595"/>
      <c r="L11" s="608"/>
      <c r="M11" s="605"/>
      <c r="O11" s="1596"/>
      <c r="P11" s="1596"/>
      <c r="Q11" s="658" t="s">
        <v>1571</v>
      </c>
      <c r="R11" s="658" t="s">
        <v>1572</v>
      </c>
      <c r="S11" s="1596"/>
      <c r="T11" s="1596"/>
      <c r="U11" s="1591"/>
      <c r="Y11" s="1595"/>
      <c r="Z11" s="1595"/>
      <c r="AA11" s="1595"/>
      <c r="AB11" s="1595"/>
      <c r="AC11" s="1595"/>
    </row>
    <row s="11843" customFormat="1" customHeight="1" ht="11.25" hidden="1">
      <c r="A12" s="658"/>
      <c r="B12" s="658"/>
      <c r="C12" s="658"/>
      <c r="D12" s="658"/>
      <c r="E12" s="658"/>
      <c r="F12" s="658"/>
      <c r="G12" s="658"/>
      <c r="H12" s="658"/>
      <c r="L12" s="2582"/>
      <c r="M12" s="2582"/>
      <c r="N12" s="1558"/>
      <c r="O12" s="612"/>
      <c r="P12" s="612"/>
      <c r="Q12" s="612"/>
      <c r="R12" s="612"/>
      <c r="S12" s="612"/>
      <c r="T12" s="612"/>
      <c r="U12" s="1594"/>
      <c r="V12" s="553" t="s">
        <v>1489</v>
      </c>
      <c r="Y12" s="658"/>
      <c r="Z12" s="658"/>
      <c r="AA12" s="658"/>
      <c r="AB12" s="658"/>
      <c r="AC12" s="658"/>
    </row>
    <row customHeight="1" ht="14.25">
      <c r="J13" s="667"/>
      <c r="K13" s="667"/>
      <c r="L13" s="651"/>
      <c r="M13" s="651"/>
      <c r="N13" s="651"/>
      <c r="O13" s="1597"/>
      <c r="P13" s="1597"/>
      <c r="Q13" s="2595"/>
      <c r="R13" s="2595"/>
      <c r="S13" s="2595"/>
      <c r="T13" s="2595"/>
      <c r="U13" s="2595"/>
      <c r="V13" s="2595"/>
    </row>
    <row customHeight="1" ht="14.25">
      <c r="J14" s="667"/>
      <c r="K14" s="667"/>
      <c r="L14" s="2342" t="s">
        <v>291</v>
      </c>
      <c r="M14" s="2342"/>
      <c r="N14" s="2342"/>
      <c r="O14" s="2342"/>
      <c r="P14" s="2342"/>
      <c r="Q14" s="2342"/>
      <c r="R14" s="2342"/>
      <c r="S14" s="2342"/>
      <c r="T14" s="2342"/>
      <c r="U14" s="2342"/>
      <c r="V14" s="2342"/>
      <c r="W14" s="2342"/>
      <c r="X14" s="2342" t="s">
        <v>292</v>
      </c>
    </row>
    <row customHeight="1" ht="14.25">
      <c r="J15" s="667"/>
      <c r="K15" s="667"/>
      <c r="L15" s="2366" t="s">
        <v>88</v>
      </c>
      <c r="M15" s="2366" t="s">
        <v>1573</v>
      </c>
      <c r="N15" s="1557"/>
      <c r="O15" s="2366" t="s">
        <v>1574</v>
      </c>
      <c r="P15" s="2596" t="s">
        <v>1575</v>
      </c>
      <c r="Q15" s="2596" t="s">
        <v>1555</v>
      </c>
      <c r="R15" s="2596"/>
      <c r="S15" s="2596"/>
      <c r="T15" s="2596"/>
      <c r="U15" s="2596"/>
      <c r="V15" s="2366" t="s">
        <v>1492</v>
      </c>
      <c r="W15" s="2597" t="s">
        <v>1556</v>
      </c>
      <c r="X15" s="2342"/>
    </row>
    <row customHeight="1" ht="25.5">
      <c r="J16" s="667"/>
      <c r="K16" s="667"/>
      <c r="L16" s="2366"/>
      <c r="M16" s="2366"/>
      <c r="N16" s="1557"/>
      <c r="O16" s="2366"/>
      <c r="P16" s="2596"/>
      <c r="Q16" s="2596" t="s">
        <v>1576</v>
      </c>
      <c r="R16" s="2596"/>
      <c r="S16" s="2599" t="s">
        <v>1516</v>
      </c>
      <c r="T16" s="2599"/>
      <c r="U16" s="2599"/>
      <c r="V16" s="2366"/>
      <c r="W16" s="2597"/>
      <c r="X16" s="2342"/>
    </row>
    <row customHeight="1" ht="14.25">
      <c r="J17" s="667"/>
      <c r="K17" s="667"/>
      <c r="L17" s="2366"/>
      <c r="M17" s="2366"/>
      <c r="N17" s="1557"/>
      <c r="O17" s="2366"/>
      <c r="P17" s="2596"/>
      <c r="Q17" s="1557" t="s">
        <v>1551</v>
      </c>
      <c r="R17" s="1557" t="s">
        <v>1552</v>
      </c>
      <c r="S17" s="1561" t="s">
        <v>1508</v>
      </c>
      <c r="T17" s="2600" t="s">
        <v>1509</v>
      </c>
      <c r="U17" s="2600"/>
      <c r="V17" s="2366"/>
      <c r="W17" s="2597"/>
      <c r="X17" s="2342"/>
    </row>
    <row customHeight="1" ht="14.25">
      <c r="J18" s="667"/>
      <c r="K18" s="566">
        <v>1</v>
      </c>
      <c r="L18" s="750" t="s">
        <v>99</v>
      </c>
      <c r="M18" s="750" t="s">
        <v>109</v>
      </c>
      <c r="N18" s="1593" t="s">
        <v>109</v>
      </c>
      <c r="O18" s="1559">
        <f>OFFSET(O18,0,-1)+1</f>
        <v>3</v>
      </c>
      <c r="P18" s="1559">
        <f>OFFSET(P18,0,-1)+1</f>
        <v>4</v>
      </c>
      <c r="Q18" s="1559">
        <f>OFFSET(Q18,0,-1)+1</f>
        <v>5</v>
      </c>
      <c r="R18" s="1559">
        <f>OFFSET(R18,0,-1)+1</f>
        <v>6</v>
      </c>
      <c r="S18" s="1559">
        <f>OFFSET(S18,0,-1)+1</f>
        <v>7</v>
      </c>
      <c r="T18" s="2601">
        <f>OFFSET(T18,0,-1)+1</f>
        <v>8</v>
      </c>
      <c r="U18" s="2601"/>
      <c r="V18" s="1559">
        <f>OFFSET(V18,0,-2)+1</f>
        <v>9</v>
      </c>
      <c r="X18" s="1559">
        <f>OFFSET(X18,0,-2)+1</f>
        <v>10</v>
      </c>
    </row>
    <row customHeight="1" ht="22.5">
      <c r="A19" s="2488">
        <v>1</v>
      </c>
      <c r="B19" s="820"/>
      <c r="C19" s="820"/>
      <c r="D19" s="820"/>
      <c r="E19" s="820"/>
      <c r="F19" s="820"/>
      <c r="G19" s="674"/>
      <c r="H19" s="674"/>
      <c r="I19" s="647"/>
      <c r="J19" s="667"/>
      <c r="K19" s="667"/>
      <c r="L19" s="1566">
        <f>MERGEVALUE(A19)</f>
      </c>
      <c r="M19" s="573" t="s">
        <v>123</v>
      </c>
      <c r="N19" s="592"/>
      <c r="O19" s="2598"/>
      <c r="P19" s="2598"/>
      <c r="Q19" s="2598"/>
      <c r="R19" s="2598"/>
      <c r="S19" s="2598"/>
      <c r="T19" s="2598"/>
      <c r="U19" s="2598"/>
      <c r="V19" s="2598"/>
      <c r="W19" s="2598"/>
      <c r="X19" s="631" t="s">
        <v>1461</v>
      </c>
    </row>
    <row customHeight="1" ht="22.5">
      <c r="A20" s="2488"/>
      <c r="B20" s="2488">
        <v>1</v>
      </c>
      <c r="C20" s="820"/>
      <c r="D20" s="820"/>
      <c r="E20" s="820"/>
      <c r="F20" s="820"/>
      <c r="G20" s="676"/>
      <c r="H20" s="1560"/>
      <c r="I20" s="649"/>
      <c r="J20" s="1567"/>
      <c r="K20" s="1481"/>
      <c r="L20" s="1566">
        <f>MERGEVALUE(A20)&amp;"."&amp;MERGEVALUE(B20)</f>
      </c>
      <c r="M20" s="585" t="s">
        <v>1462</v>
      </c>
      <c r="N20" s="592"/>
      <c r="O20" s="2598"/>
      <c r="P20" s="2598"/>
      <c r="Q20" s="2598"/>
      <c r="R20" s="2598"/>
      <c r="S20" s="2598"/>
      <c r="T20" s="2598"/>
      <c r="U20" s="2598"/>
      <c r="V20" s="2598"/>
      <c r="W20" s="2598"/>
      <c r="X20" s="631" t="s">
        <v>1463</v>
      </c>
    </row>
    <row customHeight="1" ht="22.5">
      <c r="A21" s="2488"/>
      <c r="B21" s="2488"/>
      <c r="C21" s="2488">
        <v>1</v>
      </c>
      <c r="D21" s="820"/>
      <c r="E21" s="820"/>
      <c r="F21" s="820"/>
      <c r="G21" s="676"/>
      <c r="H21" s="1560"/>
      <c r="I21" s="650"/>
      <c r="J21" s="1567"/>
      <c r="K21" s="1481"/>
      <c r="L21" s="1566">
        <f>MERGEVALUE(A21)&amp;"."&amp;MERGEVALUE(B21)&amp;"."&amp;MERGEVALUE(C21)</f>
      </c>
      <c r="M21" s="586" t="s">
        <v>1464</v>
      </c>
      <c r="N21" s="592"/>
      <c r="O21" s="2598"/>
      <c r="P21" s="2598"/>
      <c r="Q21" s="2598"/>
      <c r="R21" s="2598"/>
      <c r="S21" s="2598"/>
      <c r="T21" s="2598"/>
      <c r="U21" s="2598"/>
      <c r="V21" s="2598"/>
      <c r="W21" s="2598"/>
      <c r="X21" s="631" t="s">
        <v>1465</v>
      </c>
    </row>
    <row customHeight="1" ht="14.25">
      <c r="A22" s="2488"/>
      <c r="B22" s="2488"/>
      <c r="C22" s="2488"/>
      <c r="D22" s="2488">
        <v>1</v>
      </c>
      <c r="E22" s="820"/>
      <c r="F22" s="820"/>
      <c r="G22" s="676"/>
      <c r="H22" s="1560"/>
      <c r="I22" s="650"/>
      <c r="J22" s="648"/>
      <c r="K22" s="1481"/>
      <c r="L22" s="1566">
        <f>MERGEVALUE(A22)&amp;"."&amp;MERGEVALUE(B22)&amp;"."&amp;MERGEVALUE(C22)&amp;"."&amp;MERGEVALUE(D22)</f>
      </c>
      <c r="M22" s="587" t="s">
        <v>1466</v>
      </c>
      <c r="N22" s="592"/>
      <c r="O22" s="2598"/>
      <c r="P22" s="2598"/>
      <c r="Q22" s="2598"/>
      <c r="R22" s="2598"/>
      <c r="S22" s="2598"/>
      <c r="T22" s="2598"/>
      <c r="U22" s="2598"/>
      <c r="V22" s="2598"/>
      <c r="W22" s="2598"/>
      <c r="X22" s="623" t="s">
        <v>1577</v>
      </c>
    </row>
    <row customHeight="1" ht="22.5">
      <c r="A23" s="2488"/>
      <c r="B23" s="2488"/>
      <c r="C23" s="2488"/>
      <c r="D23" s="2488"/>
      <c r="E23" s="820">
        <v>1</v>
      </c>
      <c r="F23" s="820"/>
      <c r="G23" s="676"/>
      <c r="H23" s="1560"/>
      <c r="I23" s="650"/>
      <c r="J23" s="648"/>
      <c r="K23" s="753"/>
      <c r="L23" s="1566">
        <f>MERGEVALUE(A23)&amp;"."&amp;MERGEVALUE(B23)&amp;"."&amp;MERGEVALUE(C23)&amp;"."&amp;MERGEVALUE(D23)&amp;"."&amp;MERGEVALUE(E23)</f>
      </c>
      <c r="M23" s="669"/>
      <c r="N23" s="1563"/>
      <c r="O23" s="3367"/>
      <c r="P23" s="672"/>
      <c r="Q23" s="580"/>
      <c r="R23" s="580"/>
      <c r="S23" s="2114"/>
      <c r="T23" s="1555" t="s">
        <v>56</v>
      </c>
      <c r="U23" s="1599"/>
      <c r="V23" s="1555" t="s">
        <v>56</v>
      </c>
      <c r="W23" s="1600"/>
      <c r="X23" s="2352" t="s">
        <v>1578</v>
      </c>
      <c r="Y23" s="813">
        <f>STRCHECKDATETWO(N23:W23)</f>
      </c>
    </row>
    <row customHeight="1" ht="14.25" hidden="1">
      <c r="A24" s="2488"/>
      <c r="B24" s="2488"/>
      <c r="C24" s="2488"/>
      <c r="D24" s="2488"/>
      <c r="E24" s="820"/>
      <c r="F24" s="820"/>
      <c r="G24" s="676"/>
      <c r="H24" s="1560"/>
      <c r="I24" s="650"/>
      <c r="J24" s="648"/>
      <c r="K24" s="753"/>
      <c r="L24" s="1565"/>
      <c r="M24" s="588"/>
      <c r="N24" s="575"/>
      <c r="O24" s="575"/>
      <c r="P24" s="575"/>
      <c r="Q24" s="575"/>
      <c r="R24" s="4136" t="str">
        <f>S23&amp;"-"&amp;U23</f>
        <v>-</v>
      </c>
      <c r="S24" s="596"/>
      <c r="T24" s="593"/>
      <c r="U24" s="596"/>
      <c r="V24" s="575"/>
      <c r="W24" s="1601"/>
      <c r="X24" s="2353"/>
    </row>
    <row customHeight="1" ht="14.25">
      <c r="A25" s="2488"/>
      <c r="B25" s="2488"/>
      <c r="C25" s="2488"/>
      <c r="D25" s="2488"/>
      <c r="E25" s="820"/>
      <c r="F25" s="820"/>
      <c r="G25" s="676"/>
      <c r="H25" s="1560"/>
      <c r="I25" s="650"/>
      <c r="J25" s="648"/>
      <c r="K25" s="753"/>
      <c r="L25" s="584"/>
      <c r="M25" s="654" t="s">
        <v>1542</v>
      </c>
      <c r="N25" s="653"/>
      <c r="O25" s="607"/>
      <c r="P25" s="607"/>
      <c r="Q25" s="607"/>
      <c r="R25" s="607"/>
      <c r="S25" s="611"/>
      <c r="T25" s="657"/>
      <c r="U25" s="656"/>
      <c r="V25" s="653"/>
      <c r="W25" s="653"/>
      <c r="X25" s="2354"/>
    </row>
    <row s="11340" customFormat="1" customHeight="1" ht="14.25">
      <c r="A26" s="2488"/>
      <c r="B26" s="2488"/>
      <c r="C26" s="2488"/>
      <c r="D26" s="675"/>
      <c r="E26" s="675"/>
      <c r="F26" s="675"/>
      <c r="G26" s="676"/>
      <c r="H26" s="675"/>
      <c r="I26" s="650"/>
      <c r="J26" s="666"/>
      <c r="K26" s="668"/>
      <c r="L26" s="584"/>
      <c r="M26" s="662" t="s">
        <v>1557</v>
      </c>
      <c r="N26" s="653"/>
      <c r="O26" s="607"/>
      <c r="P26" s="607"/>
      <c r="Q26" s="607"/>
      <c r="R26" s="607"/>
      <c r="S26" s="611"/>
      <c r="T26" s="657"/>
      <c r="U26" s="656"/>
      <c r="V26" s="653"/>
      <c r="W26" s="657"/>
      <c r="X26" s="1602"/>
      <c r="Y26" s="673"/>
      <c r="Z26" s="673"/>
      <c r="AA26" s="673"/>
      <c r="AB26" s="673"/>
      <c r="AC26" s="673"/>
    </row>
    <row s="11340" customFormat="1" customHeight="1" ht="14.25">
      <c r="A27" s="2488"/>
      <c r="B27" s="2488"/>
      <c r="C27" s="675"/>
      <c r="D27" s="675"/>
      <c r="E27" s="675"/>
      <c r="F27" s="675"/>
      <c r="G27" s="676"/>
      <c r="H27" s="675"/>
      <c r="I27" s="646"/>
      <c r="J27" s="666"/>
      <c r="K27" s="668"/>
      <c r="L27" s="584"/>
      <c r="M27" s="653" t="s">
        <v>1558</v>
      </c>
      <c r="N27" s="653"/>
      <c r="O27" s="607"/>
      <c r="P27" s="607"/>
      <c r="Q27" s="607"/>
      <c r="R27" s="607"/>
      <c r="S27" s="611"/>
      <c r="T27" s="657"/>
      <c r="U27" s="656"/>
      <c r="V27" s="653"/>
      <c r="W27" s="657"/>
      <c r="X27" s="609"/>
      <c r="Y27" s="673"/>
      <c r="Z27" s="673"/>
      <c r="AA27" s="673"/>
      <c r="AB27" s="673"/>
      <c r="AC27" s="673"/>
    </row>
    <row s="11340" customFormat="1" customHeight="1" ht="14.25">
      <c r="A28" s="2488"/>
      <c r="B28" s="675"/>
      <c r="C28" s="675"/>
      <c r="D28" s="675"/>
      <c r="E28" s="675"/>
      <c r="F28" s="675"/>
      <c r="G28" s="676"/>
      <c r="H28" s="675"/>
      <c r="I28" s="646"/>
      <c r="J28" s="666"/>
      <c r="K28" s="668"/>
      <c r="L28" s="584"/>
      <c r="M28" s="716" t="s">
        <v>104</v>
      </c>
      <c r="N28" s="653"/>
      <c r="O28" s="607"/>
      <c r="P28" s="607"/>
      <c r="Q28" s="607"/>
      <c r="R28" s="607"/>
      <c r="S28" s="611"/>
      <c r="T28" s="657"/>
      <c r="U28" s="656"/>
      <c r="V28" s="653"/>
      <c r="W28" s="657"/>
      <c r="X28" s="609"/>
      <c r="Y28" s="673"/>
      <c r="Z28" s="673"/>
      <c r="AA28" s="673"/>
      <c r="AB28" s="673"/>
      <c r="AC28" s="673"/>
    </row>
    <row s="11340" customFormat="1" customHeight="1" ht="14.25">
      <c r="G29" s="655"/>
      <c r="H29" s="668"/>
      <c r="I29" s="665"/>
      <c r="J29" s="666"/>
      <c r="L29" s="584"/>
      <c r="M29" s="717" t="s">
        <v>1440</v>
      </c>
      <c r="N29" s="653"/>
      <c r="O29" s="607"/>
      <c r="P29" s="607"/>
      <c r="Q29" s="607"/>
      <c r="R29" s="607"/>
      <c r="S29" s="611"/>
      <c r="T29" s="657"/>
      <c r="U29" s="656"/>
      <c r="V29" s="653"/>
      <c r="W29" s="657"/>
      <c r="X29" s="609"/>
      <c r="Y29" s="673"/>
      <c r="Z29" s="673"/>
      <c r="AA29" s="673"/>
      <c r="AB29" s="673"/>
      <c r="AC29" s="673"/>
    </row>
    <row r="31" customHeight="1" ht="14.25">
      <c r="L31" s="331">
        <v>1</v>
      </c>
      <c r="M31" s="2517" t="s">
        <v>1579</v>
      </c>
      <c r="N31" s="2517"/>
      <c r="O31" s="2517"/>
      <c r="P31" s="2517"/>
      <c r="Q31" s="2517"/>
      <c r="R31" s="2517"/>
      <c r="S31" s="2517"/>
      <c r="T31" s="2517"/>
      <c r="U31" s="2517"/>
      <c r="V31" s="2517"/>
      <c r="W31" s="2517"/>
      <c r="X31" s="2517"/>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E80BC-C85E-71D6-F0A6-62F4775D817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910" width="9.140625" hidden="1" customWidth="1"/>
    <col min="2" max="2" style="11754" width="9.140625" hidden="1" customWidth="1"/>
    <col min="3" max="3" style="11755" width="3.7109375" customWidth="1"/>
    <col min="4" max="4" style="10659" width="6.28125" customWidth="1"/>
    <col min="5" max="5" style="10659" width="63.421875" customWidth="1"/>
    <col min="6" max="6" style="10659" width="1.7109375" hidden="1" customWidth="1"/>
    <col min="7" max="8" style="10659" width="35.7109375" customWidth="1"/>
    <col min="9" max="9" style="10659" width="91.57421875" customWidth="1"/>
    <col min="10" max="10" style="10659" width="68.8515625" customWidth="1"/>
    <col min="11" max="12" style="10660" width="10.57421875"/>
  </cols>
  <sheetData>
    <row customHeight="1" ht="14.25" hidden="1"/>
    <row s="11422" customFormat="1" customHeight="1" ht="18.75" hidden="1">
      <c r="A2" s="2061"/>
      <c r="B2" s="1486"/>
      <c r="C2" s="2110" t="s">
        <v>1109</v>
      </c>
      <c r="D2" s="2051"/>
      <c r="E2" s="4479"/>
      <c r="F2" s="2048"/>
      <c r="G2" s="2048" t="s">
        <v>297</v>
      </c>
      <c r="H2" s="1487"/>
      <c r="K2" s="2002"/>
      <c r="L2" s="2002"/>
    </row>
    <row s="11422" customFormat="1" customHeight="1" ht="14.25" hidden="1">
      <c r="A3" s="1723"/>
      <c r="B3" s="1486"/>
      <c r="C3" s="630"/>
      <c r="K3" s="2002"/>
      <c r="L3" s="2002"/>
    </row>
    <row s="11422" customFormat="1" customHeight="1" ht="18.75" hidden="1">
      <c r="A4" s="2061"/>
      <c r="B4" s="1486"/>
      <c r="C4" s="2110" t="s">
        <v>1109</v>
      </c>
      <c r="D4" s="2051"/>
      <c r="E4" s="4480" t="s">
        <v>1580</v>
      </c>
      <c r="F4" s="2048"/>
      <c r="G4" s="4481"/>
      <c r="H4" s="2048" t="s">
        <v>297</v>
      </c>
      <c r="K4" s="2002"/>
      <c r="L4" s="2002"/>
    </row>
    <row s="11422" customFormat="1" customHeight="1" ht="14.25" hidden="1">
      <c r="A5" s="1723"/>
      <c r="B5" s="1486"/>
      <c r="C5" s="630"/>
      <c r="K5" s="2002"/>
      <c r="L5" s="2002"/>
    </row>
    <row s="11422" customFormat="1" customHeight="1" ht="18.75" hidden="1">
      <c r="A6" s="2061"/>
      <c r="B6" s="1486"/>
      <c r="C6" s="2110" t="s">
        <v>1109</v>
      </c>
      <c r="D6" s="2051"/>
      <c r="E6" s="4482" t="s">
        <v>1581</v>
      </c>
      <c r="F6" s="2048"/>
      <c r="G6" s="4481"/>
      <c r="H6" s="2048" t="s">
        <v>297</v>
      </c>
      <c r="K6" s="2002"/>
      <c r="L6" s="2002"/>
    </row>
    <row s="11422" customFormat="1" customHeight="1" ht="14.25" hidden="1">
      <c r="A7" s="1723"/>
      <c r="B7" s="1486"/>
      <c r="C7" s="630"/>
      <c r="K7" s="2002"/>
      <c r="L7" s="2002"/>
    </row>
    <row s="11422" customFormat="1" customHeight="1" ht="18.75" hidden="1">
      <c r="A8" s="2061"/>
      <c r="B8" s="1486"/>
      <c r="C8" s="2110" t="s">
        <v>1109</v>
      </c>
      <c r="D8" s="2051"/>
      <c r="E8" s="4482" t="s">
        <v>1582</v>
      </c>
      <c r="F8" s="2048"/>
      <c r="G8" s="4481"/>
      <c r="H8" s="2048" t="s">
        <v>297</v>
      </c>
      <c r="K8" s="2002"/>
      <c r="L8" s="2002"/>
    </row>
    <row s="11422" customFormat="1" customHeight="1" ht="14.25" hidden="1">
      <c r="A9" s="1723"/>
      <c r="B9" s="1486"/>
      <c r="C9" s="630"/>
      <c r="K9" s="2002"/>
      <c r="L9" s="2002"/>
    </row>
    <row s="11422" customFormat="1" customHeight="1" ht="18.75" hidden="1">
      <c r="A10" s="2061"/>
      <c r="B10" s="1486"/>
      <c r="C10" s="2110" t="s">
        <v>1109</v>
      </c>
      <c r="D10" s="2051"/>
      <c r="E10" s="4482" t="s">
        <v>1583</v>
      </c>
      <c r="F10" s="2048"/>
      <c r="G10" s="2052"/>
      <c r="H10" s="2048" t="s">
        <v>297</v>
      </c>
      <c r="K10" s="2002"/>
      <c r="L10" s="2002" t="s">
        <v>1584</v>
      </c>
    </row>
    <row customHeight="1" ht="14.25" hidden="1"/>
    <row customHeight="1" ht="14.25" hidden="1"/>
    <row customHeight="1" ht="14.25">
      <c r="C13" s="365"/>
      <c r="D13" s="351"/>
      <c r="E13" s="351"/>
      <c r="F13" s="351"/>
      <c r="G13" s="351"/>
      <c r="H13" s="352"/>
      <c r="I13" s="352"/>
    </row>
    <row customHeight="1" ht="30">
      <c r="C14" s="365"/>
      <c r="D14" s="246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7"/>
      <c r="F14" s="2467"/>
      <c r="G14" s="2467"/>
      <c r="H14" s="2468"/>
      <c r="J14" s="2009"/>
    </row>
    <row s="11422" customFormat="1" customHeight="1" ht="14.25">
      <c r="A15" s="1723"/>
      <c r="B15" s="1486"/>
      <c r="C15" s="667"/>
      <c r="D15"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70"/>
      <c r="F15" s="2470"/>
      <c r="G15" s="2470"/>
      <c r="H15" s="2471"/>
      <c r="J15" s="1163"/>
      <c r="K15" s="2002"/>
      <c r="L15" s="2002"/>
    </row>
    <row customHeight="1" ht="14.25">
      <c r="C16" s="365"/>
      <c r="D16" s="351"/>
      <c r="E16" s="364"/>
      <c r="F16" s="364"/>
      <c r="G16" s="364"/>
      <c r="H16" s="1056"/>
      <c r="I16" s="465"/>
    </row>
    <row s="11422" customFormat="1" customHeight="1" ht="14.25" hidden="1">
      <c r="A17" s="1723"/>
      <c r="B17" s="1486"/>
      <c r="C17" s="667"/>
      <c r="D17" s="651"/>
      <c r="E17" s="686"/>
      <c r="F17" s="686"/>
      <c r="G17" s="686"/>
      <c r="H17" s="1056"/>
      <c r="I17" s="465"/>
      <c r="K17" s="2002"/>
      <c r="L17" s="2002"/>
    </row>
    <row customHeight="1" ht="21">
      <c r="C18" s="365"/>
      <c r="D18" s="2366" t="s">
        <v>291</v>
      </c>
      <c r="E18" s="2366"/>
      <c r="F18" s="2366"/>
      <c r="G18" s="2366"/>
      <c r="H18" s="2366"/>
      <c r="I18" s="2472" t="s">
        <v>292</v>
      </c>
    </row>
    <row customHeight="1" ht="21">
      <c r="C19" s="365"/>
      <c r="D19" s="375" t="s">
        <v>88</v>
      </c>
      <c r="E19" s="378" t="s">
        <v>293</v>
      </c>
      <c r="F19" s="378"/>
      <c r="G19" s="378" t="s">
        <v>294</v>
      </c>
      <c r="H19" s="378" t="s">
        <v>383</v>
      </c>
      <c r="I19" s="2472"/>
    </row>
    <row customHeight="1" ht="12">
      <c r="C20" s="365"/>
      <c r="D20" s="354" t="s">
        <v>99</v>
      </c>
      <c r="E20" s="354" t="s">
        <v>109</v>
      </c>
      <c r="F20" s="354"/>
      <c r="G20" s="354" t="s">
        <v>90</v>
      </c>
      <c r="H20" s="354" t="s">
        <v>91</v>
      </c>
      <c r="I20" s="354" t="s">
        <v>110</v>
      </c>
    </row>
    <row customHeight="1" ht="14.25">
      <c r="A21" s="2061"/>
      <c r="C21" s="365"/>
      <c r="D21" s="418">
        <v>1</v>
      </c>
      <c r="E21" s="2605" t="s">
        <v>1585</v>
      </c>
      <c r="F21" s="2605"/>
      <c r="G21" s="2605"/>
      <c r="H21" s="2605"/>
      <c r="I21" s="480"/>
    </row>
    <row customHeight="1" ht="20.25">
      <c r="A22" s="2061"/>
      <c r="C22" s="365"/>
      <c r="D22" s="418" t="s">
        <v>619</v>
      </c>
      <c r="E22" s="466" t="s">
        <v>1586</v>
      </c>
      <c r="F22" s="470"/>
      <c r="G22" s="2117"/>
      <c r="H22" s="470" t="s">
        <v>297</v>
      </c>
      <c r="I22" s="422" t="s">
        <v>1587</v>
      </c>
    </row>
    <row customHeight="1" ht="45">
      <c r="A23" s="2061"/>
      <c r="C23" s="365"/>
      <c r="D23" s="418" t="s">
        <v>625</v>
      </c>
      <c r="E23" s="466" t="s">
        <v>1588</v>
      </c>
      <c r="F23" s="470"/>
      <c r="G23" s="4481"/>
      <c r="H23" s="486"/>
      <c r="I23" s="531" t="s">
        <v>1589</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297</v>
      </c>
      <c r="H24" s="486"/>
      <c r="I24" s="532" t="s">
        <v>712</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317</v>
      </c>
      <c r="E26" s="4479"/>
      <c r="F26" s="470"/>
      <c r="G26" s="470" t="s">
        <v>297</v>
      </c>
      <c r="H26" s="486"/>
      <c r="I26" s="2352" t="s">
        <v>1590</v>
      </c>
    </row>
    <row customHeight="1" ht="15">
      <c r="A27" s="2061" t="s">
        <v>99</v>
      </c>
      <c r="C27" s="365"/>
      <c r="D27" s="379"/>
      <c r="E27" s="475" t="s">
        <v>1455</v>
      </c>
      <c r="F27" s="476"/>
      <c r="G27" s="476"/>
      <c r="H27" s="473"/>
      <c r="I27" s="2354"/>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612</v>
      </c>
      <c r="E29" s="4480" t="s">
        <v>1580</v>
      </c>
      <c r="F29" s="470"/>
      <c r="G29" s="4481"/>
      <c r="H29" s="470" t="s">
        <v>297</v>
      </c>
      <c r="I29" s="2352" t="s">
        <v>1591</v>
      </c>
    </row>
    <row customHeight="1" ht="15">
      <c r="A30" s="2061" t="s">
        <v>109</v>
      </c>
      <c r="C30" s="365"/>
      <c r="D30" s="379"/>
      <c r="E30" s="475" t="s">
        <v>1455</v>
      </c>
      <c r="F30" s="476"/>
      <c r="G30" s="476"/>
      <c r="H30" s="473"/>
      <c r="I30" s="2354"/>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306</v>
      </c>
      <c r="E32" s="26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2"/>
      <c r="G32" s="2602"/>
      <c r="H32" s="2602"/>
      <c r="I32" s="529"/>
    </row>
    <row customHeight="1" ht="14.25">
      <c r="A33" s="2061"/>
      <c r="C33" s="365"/>
      <c r="D33" s="418" t="s">
        <v>620</v>
      </c>
      <c r="E33" s="4482" t="s">
        <v>1581</v>
      </c>
      <c r="F33" s="470"/>
      <c r="G33" s="4481"/>
      <c r="H33" s="470" t="s">
        <v>297</v>
      </c>
      <c r="I33" s="2352" t="s">
        <v>1592</v>
      </c>
    </row>
    <row customHeight="1" ht="15">
      <c r="A34" s="2061" t="s">
        <v>90</v>
      </c>
      <c r="C34" s="365"/>
      <c r="D34" s="379"/>
      <c r="E34" s="476" t="s">
        <v>1455</v>
      </c>
      <c r="F34" s="472"/>
      <c r="G34" s="472"/>
      <c r="H34" s="473"/>
      <c r="I34" s="2354"/>
    </row>
    <row customHeight="1" ht="24">
      <c r="A35" s="2061"/>
      <c r="C35" s="365"/>
      <c r="D35" s="418" t="s">
        <v>308</v>
      </c>
      <c r="E35" s="26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2"/>
      <c r="G35" s="2602"/>
      <c r="H35" s="2602"/>
      <c r="I35" s="529"/>
    </row>
    <row customHeight="1" ht="14.25">
      <c r="A36" s="2061"/>
      <c r="C36" s="365"/>
      <c r="D36" s="418" t="s">
        <v>1593</v>
      </c>
      <c r="E36" s="4482" t="s">
        <v>1582</v>
      </c>
      <c r="F36" s="470"/>
      <c r="G36" s="4481"/>
      <c r="H36" s="470" t="s">
        <v>297</v>
      </c>
      <c r="I36" s="2603" t="s">
        <v>1594</v>
      </c>
    </row>
    <row customHeight="1" ht="15">
      <c r="A37" s="2061" t="s">
        <v>91</v>
      </c>
      <c r="C37" s="365"/>
      <c r="D37" s="379"/>
      <c r="E37" s="476" t="s">
        <v>1455</v>
      </c>
      <c r="F37" s="472"/>
      <c r="G37" s="472"/>
      <c r="H37" s="473"/>
      <c r="I37" s="2603"/>
    </row>
    <row customHeight="1" ht="26.25">
      <c r="A38" s="2061"/>
      <c r="C38" s="365"/>
      <c r="D38" s="418" t="s">
        <v>311</v>
      </c>
      <c r="E38" s="26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2"/>
      <c r="G38" s="2602"/>
      <c r="H38" s="2602"/>
      <c r="I38" s="529"/>
    </row>
    <row customHeight="1" ht="14.25">
      <c r="A39" s="2061"/>
      <c r="C39" s="365"/>
      <c r="D39" s="418" t="s">
        <v>1595</v>
      </c>
      <c r="E39" s="4482" t="s">
        <v>1583</v>
      </c>
      <c r="F39" s="470"/>
      <c r="G39" s="479"/>
      <c r="H39" s="470" t="s">
        <v>297</v>
      </c>
      <c r="I39" s="2352" t="s">
        <v>1596</v>
      </c>
      <c r="L39" s="428" t="s">
        <v>1584</v>
      </c>
    </row>
    <row customHeight="1" ht="15">
      <c r="A40" s="2061" t="s">
        <v>110</v>
      </c>
      <c r="C40" s="365"/>
      <c r="D40" s="379"/>
      <c r="E40" s="476" t="s">
        <v>1455</v>
      </c>
      <c r="F40" s="472"/>
      <c r="G40" s="472"/>
      <c r="H40" s="473"/>
      <c r="I40" s="2354"/>
    </row>
    <row s="12177" customFormat="1" customHeight="1" ht="3">
      <c r="A41" s="2061"/>
      <c r="K41" s="468"/>
      <c r="L41" s="468"/>
    </row>
    <row customHeight="1" ht="24.75">
      <c r="D42" s="2059" t="s">
        <v>1510</v>
      </c>
      <c r="E42" s="25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7"/>
      <c r="G42" s="2517"/>
      <c r="H42" s="2517"/>
      <c r="I42" s="25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5E69-FB94-85D2-E673-C00E705835E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194" width="9.140625" hidden="1" customWidth="1"/>
    <col min="2" max="2" style="11754" width="9.140625" hidden="1" customWidth="1"/>
    <col min="3" max="3" style="11912" width="3.7109375" customWidth="1"/>
    <col min="4" max="4" style="12195" width="6.28125" customWidth="1"/>
    <col min="5" max="5" style="12195" width="38.140625" customWidth="1"/>
    <col min="6" max="7" style="12195" width="35.7109375" customWidth="1"/>
    <col min="8" max="8" style="12195" width="89.57421875" customWidth="1"/>
    <col min="9" max="9" style="12195" width="10.57421875"/>
    <col min="10" max="11" style="12196" width="10.57421875"/>
    <col min="12" max="17" style="12195" width="10.57421875"/>
  </cols>
  <sheetData>
    <row customHeight="1" ht="14.25" hidden="1">
      <c r="N1" s="528"/>
      <c r="O1" s="528"/>
      <c r="Q1" s="528"/>
    </row>
    <row s="11422" customFormat="1" customHeight="1" ht="18.75" hidden="1">
      <c r="A2" s="372"/>
      <c r="B2" s="1486"/>
      <c r="C2" s="2110" t="s">
        <v>1109</v>
      </c>
      <c r="D2" s="2051"/>
      <c r="E2" s="4501"/>
      <c r="F2" s="4481"/>
      <c r="G2" s="1487"/>
      <c r="H2" s="664"/>
      <c r="I2" s="2002"/>
      <c r="J2" s="2002"/>
    </row>
    <row customHeight="1" ht="14.25" hidden="1"/>
    <row customHeight="1" ht="6">
      <c r="C4" s="667"/>
      <c r="D4" s="651"/>
      <c r="E4" s="651"/>
      <c r="F4" s="651"/>
      <c r="G4" s="352"/>
      <c r="H4" s="352"/>
    </row>
    <row customHeight="1" ht="54.75">
      <c r="C5" s="667"/>
      <c r="D5" s="246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7"/>
      <c r="F5" s="2467"/>
      <c r="G5" s="2468"/>
      <c r="H5" s="539"/>
    </row>
    <row s="11422" customFormat="1" customHeight="1" ht="17.25">
      <c r="A6" s="2047"/>
      <c r="B6" s="1486"/>
      <c r="C6" s="667"/>
      <c r="D6"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0"/>
      <c r="F6" s="2470"/>
      <c r="G6" s="2471"/>
      <c r="H6" s="539"/>
      <c r="J6" s="2002"/>
      <c r="K6" s="2002"/>
    </row>
    <row customHeight="1" ht="14.25">
      <c r="C7" s="667"/>
      <c r="D7" s="651"/>
      <c r="E7" s="686"/>
      <c r="F7" s="686"/>
      <c r="G7" s="1056"/>
      <c r="H7" s="465"/>
    </row>
    <row customHeight="1" ht="14.25">
      <c r="C8" s="667"/>
      <c r="D8" s="2366" t="s">
        <v>291</v>
      </c>
      <c r="E8" s="2366"/>
      <c r="F8" s="2366"/>
      <c r="G8" s="2366"/>
      <c r="H8" s="2472" t="s">
        <v>292</v>
      </c>
    </row>
    <row customHeight="1" ht="14.25">
      <c r="C9" s="667"/>
      <c r="D9" s="682" t="s">
        <v>88</v>
      </c>
      <c r="E9" s="378" t="s">
        <v>293</v>
      </c>
      <c r="F9" s="378" t="s">
        <v>294</v>
      </c>
      <c r="G9" s="378" t="s">
        <v>383</v>
      </c>
      <c r="H9" s="2472"/>
    </row>
    <row customHeight="1" ht="14.25">
      <c r="A10" s="629"/>
      <c r="C10" s="667"/>
      <c r="D10" s="418" t="s">
        <v>99</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81"/>
      <c r="G10" s="486"/>
      <c r="H10" s="2352" t="s">
        <v>1597</v>
      </c>
    </row>
    <row customHeight="1" ht="14.25">
      <c r="A11" s="629"/>
      <c r="C11" s="667"/>
      <c r="D11" s="418" t="s">
        <v>109</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81"/>
      <c r="G11" s="486"/>
      <c r="H11" s="2353"/>
    </row>
    <row customHeight="1" ht="22.5">
      <c r="A12" s="372"/>
      <c r="C12" s="683"/>
      <c r="D12" s="418" t="s">
        <v>90</v>
      </c>
      <c r="E12" s="685" t="str">
        <f>"Сведения о планировании закупочных процедур"&amp;IF(TEMPLATE_SPHERE="TKO"," &lt;1&gt;","")</f>
        <v>Сведения о планировании закупочных процедур</v>
      </c>
      <c r="F12" s="4481"/>
      <c r="G12" s="486"/>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91</v>
      </c>
      <c r="E13" s="685" t="str">
        <f>"Сведения о результатах проведения закупочных процедур"&amp;IF(TEMPLATE_SPHERE="TKO"," &lt;1&gt;","")</f>
        <v>Сведения о результатах проведения закупочных процедур</v>
      </c>
      <c r="F13" s="4481"/>
      <c r="G13" s="486"/>
      <c r="H13" s="2353"/>
      <c r="I13" s="636"/>
      <c r="K13" s="664"/>
    </row>
    <row customHeight="1" ht="14.25">
      <c r="A14" s="629"/>
      <c r="C14" s="667"/>
      <c r="D14" s="633"/>
      <c r="E14" s="692" t="s">
        <v>1455</v>
      </c>
      <c r="F14" s="635"/>
      <c r="G14" s="473"/>
      <c r="H14" s="2354"/>
    </row>
    <row s="11422" customFormat="1" customHeight="1" ht="14.25">
      <c r="A15" s="629"/>
      <c r="B15" s="1486"/>
      <c r="C15" s="667"/>
      <c r="D15" s="693"/>
      <c r="E15" s="2055"/>
      <c r="F15" s="2056"/>
      <c r="G15" s="2057"/>
      <c r="H15" s="2058"/>
      <c r="J15" s="2002"/>
      <c r="K15" s="2002"/>
    </row>
    <row customHeight="1" ht="21.75">
      <c r="D16" s="2059" t="s">
        <v>1510</v>
      </c>
      <c r="E16" s="2606" t="s">
        <v>1598</v>
      </c>
      <c r="F16" s="2606"/>
      <c r="G16" s="2606"/>
      <c r="H16" s="260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A569B-9E6D-C01B-7423-182A9F675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0CF3-763A-F2FD-F796-97DE17B2783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104" width="9.140625" hidden="1" customWidth="1"/>
    <col min="2" max="2" style="11107" width="9.140625" hidden="1" customWidth="1"/>
    <col min="3" max="3" style="12234" width="4.7109375" customWidth="1"/>
    <col min="4" max="4" style="11107" width="6.28125" customWidth="1"/>
    <col min="5" max="5" style="11107" width="47.8515625" customWidth="1"/>
    <col min="6" max="6" style="11107" width="9.57421875" customWidth="1"/>
    <col min="7" max="7" style="10656" width="25.7109375" hidden="1" customWidth="1"/>
    <col min="8" max="8" style="10656" width="34.00390625" hidden="1" customWidth="1"/>
    <col min="9" max="9" style="11107" width="25.7109375" customWidth="1"/>
    <col min="10" max="10" style="11107" width="34.00390625" customWidth="1"/>
    <col min="11" max="11" style="10657" width="50.8515625" customWidth="1"/>
    <col min="12" max="20" style="11107" width="10.57421875"/>
    <col min="21" max="21" style="12235" width="10.57421875"/>
  </cols>
  <sheetData>
    <row s="10657" customFormat="1" customHeight="1" ht="15" hidden="1">
      <c r="C1" s="974"/>
      <c r="G1" s="718">
        <v>4</v>
      </c>
      <c r="I1" s="718">
        <v>4</v>
      </c>
      <c r="U1" s="721"/>
    </row>
    <row s="12198" customFormat="1" customHeight="1" ht="15" hidden="1">
      <c r="A2" s="650"/>
      <c r="C2" s="449"/>
      <c r="D2" s="632"/>
      <c r="E2" s="975"/>
      <c r="F2" s="824"/>
      <c r="G2" s="918"/>
      <c r="H2" s="918"/>
      <c r="I2" s="918"/>
      <c r="J2" s="918"/>
      <c r="U2" s="976"/>
    </row>
    <row s="10657" customFormat="1" customHeight="1" ht="15" hidden="1">
      <c r="C3" s="974"/>
      <c r="U3" s="721"/>
    </row>
    <row customHeight="1" ht="15">
      <c r="C4" s="449"/>
      <c r="D4" s="811"/>
      <c r="E4" s="811"/>
      <c r="F4" s="811"/>
      <c r="G4" s="811"/>
      <c r="H4" s="811"/>
      <c r="I4" s="811"/>
      <c r="J4" s="811"/>
    </row>
    <row customHeight="1" ht="63">
      <c r="C5" s="449"/>
      <c r="D5" s="2261" t="s">
        <v>1599</v>
      </c>
      <c r="E5" s="2262"/>
      <c r="F5" s="2262"/>
      <c r="G5" s="2262"/>
      <c r="H5" s="2262"/>
      <c r="I5" s="2262"/>
      <c r="J5" s="2263"/>
    </row>
    <row customHeight="1" ht="15">
      <c r="C6" s="449"/>
      <c r="D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3"/>
      <c r="F6" s="2333"/>
      <c r="G6" s="2333"/>
      <c r="H6" s="2333"/>
      <c r="I6" s="2333"/>
      <c r="J6" s="2334"/>
      <c r="K6" s="839"/>
    </row>
    <row customHeight="1" ht="15">
      <c r="C7" s="449"/>
      <c r="D7" s="1056"/>
      <c r="E7" s="811"/>
      <c r="F7" s="811"/>
      <c r="G7" s="839">
        <v>22</v>
      </c>
      <c r="I7" s="839">
        <v>1</v>
      </c>
      <c r="J7" s="1056"/>
    </row>
    <row s="10656" customFormat="1" customHeight="1" ht="0.75">
      <c r="A8" s="1063"/>
      <c r="C8" s="449"/>
      <c r="D8" s="811"/>
      <c r="E8" s="811"/>
      <c r="F8" s="811"/>
      <c r="G8" s="839"/>
      <c r="H8" s="1056"/>
      <c r="I8" s="839" t="s">
        <v>116</v>
      </c>
      <c r="J8" s="1056"/>
      <c r="K8" s="718"/>
      <c r="U8" s="977"/>
    </row>
    <row customHeight="1" ht="15">
      <c r="C9" s="449"/>
      <c r="D9" s="1013"/>
      <c r="E9" s="2610" t="s">
        <v>105</v>
      </c>
      <c r="F9" s="2611"/>
      <c r="G9" s="2608" t="str">
        <f>IF(G8="","",INDEX(DIFFERENTIATION_UNMERGE_VD,MATCH(G8,DIFFERENTIATION_ID_DIFF,0)))</f>
        <v/>
      </c>
      <c r="H9" s="2609"/>
      <c r="I9" s="26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609"/>
      <c r="K9" s="2359" t="s">
        <v>292</v>
      </c>
    </row>
    <row s="10656" customFormat="1" customHeight="1" ht="15">
      <c r="A10" s="1063"/>
      <c r="C10" s="449"/>
      <c r="D10" s="1013"/>
      <c r="E10" s="2610" t="s">
        <v>1421</v>
      </c>
      <c r="F10" s="2611"/>
      <c r="G10" s="2608" t="str">
        <f>IF(G8="","",INDEX(DIFFERENTIATION_UNMERGE_AREA,MATCH(G8,DIFFERENTIATION_ID_DIFF,0)))</f>
        <v/>
      </c>
      <c r="H10" s="2609"/>
      <c r="I10" s="2608" t="str">
        <f>IF(I8="","",INDEX(DIFFERENTIATION_UNMERGE_AREA,MATCH(I8,DIFFERENTIATION_ID_DIFF,0)))</f>
        <v>Территория 1</v>
      </c>
      <c r="J10" s="2609"/>
      <c r="K10" s="2607"/>
      <c r="U10" s="977"/>
    </row>
    <row s="10656" customFormat="1" customHeight="1" ht="15">
      <c r="A11" s="1063"/>
      <c r="C11" s="449"/>
      <c r="D11" s="1013"/>
      <c r="E11" s="2610" t="s">
        <v>1422</v>
      </c>
      <c r="F11" s="2611"/>
      <c r="G11" s="2608" t="str">
        <f>IF(G8="","",INDEX(DIFFERENTIATION_UNMERGE_SYSTEM,MATCH(G8,DIFFERENTIATION_ID_DIFF,0)))</f>
        <v/>
      </c>
      <c r="H11" s="2609"/>
      <c r="I11" s="2608" t="str">
        <f>IF(I8="","",INDEX(DIFFERENTIATION_UNMERGE_SYSTEM,MATCH(I8,DIFFERENTIATION_ID_DIFF,0)))</f>
        <v>без дифференциации</v>
      </c>
      <c r="J11" s="2609"/>
      <c r="K11" s="2607"/>
      <c r="U11" s="977"/>
    </row>
    <row s="10656" customFormat="1" customHeight="1" ht="15">
      <c r="A12" s="1063"/>
      <c r="C12" s="449"/>
      <c r="D12" s="2612" t="s">
        <v>291</v>
      </c>
      <c r="E12" s="2613"/>
      <c r="F12" s="2613"/>
      <c r="G12" s="1201"/>
      <c r="H12" s="1201"/>
      <c r="I12" s="1201"/>
      <c r="J12" s="1201"/>
      <c r="K12" s="2607"/>
      <c r="U12" s="977"/>
    </row>
    <row customHeight="1" ht="33.75">
      <c r="C13" s="449"/>
      <c r="D13" s="1112" t="s">
        <v>88</v>
      </c>
      <c r="E13" s="1115" t="s">
        <v>293</v>
      </c>
      <c r="F13" s="1115" t="s">
        <v>1600</v>
      </c>
      <c r="G13" s="1116" t="s">
        <v>294</v>
      </c>
      <c r="H13" s="1115" t="s">
        <v>383</v>
      </c>
      <c r="I13" s="1116" t="s">
        <v>294</v>
      </c>
      <c r="J13" s="1115" t="s">
        <v>383</v>
      </c>
      <c r="K13" s="2360"/>
    </row>
    <row customHeight="1" ht="15" hidden="1">
      <c r="C14" s="449"/>
      <c r="D14" s="895" t="s">
        <v>99</v>
      </c>
      <c r="E14" s="895" t="s">
        <v>109</v>
      </c>
      <c r="F14" s="895" t="s">
        <v>90</v>
      </c>
      <c r="G14" s="961" t="str">
        <f>G1&amp;".1"</f>
        <v>4.1</v>
      </c>
      <c r="H14" s="961"/>
      <c r="I14" s="961" t="str">
        <f>I1&amp;".1"</f>
        <v>4.1</v>
      </c>
      <c r="J14" s="961"/>
      <c r="K14" s="564"/>
    </row>
    <row customHeight="1" ht="22.5" hidden="1">
      <c r="A15" s="807"/>
      <c r="C15" s="828"/>
      <c r="D15" s="823">
        <v>1</v>
      </c>
      <c r="E15" s="979" t="s">
        <v>1601</v>
      </c>
      <c r="F15" s="823" t="s">
        <v>1602</v>
      </c>
      <c r="G15" s="980"/>
      <c r="H15" s="980"/>
      <c r="I15" s="980"/>
      <c r="J15" s="980"/>
      <c r="K15" s="564" t="s">
        <v>1603</v>
      </c>
    </row>
    <row customHeight="1" ht="22.5" hidden="1">
      <c r="A16" s="807"/>
      <c r="C16" s="828"/>
      <c r="D16" s="823">
        <v>2</v>
      </c>
      <c r="E16" s="554" t="s">
        <v>1604</v>
      </c>
      <c r="F16" s="823" t="s">
        <v>1605</v>
      </c>
      <c r="G16" s="980"/>
      <c r="H16" s="980"/>
      <c r="I16" s="980"/>
      <c r="J16" s="980"/>
      <c r="K16" s="564" t="s">
        <v>1606</v>
      </c>
    </row>
    <row customHeight="1" ht="123.75" hidden="1">
      <c r="A17" s="807"/>
      <c r="C17" s="828"/>
      <c r="D17" s="823">
        <v>3</v>
      </c>
      <c r="E17" s="554" t="s">
        <v>1607</v>
      </c>
      <c r="F17" s="823" t="s">
        <v>297</v>
      </c>
      <c r="G17" s="980"/>
      <c r="H17" s="980"/>
      <c r="I17" s="980"/>
      <c r="J17" s="980"/>
      <c r="K17" s="564" t="s">
        <v>1608</v>
      </c>
    </row>
    <row customHeight="1" ht="45">
      <c r="A18" s="807"/>
      <c r="C18" s="828"/>
      <c r="D18" s="823">
        <v>4</v>
      </c>
      <c r="E18" s="554" t="s">
        <v>1609</v>
      </c>
      <c r="F18" s="823" t="s">
        <v>297</v>
      </c>
      <c r="G18" s="1117" t="s">
        <v>297</v>
      </c>
      <c r="H18" s="1118" t="s">
        <v>297</v>
      </c>
      <c r="I18" s="823" t="s">
        <v>297</v>
      </c>
      <c r="J18" s="880" t="s">
        <v>297</v>
      </c>
      <c r="K18" s="564" t="s">
        <v>1610</v>
      </c>
    </row>
    <row customHeight="1" ht="33.75">
      <c r="A19" s="807"/>
      <c r="C19" s="828"/>
      <c r="D19" s="841" t="s">
        <v>612</v>
      </c>
      <c r="E19" s="861" t="s">
        <v>1611</v>
      </c>
      <c r="F19" s="823" t="s">
        <v>1612</v>
      </c>
      <c r="G19" s="1125"/>
      <c r="H19" s="376"/>
      <c r="I19" s="1125"/>
      <c r="J19" s="1126"/>
      <c r="K19" s="981"/>
    </row>
    <row customHeight="1" ht="33.75">
      <c r="A20" s="807"/>
      <c r="C20" s="828"/>
      <c r="D20" s="841" t="s">
        <v>631</v>
      </c>
      <c r="E20" s="861" t="s">
        <v>1613</v>
      </c>
      <c r="F20" s="823" t="s">
        <v>1614</v>
      </c>
      <c r="G20" s="1125"/>
      <c r="H20" s="376"/>
      <c r="I20" s="1125"/>
      <c r="J20" s="376"/>
      <c r="K20" s="981"/>
    </row>
    <row customHeight="1" ht="45">
      <c r="A21" s="807"/>
      <c r="C21" s="828"/>
      <c r="D21" s="841" t="s">
        <v>1615</v>
      </c>
      <c r="E21" s="861" t="s">
        <v>1616</v>
      </c>
      <c r="F21" s="823" t="s">
        <v>1617</v>
      </c>
      <c r="G21" s="982"/>
      <c r="H21" s="376"/>
      <c r="I21" s="982"/>
      <c r="J21" s="376"/>
      <c r="K21" s="981"/>
    </row>
    <row customHeight="1" ht="67.5" hidden="1">
      <c r="A22" s="807"/>
      <c r="C22" s="828"/>
      <c r="D22" s="823">
        <v>5</v>
      </c>
      <c r="E22" s="554" t="s">
        <v>1618</v>
      </c>
      <c r="F22" s="823" t="s">
        <v>1619</v>
      </c>
      <c r="G22" s="983"/>
      <c r="H22" s="984"/>
      <c r="I22" s="983"/>
      <c r="J22" s="984"/>
      <c r="K22" s="564" t="s">
        <v>1620</v>
      </c>
    </row>
    <row customHeight="1" ht="33.75" hidden="1">
      <c r="C23" s="753"/>
      <c r="D23" s="823">
        <v>6</v>
      </c>
      <c r="E23" s="554" t="s">
        <v>1621</v>
      </c>
      <c r="F23" s="823" t="s">
        <v>1622</v>
      </c>
      <c r="G23" s="983"/>
      <c r="H23" s="983"/>
      <c r="I23" s="983"/>
      <c r="J23" s="983"/>
      <c r="K23" s="564" t="s">
        <v>1623</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9BD3-C064-E15D-5BDA-7F9C027BE1A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104" width="9.140625" hidden="1" customWidth="1"/>
    <col min="2" max="2" style="11107" width="9.140625" hidden="1" customWidth="1"/>
    <col min="3" max="3" style="12234" width="4.7109375" customWidth="1"/>
    <col min="4" max="4" style="11107" width="6.28125" customWidth="1"/>
    <col min="5" max="5" style="11107" width="36.7109375" customWidth="1"/>
    <col min="6" max="6" style="11107" width="9.57421875" customWidth="1"/>
    <col min="7" max="7" style="10656" width="42.421875" hidden="1" customWidth="1"/>
    <col min="8" max="8" style="11107" width="40.7109375" customWidth="1"/>
    <col min="9" max="9" style="10657" width="93.421875" customWidth="1"/>
    <col min="10" max="17" style="11107" width="10.57421875"/>
    <col min="18" max="18" style="12235" width="10.57421875"/>
  </cols>
  <sheetData>
    <row s="10657"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657" customFormat="1" customHeight="1" ht="15" hidden="1">
      <c r="C3" s="974"/>
      <c r="R3" s="721"/>
    </row>
    <row customHeight="1" ht="15">
      <c r="C4" s="449"/>
      <c r="D4" s="811"/>
      <c r="E4" s="811"/>
      <c r="F4" s="811"/>
      <c r="G4" s="811"/>
      <c r="H4" s="811"/>
    </row>
    <row customHeight="1" ht="47.25">
      <c r="C5" s="449"/>
      <c r="D5" s="261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6"/>
      <c r="F5" s="2616"/>
      <c r="G5" s="2616"/>
      <c r="H5" s="2616"/>
      <c r="I5" s="839"/>
    </row>
    <row customHeight="1" ht="15">
      <c r="C6" s="449"/>
      <c r="D6" s="26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17"/>
      <c r="F6" s="2617"/>
      <c r="G6" s="2617"/>
      <c r="H6" s="2617"/>
      <c r="I6" s="839"/>
    </row>
    <row s="10656" customFormat="1" customHeight="1" ht="15">
      <c r="A7" s="1063"/>
      <c r="C7" s="449"/>
      <c r="D7" s="978"/>
      <c r="E7" s="978"/>
      <c r="F7" s="978"/>
      <c r="G7" s="978"/>
      <c r="H7" s="1056"/>
      <c r="I7" s="839"/>
      <c r="R7" s="977"/>
    </row>
    <row customHeight="1" ht="0.75">
      <c r="C8" s="449"/>
      <c r="D8" s="811"/>
      <c r="E8" s="811"/>
      <c r="F8" s="811"/>
      <c r="G8" s="811"/>
      <c r="H8" s="839" t="s">
        <v>116</v>
      </c>
    </row>
    <row customHeight="1" ht="15">
      <c r="C9" s="449"/>
      <c r="D9" s="1013"/>
      <c r="E9" s="2610" t="s">
        <v>105</v>
      </c>
      <c r="F9" s="2611"/>
      <c r="G9" s="1124" t="str">
        <f>IF(G8="","",INDEX(DIFFERENTIATION_UNMERGE_VD,MATCH(G8,DIFFERENTIATION_ID_DIFF,0)))</f>
        <v/>
      </c>
      <c r="H9" s="112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42" t="s">
        <v>292</v>
      </c>
    </row>
    <row s="10656" customFormat="1" customHeight="1" ht="15">
      <c r="A10" s="1063"/>
      <c r="C10" s="449"/>
      <c r="D10" s="1013"/>
      <c r="E10" s="2610" t="s">
        <v>1421</v>
      </c>
      <c r="F10" s="2611"/>
      <c r="G10" s="1124" t="str">
        <f>IF(G8="","",INDEX(DIFFERENTIATION_UNMERGE_AREA,MATCH(G8,DIFFERENTIATION_ID_DIFF,0)))</f>
        <v/>
      </c>
      <c r="H10" s="1124" t="str">
        <f>IF(H8="","",INDEX(DIFFERENTIATION_UNMERGE_AREA,MATCH(H8,DIFFERENTIATION_ID_DIFF,0)))</f>
        <v>Территория 1</v>
      </c>
      <c r="I10" s="2342"/>
      <c r="R10" s="977"/>
    </row>
    <row s="10656" customFormat="1" customHeight="1" ht="15">
      <c r="A11" s="1063"/>
      <c r="C11" s="449"/>
      <c r="D11" s="1013"/>
      <c r="E11" s="2610" t="s">
        <v>1422</v>
      </c>
      <c r="F11" s="2611"/>
      <c r="G11" s="1124" t="str">
        <f>IF(G8="","",INDEX(DIFFERENTIATION_UNMERGE_SYSTEM,MATCH(G8,DIFFERENTIATION_ID_DIFF,0)))</f>
        <v/>
      </c>
      <c r="H11" s="1124" t="str">
        <f>IF(H8="","",INDEX(DIFFERENTIATION_UNMERGE_SYSTEM,MATCH(H8,DIFFERENTIATION_ID_DIFF,0)))</f>
        <v>без дифференциации</v>
      </c>
      <c r="I11" s="2342"/>
      <c r="R11" s="977"/>
    </row>
    <row s="10656" customFormat="1" customHeight="1" ht="15">
      <c r="A12" s="1063"/>
      <c r="C12" s="449"/>
      <c r="D12" s="2612" t="s">
        <v>291</v>
      </c>
      <c r="E12" s="2613"/>
      <c r="F12" s="2613"/>
      <c r="G12" s="1201"/>
      <c r="H12" s="1201"/>
      <c r="I12" s="2342"/>
      <c r="R12" s="977"/>
    </row>
    <row customHeight="1" ht="33.75">
      <c r="C13" s="449"/>
      <c r="D13" s="1065" t="s">
        <v>88</v>
      </c>
      <c r="E13" s="1064" t="s">
        <v>293</v>
      </c>
      <c r="F13" s="1064" t="s">
        <v>1600</v>
      </c>
      <c r="G13" s="1116" t="s">
        <v>294</v>
      </c>
      <c r="H13" s="1058" t="s">
        <v>294</v>
      </c>
      <c r="I13" s="2342"/>
    </row>
    <row customHeight="1" ht="15" hidden="1">
      <c r="C14" s="449"/>
      <c r="D14" s="895" t="s">
        <v>99</v>
      </c>
      <c r="E14" s="895" t="s">
        <v>109</v>
      </c>
      <c r="F14" s="895" t="s">
        <v>90</v>
      </c>
      <c r="G14" s="961" t="str">
        <f>G1&amp;".1"</f>
        <v>.1</v>
      </c>
      <c r="H14" s="961" t="str">
        <f>H1&amp;".1"</f>
        <v>4.1</v>
      </c>
      <c r="I14" s="564"/>
    </row>
    <row customHeight="1" ht="15">
      <c r="A15" s="807"/>
      <c r="C15" s="828"/>
      <c r="D15" s="823">
        <v>1</v>
      </c>
      <c r="E15" s="979" t="str">
        <f>TP_P_A</f>
        <v>Количество поданных заявок</v>
      </c>
      <c r="F15" s="823" t="s">
        <v>1624</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1624</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1624</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297</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1625</v>
      </c>
      <c r="E20" s="990"/>
      <c r="F20" s="811"/>
      <c r="G20" s="811"/>
      <c r="H20" s="811"/>
      <c r="I20" s="2168"/>
    </row>
    <row customHeight="1" ht="27.75">
      <c r="C21" s="753"/>
      <c r="D21" s="841" t="s">
        <v>306</v>
      </c>
      <c r="E21" s="972"/>
      <c r="F21" s="2166" t="str">
        <f>IF(TEMPLATE_SPHERE="HEAT","Гкал/час","тыс. куб. м/сутки")</f>
        <v>Гкал/час</v>
      </c>
      <c r="G21" s="982"/>
      <c r="H21" s="982"/>
      <c r="I21" s="26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1626</v>
      </c>
      <c r="F22" s="874"/>
      <c r="G22" s="874"/>
      <c r="H22" s="874"/>
      <c r="I22" s="2615"/>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E56DD-1733-D7D3-E27D-7D98514E181D}"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104" width="9.140625" hidden="1" customWidth="1"/>
    <col min="2" max="2" style="11107" width="9.140625" hidden="1" customWidth="1"/>
    <col min="3" max="3" style="12234" width="4.7109375" customWidth="1"/>
    <col min="4" max="4" style="11107" width="6.28125" customWidth="1"/>
    <col min="5" max="5" style="11107" width="36.7109375" customWidth="1"/>
    <col min="6" max="6" style="11107" width="9.57421875" customWidth="1"/>
    <col min="7" max="7" style="10656" width="25.7109375" hidden="1" customWidth="1"/>
    <col min="8" max="8" style="10656" width="33.7109375" hidden="1" customWidth="1"/>
    <col min="9" max="9" style="11107" width="25.7109375" customWidth="1"/>
    <col min="10" max="10" style="11107" width="33.7109375" customWidth="1"/>
    <col min="11" max="11" style="10657" width="93.421875" customWidth="1"/>
    <col min="12" max="20" style="11107" width="10.57421875"/>
    <col min="21" max="21" style="12235" width="10.57421875"/>
  </cols>
  <sheetData>
    <row s="10657" customFormat="1" customHeight="1" ht="15" hidden="1">
      <c r="C1" s="974"/>
      <c r="G1" s="718">
        <v>4</v>
      </c>
      <c r="I1" s="718">
        <v>4</v>
      </c>
      <c r="U1" s="721"/>
    </row>
    <row s="10657" customFormat="1" customHeight="1" ht="15" hidden="1">
      <c r="C2" s="974"/>
      <c r="U2" s="721"/>
    </row>
    <row customHeight="1" ht="22.5" hidden="1">
      <c r="A3" s="807"/>
      <c r="B3" s="2619"/>
      <c r="C3" s="2620"/>
      <c r="D3" s="991" t="str">
        <f>B3&amp;".1"</f>
        <v>.1</v>
      </c>
      <c r="E3" s="992" t="s">
        <v>1627</v>
      </c>
      <c r="F3" s="993" t="s">
        <v>297</v>
      </c>
      <c r="G3" s="988"/>
      <c r="H3" s="701"/>
      <c r="I3" s="988"/>
      <c r="J3" s="701"/>
      <c r="K3" s="564" t="s">
        <v>1628</v>
      </c>
    </row>
    <row customHeight="1" ht="15" hidden="1">
      <c r="A4" s="807"/>
      <c r="B4" s="2619"/>
      <c r="C4" s="2620"/>
      <c r="D4" s="991" t="str">
        <f>B3&amp;".2"</f>
        <v>.2</v>
      </c>
      <c r="E4" s="992" t="s">
        <v>1629</v>
      </c>
      <c r="F4" s="993" t="s">
        <v>297</v>
      </c>
      <c r="G4" s="2118" t="s">
        <v>17</v>
      </c>
      <c r="H4" s="701"/>
      <c r="I4" s="2118" t="s">
        <v>17</v>
      </c>
      <c r="J4" s="701"/>
      <c r="K4" s="564" t="s">
        <v>1630</v>
      </c>
    </row>
    <row s="10657" customFormat="1" customHeight="1" ht="15" hidden="1">
      <c r="C5" s="974"/>
      <c r="U5" s="721"/>
    </row>
    <row customHeight="1" ht="22.5" hidden="1">
      <c r="A6" s="807"/>
      <c r="B6" s="2619"/>
      <c r="C6" s="2620"/>
      <c r="D6" s="991" t="str">
        <f>B6&amp;".1"</f>
        <v>.1</v>
      </c>
      <c r="E6" s="992" t="s">
        <v>1631</v>
      </c>
      <c r="F6" s="993" t="s">
        <v>297</v>
      </c>
      <c r="G6" s="988"/>
      <c r="H6" s="701"/>
      <c r="I6" s="988"/>
      <c r="J6" s="701"/>
      <c r="K6" s="564" t="s">
        <v>1632</v>
      </c>
    </row>
    <row customHeight="1" ht="15" hidden="1">
      <c r="A7" s="807"/>
      <c r="B7" s="2619"/>
      <c r="C7" s="2620"/>
      <c r="D7" s="991" t="str">
        <f>B6&amp;".2"</f>
        <v>.2</v>
      </c>
      <c r="E7" s="992" t="s">
        <v>1629</v>
      </c>
      <c r="F7" s="993" t="s">
        <v>297</v>
      </c>
      <c r="G7" s="2118" t="s">
        <v>17</v>
      </c>
      <c r="H7" s="701"/>
      <c r="I7" s="2118" t="s">
        <v>17</v>
      </c>
      <c r="J7" s="701"/>
      <c r="K7" s="564" t="s">
        <v>1630</v>
      </c>
    </row>
    <row s="10657" customFormat="1" customHeight="1" ht="15" hidden="1">
      <c r="C8" s="974"/>
      <c r="U8" s="721"/>
    </row>
    <row customHeight="1" ht="22.5" hidden="1">
      <c r="A9" s="807"/>
      <c r="B9" s="2619"/>
      <c r="C9" s="2620"/>
      <c r="D9" s="991" t="str">
        <f>B9&amp;".1"</f>
        <v>.1</v>
      </c>
      <c r="E9" s="992" t="s">
        <v>1633</v>
      </c>
      <c r="F9" s="993" t="s">
        <v>297</v>
      </c>
      <c r="G9" s="999" t="s">
        <v>17</v>
      </c>
      <c r="H9" s="701" t="s">
        <v>17</v>
      </c>
      <c r="I9" s="999" t="s">
        <v>17</v>
      </c>
      <c r="J9" s="701" t="s">
        <v>17</v>
      </c>
      <c r="K9" s="564"/>
    </row>
    <row customHeight="1" ht="15" hidden="1">
      <c r="A10" s="807"/>
      <c r="B10" s="2619"/>
      <c r="C10" s="2620"/>
      <c r="D10" s="991" t="str">
        <f>B9&amp;".2"</f>
        <v>.2</v>
      </c>
      <c r="E10" s="992" t="s">
        <v>1634</v>
      </c>
      <c r="F10" s="993" t="s">
        <v>297</v>
      </c>
      <c r="G10" s="2112" t="s">
        <v>17</v>
      </c>
      <c r="H10" s="701" t="s">
        <v>17</v>
      </c>
      <c r="I10" s="2112" t="s">
        <v>17</v>
      </c>
      <c r="J10" s="701" t="s">
        <v>17</v>
      </c>
      <c r="K10" s="564" t="s">
        <v>1635</v>
      </c>
    </row>
    <row customHeight="1" ht="15" hidden="1">
      <c r="A11" s="807"/>
      <c r="B11" s="2619"/>
      <c r="C11" s="2620"/>
      <c r="D11" s="991" t="str">
        <f>B9&amp;".3"</f>
        <v>.3</v>
      </c>
      <c r="E11" s="992" t="s">
        <v>1636</v>
      </c>
      <c r="F11" s="993" t="s">
        <v>297</v>
      </c>
      <c r="G11" s="2112" t="s">
        <v>17</v>
      </c>
      <c r="H11" s="701" t="s">
        <v>17</v>
      </c>
      <c r="I11" s="2112" t="s">
        <v>17</v>
      </c>
      <c r="J11" s="701" t="s">
        <v>17</v>
      </c>
      <c r="K11" s="564" t="s">
        <v>1637</v>
      </c>
    </row>
    <row s="10657" customFormat="1" customHeight="1" ht="15" hidden="1">
      <c r="C12" s="974"/>
      <c r="U12" s="721"/>
    </row>
    <row customHeight="1" ht="33.75" hidden="1">
      <c r="A13" s="807"/>
      <c r="B13" s="2619"/>
      <c r="C13" s="2620"/>
      <c r="D13" s="991" t="str">
        <f>B13&amp;".1"</f>
        <v>.1</v>
      </c>
      <c r="E13" s="992" t="s">
        <v>1638</v>
      </c>
      <c r="F13" s="993" t="s">
        <v>297</v>
      </c>
      <c r="G13" s="999" t="s">
        <v>17</v>
      </c>
      <c r="H13" s="701" t="s">
        <v>17</v>
      </c>
      <c r="I13" s="999" t="s">
        <v>17</v>
      </c>
      <c r="J13" s="701" t="s">
        <v>17</v>
      </c>
      <c r="K13" s="564" t="s">
        <v>1639</v>
      </c>
    </row>
    <row customHeight="1" ht="15" hidden="1">
      <c r="B14" s="2619"/>
      <c r="C14" s="2620"/>
      <c r="D14" s="991" t="str">
        <f>B13&amp;".2"</f>
        <v>.2</v>
      </c>
      <c r="E14" s="992" t="s">
        <v>1640</v>
      </c>
      <c r="F14" s="993" t="s">
        <v>297</v>
      </c>
      <c r="G14" s="2112" t="s">
        <v>17</v>
      </c>
      <c r="H14" s="701" t="s">
        <v>17</v>
      </c>
      <c r="I14" s="2112" t="s">
        <v>17</v>
      </c>
      <c r="J14" s="701" t="s">
        <v>17</v>
      </c>
      <c r="K14" s="564" t="s">
        <v>1641</v>
      </c>
    </row>
    <row s="10657" customFormat="1" customHeight="1" ht="15" hidden="1">
      <c r="C15" s="974"/>
      <c r="U15" s="721"/>
    </row>
    <row s="10657" customFormat="1" customHeight="1" ht="15" hidden="1">
      <c r="C16" s="974"/>
      <c r="U16" s="721"/>
    </row>
    <row s="10657" customFormat="1" customHeight="1" ht="15" hidden="1">
      <c r="C17" s="974"/>
      <c r="U17" s="721"/>
    </row>
    <row s="10657" customFormat="1" customHeight="1" ht="15" hidden="1">
      <c r="C18" s="974"/>
      <c r="U18" s="721"/>
    </row>
    <row s="10657" customFormat="1" customHeight="1" ht="15" hidden="1">
      <c r="C19" s="974"/>
      <c r="U19" s="721"/>
    </row>
    <row s="10657" customFormat="1" customHeight="1" ht="15" hidden="1">
      <c r="C20" s="974"/>
      <c r="U20" s="721"/>
    </row>
    <row customHeight="1" ht="15">
      <c r="C21" s="449"/>
      <c r="D21" s="811"/>
      <c r="E21" s="811"/>
      <c r="F21" s="811"/>
      <c r="G21" s="811"/>
      <c r="H21" s="811"/>
      <c r="I21" s="811"/>
      <c r="J21" s="811"/>
    </row>
    <row customHeight="1" ht="27.75">
      <c r="C22" s="449"/>
      <c r="D22" s="2616" t="s">
        <v>1642</v>
      </c>
      <c r="E22" s="2616"/>
      <c r="F22" s="2616"/>
      <c r="G22" s="2616"/>
      <c r="H22" s="2616"/>
      <c r="I22" s="2616"/>
      <c r="J22" s="978"/>
      <c r="K22" s="839"/>
    </row>
    <row customHeight="1" ht="15">
      <c r="C23" s="449"/>
      <c r="D23" s="26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617"/>
      <c r="F23" s="2617"/>
      <c r="G23" s="2617"/>
      <c r="H23" s="2617"/>
      <c r="I23" s="2617"/>
      <c r="J23" s="978"/>
      <c r="K23" s="839"/>
    </row>
    <row customHeight="1" ht="15">
      <c r="C24" s="449"/>
      <c r="D24" s="811"/>
      <c r="E24" s="811"/>
      <c r="F24" s="811"/>
      <c r="G24" s="839">
        <v>22</v>
      </c>
      <c r="H24" s="1056"/>
      <c r="I24" s="839">
        <v>22</v>
      </c>
      <c r="J24" s="1056"/>
    </row>
    <row s="10656" customFormat="1" customHeight="1" ht="0.75">
      <c r="A25" s="1063"/>
      <c r="C25" s="449"/>
      <c r="D25" s="811"/>
      <c r="E25" s="811"/>
      <c r="F25" s="811"/>
      <c r="G25" s="839"/>
      <c r="H25" s="1056"/>
      <c r="I25" s="839" t="s">
        <v>116</v>
      </c>
      <c r="J25" s="1056"/>
      <c r="K25" s="718"/>
      <c r="U25" s="977"/>
    </row>
    <row customHeight="1" ht="15">
      <c r="C26" s="449"/>
      <c r="D26" s="1013"/>
      <c r="E26" s="2610" t="s">
        <v>105</v>
      </c>
      <c r="F26" s="2611"/>
      <c r="G26" s="2608" t="str">
        <f>IF(G25="","",INDEX(DIFFERENTIATION_UNMERGE_VD,MATCH(G25,DIFFERENTIATION_ID_DIFF,0)))</f>
        <v/>
      </c>
      <c r="H26" s="2609"/>
      <c r="I26" s="26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609"/>
      <c r="K26" s="2359" t="s">
        <v>292</v>
      </c>
    </row>
    <row s="10656" customFormat="1" customHeight="1" ht="15">
      <c r="A27" s="1063"/>
      <c r="C27" s="449"/>
      <c r="D27" s="1013"/>
      <c r="E27" s="2610" t="s">
        <v>1421</v>
      </c>
      <c r="F27" s="2611"/>
      <c r="G27" s="2608" t="str">
        <f>IF(G25="","",INDEX(DIFFERENTIATION_UNMERGE_AREA,MATCH(G25,DIFFERENTIATION_ID_DIFF,0)))</f>
        <v/>
      </c>
      <c r="H27" s="2609"/>
      <c r="I27" s="2608" t="str">
        <f>IF(I25="","",INDEX(DIFFERENTIATION_UNMERGE_AREA,MATCH(I25,DIFFERENTIATION_ID_DIFF,0)))</f>
        <v>Территория 1</v>
      </c>
      <c r="J27" s="2609"/>
      <c r="K27" s="2618"/>
      <c r="U27" s="977"/>
    </row>
    <row s="10656" customFormat="1" customHeight="1" ht="15">
      <c r="A28" s="1063"/>
      <c r="C28" s="449"/>
      <c r="D28" s="1013"/>
      <c r="E28" s="2610" t="s">
        <v>1422</v>
      </c>
      <c r="F28" s="2611"/>
      <c r="G28" s="2608" t="str">
        <f>IF(G25="","",INDEX(DIFFERENTIATION_UNMERGE_SYSTEM,MATCH(G25,DIFFERENTIATION_ID_DIFF,0)))</f>
        <v/>
      </c>
      <c r="H28" s="2609"/>
      <c r="I28" s="2608" t="str">
        <f>IF(I25="","",INDEX(DIFFERENTIATION_UNMERGE_SYSTEM,MATCH(I25,DIFFERENTIATION_ID_DIFF,0)))</f>
        <v>без дифференциации</v>
      </c>
      <c r="J28" s="2609"/>
      <c r="K28" s="2618"/>
      <c r="U28" s="977"/>
    </row>
    <row s="10656" customFormat="1" customHeight="1" ht="15">
      <c r="A29" s="1063"/>
      <c r="C29" s="449"/>
      <c r="D29" s="2612" t="s">
        <v>291</v>
      </c>
      <c r="E29" s="2613"/>
      <c r="F29" s="2613"/>
      <c r="G29" s="1201"/>
      <c r="H29" s="1201"/>
      <c r="I29" s="1201"/>
      <c r="J29" s="1202"/>
      <c r="K29" s="2618"/>
      <c r="U29" s="977"/>
    </row>
    <row customHeight="1" ht="33.75">
      <c r="C30" s="449"/>
      <c r="D30" s="1065" t="s">
        <v>88</v>
      </c>
      <c r="E30" s="1064" t="s">
        <v>293</v>
      </c>
      <c r="F30" s="1064" t="s">
        <v>1600</v>
      </c>
      <c r="G30" s="1116" t="s">
        <v>294</v>
      </c>
      <c r="H30" s="1115" t="s">
        <v>383</v>
      </c>
      <c r="I30" s="986" t="s">
        <v>294</v>
      </c>
      <c r="J30" s="767" t="s">
        <v>383</v>
      </c>
      <c r="K30" s="2358"/>
    </row>
    <row customHeight="1" ht="15" hidden="1">
      <c r="C31" s="449"/>
      <c r="D31" s="895"/>
      <c r="E31" s="895"/>
      <c r="F31" s="895"/>
      <c r="G31" s="961"/>
      <c r="H31" s="961"/>
      <c r="I31" s="961"/>
      <c r="J31" s="961"/>
      <c r="K31" s="564"/>
    </row>
    <row customHeight="1" ht="22.5">
      <c r="A32" s="807"/>
      <c r="B32" s="807" t="s">
        <v>1643</v>
      </c>
      <c r="C32" s="828"/>
      <c r="D32" s="994">
        <v>1</v>
      </c>
      <c r="E32" s="995" t="s">
        <v>1644</v>
      </c>
      <c r="F32" s="993" t="s">
        <v>297</v>
      </c>
      <c r="G32" s="1121" t="s">
        <v>297</v>
      </c>
      <c r="H32" s="1121" t="s">
        <v>297</v>
      </c>
      <c r="I32" s="993" t="s">
        <v>297</v>
      </c>
      <c r="J32" s="993" t="s">
        <v>297</v>
      </c>
      <c r="K32" s="564"/>
    </row>
    <row customHeight="1" ht="11.25">
      <c r="A33" s="807"/>
      <c r="C33" s="807"/>
      <c r="D33" s="633"/>
      <c r="E33" s="882" t="s">
        <v>1557</v>
      </c>
      <c r="F33" s="874"/>
      <c r="G33" s="874"/>
      <c r="H33" s="874"/>
      <c r="I33" s="874"/>
      <c r="J33" s="874"/>
      <c r="K33" s="875"/>
      <c r="U33" s="807"/>
    </row>
    <row customHeight="1" ht="22.5">
      <c r="A34" s="807"/>
      <c r="B34" s="883" t="s">
        <v>1454</v>
      </c>
      <c r="C34" s="828"/>
      <c r="D34" s="994">
        <v>2</v>
      </c>
      <c r="E34" s="995" t="s">
        <v>1645</v>
      </c>
      <c r="F34" s="1128" t="s">
        <v>297</v>
      </c>
      <c r="G34" s="1128" t="s">
        <v>297</v>
      </c>
      <c r="H34" s="1128" t="s">
        <v>297</v>
      </c>
      <c r="I34" s="993"/>
      <c r="J34" s="993"/>
      <c r="K34" s="564"/>
    </row>
    <row customHeight="1" ht="11.25">
      <c r="A35" s="807"/>
      <c r="C35" s="807"/>
      <c r="D35" s="633"/>
      <c r="E35" s="882" t="s">
        <v>1646</v>
      </c>
      <c r="F35" s="874"/>
      <c r="G35" s="996"/>
      <c r="H35" s="874"/>
      <c r="I35" s="996"/>
      <c r="J35" s="874"/>
      <c r="K35" s="875"/>
      <c r="U35" s="807"/>
    </row>
    <row customHeight="1" ht="67.5">
      <c r="A36" s="807"/>
      <c r="B36" s="807" t="s">
        <v>1647</v>
      </c>
      <c r="C36" s="828"/>
      <c r="D36" s="994">
        <v>3</v>
      </c>
      <c r="E36" s="995" t="s">
        <v>1648</v>
      </c>
      <c r="F36" s="997" t="s">
        <v>297</v>
      </c>
      <c r="G36" s="1122" t="s">
        <v>1649</v>
      </c>
      <c r="H36" s="1121" t="s">
        <v>297</v>
      </c>
      <c r="I36" s="826" t="s">
        <v>1649</v>
      </c>
      <c r="J36" s="993" t="s">
        <v>297</v>
      </c>
      <c r="K36" s="564" t="s">
        <v>1650</v>
      </c>
    </row>
    <row customHeight="1" ht="11.25">
      <c r="A37" s="807"/>
      <c r="C37" s="807"/>
      <c r="D37" s="633"/>
      <c r="E37" s="882" t="s">
        <v>1651</v>
      </c>
      <c r="F37" s="874"/>
      <c r="G37" s="996"/>
      <c r="H37" s="996"/>
      <c r="I37" s="996"/>
      <c r="J37" s="996"/>
      <c r="K37" s="875"/>
      <c r="U37" s="807"/>
    </row>
    <row customHeight="1" ht="67.5">
      <c r="A38" s="807"/>
      <c r="B38" s="807" t="s">
        <v>1652</v>
      </c>
      <c r="C38" s="828"/>
      <c r="D38" s="994">
        <v>4</v>
      </c>
      <c r="E38" s="995" t="s">
        <v>1653</v>
      </c>
      <c r="F38" s="997" t="s">
        <v>297</v>
      </c>
      <c r="G38" s="1122" t="s">
        <v>1649</v>
      </c>
      <c r="H38" s="1123" t="s">
        <v>297</v>
      </c>
      <c r="I38" s="826" t="s">
        <v>1649</v>
      </c>
      <c r="J38" s="823" t="s">
        <v>297</v>
      </c>
      <c r="K38" s="981" t="s">
        <v>1654</v>
      </c>
    </row>
    <row customHeight="1" ht="11.25">
      <c r="A39" s="807"/>
      <c r="C39" s="807"/>
      <c r="D39" s="633"/>
      <c r="E39" s="882" t="s">
        <v>1655</v>
      </c>
      <c r="F39" s="874"/>
      <c r="G39" s="874"/>
      <c r="H39" s="998"/>
      <c r="I39" s="874"/>
      <c r="J39" s="998"/>
      <c r="K39" s="875"/>
      <c r="U39" s="80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EDD8B-D2F4-BBC5-8E0A-CE8A427C41B1}"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194" width="9.140625" hidden="1" customWidth="1"/>
    <col min="2" max="2" style="11754" width="9.140625" hidden="1" customWidth="1"/>
    <col min="3" max="3" style="11912" width="3.7109375" customWidth="1"/>
    <col min="4" max="4" style="12195" width="6.28125" customWidth="1"/>
    <col min="5" max="5" style="12195" width="46.7109375" customWidth="1"/>
    <col min="6" max="6" style="12195" width="35.7109375" customWidth="1"/>
    <col min="7" max="7" style="12195" width="3.7109375" customWidth="1"/>
    <col min="8" max="9" style="12195" width="11.7109375" customWidth="1"/>
    <col min="10" max="11" style="12195" width="35.7109375" customWidth="1"/>
    <col min="12" max="12" style="12195" width="84.8515625" hidden="1" customWidth="1"/>
    <col min="13" max="13" style="12195" width="10.57421875"/>
    <col min="14" max="15" style="12196" width="10.57421875"/>
    <col min="16" max="32" style="12195"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591" t="s">
        <v>1656</v>
      </c>
      <c r="E5" s="2591"/>
      <c r="F5" s="2591"/>
      <c r="G5" s="2591"/>
      <c r="H5" s="2591"/>
      <c r="I5" s="2591"/>
      <c r="J5" s="2591"/>
      <c r="K5" s="2591"/>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82">
        <f>IF(datePr_ch="",IF(datePr="","",datePr),datePr_ch)</f>
      </c>
      <c r="G7" s="2482"/>
      <c r="H7" s="2482"/>
      <c r="I7" s="2482"/>
      <c r="J7" s="2482"/>
      <c r="K7" s="2482"/>
      <c r="L7" s="695"/>
      <c r="M7" s="612"/>
    </row>
    <row customHeight="1" ht="18.75">
      <c r="C8" s="667"/>
      <c r="D8" s="651"/>
      <c r="E8" s="581">
        <f>"Номер подачи заявления об "&amp;IF(numberPr_ch="","утверждении","изменении")&amp;" тарифов"</f>
      </c>
      <c r="F8" s="2482">
        <f>IF(numberPr_ch="",IF(numberPr="","",numberPr),numberPr_ch)</f>
      </c>
      <c r="G8" s="2482"/>
      <c r="H8" s="2482"/>
      <c r="I8" s="2482"/>
      <c r="J8" s="2482"/>
      <c r="K8" s="2482"/>
      <c r="L8" s="695"/>
      <c r="M8" s="612"/>
    </row>
    <row customHeight="1" ht="14.25">
      <c r="C9" s="667"/>
      <c r="D9" s="651"/>
      <c r="E9" s="686"/>
      <c r="F9" s="686"/>
      <c r="G9" s="686"/>
      <c r="H9" s="686"/>
      <c r="I9" s="686"/>
      <c r="J9" s="686"/>
      <c r="K9" s="1056" t="s">
        <v>1657</v>
      </c>
      <c r="L9" s="465"/>
    </row>
    <row customHeight="1" ht="21">
      <c r="C10" s="667"/>
      <c r="D10" s="2366" t="s">
        <v>291</v>
      </c>
      <c r="E10" s="2366"/>
      <c r="F10" s="2366"/>
      <c r="G10" s="2366"/>
      <c r="H10" s="2366"/>
      <c r="I10" s="2366"/>
      <c r="J10" s="2366"/>
      <c r="K10" s="2366"/>
      <c r="L10" s="2472" t="s">
        <v>292</v>
      </c>
    </row>
    <row customHeight="1" ht="21">
      <c r="C11" s="667"/>
      <c r="D11" s="2509" t="s">
        <v>88</v>
      </c>
      <c r="E11" s="2627" t="s">
        <v>122</v>
      </c>
      <c r="F11" s="2627" t="s">
        <v>123</v>
      </c>
      <c r="G11" s="2635" t="s">
        <v>1658</v>
      </c>
      <c r="H11" s="2636"/>
      <c r="I11" s="2637"/>
      <c r="J11" s="2627" t="s">
        <v>294</v>
      </c>
      <c r="K11" s="2627" t="s">
        <v>383</v>
      </c>
      <c r="L11" s="2472"/>
    </row>
    <row customHeight="1" ht="21">
      <c r="C12" s="667"/>
      <c r="D12" s="2511"/>
      <c r="E12" s="2628"/>
      <c r="F12" s="2628"/>
      <c r="G12" s="2629" t="s">
        <v>700</v>
      </c>
      <c r="H12" s="2630"/>
      <c r="I12" s="378" t="s">
        <v>1659</v>
      </c>
      <c r="J12" s="2628"/>
      <c r="K12" s="2628"/>
      <c r="L12" s="2472"/>
    </row>
    <row customHeight="1" ht="12">
      <c r="C13" s="667"/>
      <c r="D13" s="556" t="s">
        <v>99</v>
      </c>
      <c r="E13" s="556" t="s">
        <v>109</v>
      </c>
      <c r="F13" s="556" t="s">
        <v>90</v>
      </c>
      <c r="G13" s="2631" t="s">
        <v>91</v>
      </c>
      <c r="H13" s="2631"/>
      <c r="I13" s="556" t="s">
        <v>110</v>
      </c>
      <c r="J13" s="556" t="s">
        <v>92</v>
      </c>
      <c r="K13" s="556" t="s">
        <v>93</v>
      </c>
      <c r="L13" s="556" t="s">
        <v>111</v>
      </c>
    </row>
    <row customHeight="1" ht="14.25">
      <c r="A14" s="629"/>
      <c r="C14" s="667"/>
      <c r="D14" s="696">
        <v>1</v>
      </c>
      <c r="E14" s="2604" t="s">
        <v>1660</v>
      </c>
      <c r="F14" s="2605"/>
      <c r="G14" s="2605"/>
      <c r="H14" s="2605"/>
      <c r="I14" s="2605"/>
      <c r="J14" s="2605"/>
      <c r="K14" s="2605"/>
      <c r="L14" s="564"/>
      <c r="M14" s="620"/>
    </row>
    <row customHeight="1" ht="56.25">
      <c r="A15" s="629"/>
      <c r="C15" s="667"/>
      <c r="D15" s="696" t="s">
        <v>619</v>
      </c>
      <c r="E15" s="470" t="s">
        <v>297</v>
      </c>
      <c r="F15" s="470" t="s">
        <v>297</v>
      </c>
      <c r="G15" s="2336" t="s">
        <v>297</v>
      </c>
      <c r="H15" s="2338"/>
      <c r="I15" s="470" t="s">
        <v>297</v>
      </c>
      <c r="J15" s="4481"/>
      <c r="K15" s="486"/>
      <c r="L15" s="631" t="s">
        <v>1661</v>
      </c>
      <c r="M15" s="620"/>
    </row>
    <row customHeight="1" ht="18.75">
      <c r="A16" s="629"/>
      <c r="B16" s="417">
        <v>3</v>
      </c>
      <c r="C16" s="667"/>
      <c r="D16" s="697">
        <v>2</v>
      </c>
      <c r="E16" s="2632" t="s">
        <v>1662</v>
      </c>
      <c r="F16" s="2633"/>
      <c r="G16" s="2633"/>
      <c r="H16" s="2634"/>
      <c r="I16" s="2634"/>
      <c r="J16" s="2634" t="s">
        <v>297</v>
      </c>
      <c r="K16" s="2634"/>
      <c r="L16" s="684"/>
      <c r="M16" s="620"/>
    </row>
    <row customHeight="1" ht="77.25">
      <c r="A17" s="629"/>
      <c r="C17" s="2621"/>
      <c r="D17" s="2626" t="s">
        <v>504</v>
      </c>
      <c r="E17" s="4612"/>
      <c r="F17" s="2625"/>
      <c r="G17" s="470"/>
      <c r="H17" s="2119"/>
      <c r="I17" s="2117"/>
      <c r="J17" s="4481"/>
      <c r="K17" s="470" t="s">
        <v>297</v>
      </c>
      <c r="L17" s="2352" t="s">
        <v>1663</v>
      </c>
      <c r="M17" s="620"/>
    </row>
    <row customHeight="1" ht="18.75">
      <c r="A18" s="629"/>
      <c r="C18" s="2621"/>
      <c r="D18" s="2626"/>
      <c r="E18" s="4612"/>
      <c r="F18" s="2625"/>
      <c r="G18" s="698"/>
      <c r="H18" s="692" t="s">
        <v>1556</v>
      </c>
      <c r="I18" s="635"/>
      <c r="J18" s="635"/>
      <c r="K18" s="473"/>
      <c r="L18" s="2353"/>
      <c r="M18" s="620"/>
    </row>
    <row customHeight="1" ht="15">
      <c r="A19" s="629"/>
      <c r="C19" s="667"/>
      <c r="D19" s="698"/>
      <c r="E19" s="699" t="s">
        <v>1664</v>
      </c>
      <c r="F19" s="700"/>
      <c r="G19" s="700"/>
      <c r="H19" s="635"/>
      <c r="I19" s="635"/>
      <c r="J19" s="635"/>
      <c r="K19" s="473"/>
      <c r="L19" s="2354"/>
      <c r="M19" s="620"/>
    </row>
    <row customHeight="1" ht="18.75">
      <c r="A20" s="629"/>
      <c r="B20" s="417">
        <v>3</v>
      </c>
      <c r="C20" s="667"/>
      <c r="D20" s="418" t="s">
        <v>90</v>
      </c>
      <c r="E20" s="2604" t="s">
        <v>1665</v>
      </c>
      <c r="F20" s="2604"/>
      <c r="G20" s="2604"/>
      <c r="H20" s="2604"/>
      <c r="I20" s="2604"/>
      <c r="J20" s="2604"/>
      <c r="K20" s="2604"/>
      <c r="L20" s="572"/>
      <c r="M20" s="620"/>
    </row>
    <row customHeight="1" ht="33.75">
      <c r="A21" s="629"/>
      <c r="C21" s="667"/>
      <c r="D21" s="696" t="s">
        <v>317</v>
      </c>
      <c r="E21" s="470" t="s">
        <v>297</v>
      </c>
      <c r="F21" s="470" t="s">
        <v>297</v>
      </c>
      <c r="G21" s="2336" t="s">
        <v>297</v>
      </c>
      <c r="H21" s="2338"/>
      <c r="I21" s="470" t="s">
        <v>297</v>
      </c>
      <c r="J21" s="470" t="s">
        <v>297</v>
      </c>
      <c r="K21" s="701"/>
      <c r="L21" s="631" t="s">
        <v>1666</v>
      </c>
      <c r="M21" s="620"/>
    </row>
    <row customHeight="1" ht="18.75">
      <c r="A22" s="629"/>
      <c r="B22" s="417">
        <v>3</v>
      </c>
      <c r="C22" s="667"/>
      <c r="D22" s="418" t="s">
        <v>91</v>
      </c>
      <c r="E22" s="2604" t="s">
        <v>1667</v>
      </c>
      <c r="F22" s="2604"/>
      <c r="G22" s="2604"/>
      <c r="H22" s="2604"/>
      <c r="I22" s="2604"/>
      <c r="J22" s="2604"/>
      <c r="K22" s="2604"/>
      <c r="L22" s="572"/>
      <c r="M22" s="620"/>
    </row>
    <row customHeight="1" ht="54.75">
      <c r="A23" s="629"/>
      <c r="C23" s="2621"/>
      <c r="D23" s="2626" t="s">
        <v>612</v>
      </c>
      <c r="E23" s="4612"/>
      <c r="F23" s="2625"/>
      <c r="G23" s="470"/>
      <c r="H23" s="2117"/>
      <c r="I23" s="2117"/>
      <c r="J23" s="4619"/>
      <c r="K23" s="470" t="s">
        <v>297</v>
      </c>
      <c r="L23" s="2352" t="s">
        <v>1668</v>
      </c>
      <c r="M23" s="620"/>
    </row>
    <row customHeight="1" ht="18.75">
      <c r="A24" s="629"/>
      <c r="C24" s="2621"/>
      <c r="D24" s="2626"/>
      <c r="E24" s="4612"/>
      <c r="F24" s="2625"/>
      <c r="G24" s="698"/>
      <c r="H24" s="692" t="s">
        <v>1556</v>
      </c>
      <c r="I24" s="472"/>
      <c r="J24" s="472"/>
      <c r="K24" s="473"/>
      <c r="L24" s="2353"/>
      <c r="M24" s="620"/>
    </row>
    <row customHeight="1" ht="15">
      <c r="A25" s="629"/>
      <c r="C25" s="667"/>
      <c r="D25" s="633"/>
      <c r="E25" s="699" t="s">
        <v>1664</v>
      </c>
      <c r="F25" s="472"/>
      <c r="G25" s="472"/>
      <c r="H25" s="472"/>
      <c r="I25" s="472"/>
      <c r="J25" s="472"/>
      <c r="K25" s="473"/>
      <c r="L25" s="2354"/>
      <c r="M25" s="620"/>
    </row>
    <row customHeight="1" ht="18.75">
      <c r="A26" s="629"/>
      <c r="C26" s="667"/>
      <c r="D26" s="418" t="s">
        <v>110</v>
      </c>
      <c r="E26" s="2604" t="s">
        <v>1669</v>
      </c>
      <c r="F26" s="2604"/>
      <c r="G26" s="2604"/>
      <c r="H26" s="2604"/>
      <c r="I26" s="2604"/>
      <c r="J26" s="2604"/>
      <c r="K26" s="2604"/>
      <c r="L26" s="572"/>
      <c r="M26" s="620"/>
    </row>
    <row customHeight="1" ht="66">
      <c r="A27" s="629"/>
      <c r="C27" s="2621"/>
      <c r="D27" s="2622" t="s">
        <v>306</v>
      </c>
      <c r="E27" s="4612"/>
      <c r="F27" s="2625"/>
      <c r="G27" s="470"/>
      <c r="H27" s="2119"/>
      <c r="I27" s="2117"/>
      <c r="J27" s="4619"/>
      <c r="K27" s="470" t="s">
        <v>297</v>
      </c>
      <c r="L27" s="2352" t="s">
        <v>1670</v>
      </c>
      <c r="M27" s="620"/>
    </row>
    <row customHeight="1" ht="18.75">
      <c r="A28" s="629"/>
      <c r="C28" s="2621"/>
      <c r="D28" s="2623"/>
      <c r="E28" s="4612"/>
      <c r="F28" s="2625"/>
      <c r="G28" s="698"/>
      <c r="H28" s="692" t="s">
        <v>1556</v>
      </c>
      <c r="I28" s="472"/>
      <c r="J28" s="472"/>
      <c r="K28" s="473"/>
      <c r="L28" s="2353"/>
      <c r="M28" s="620"/>
    </row>
    <row customHeight="1" ht="15">
      <c r="A29" s="629"/>
      <c r="C29" s="667"/>
      <c r="D29" s="633"/>
      <c r="E29" s="699" t="s">
        <v>1664</v>
      </c>
      <c r="F29" s="472"/>
      <c r="G29" s="472"/>
      <c r="H29" s="472"/>
      <c r="I29" s="472"/>
      <c r="J29" s="472"/>
      <c r="K29" s="473"/>
      <c r="L29" s="2354"/>
      <c r="M29" s="620"/>
    </row>
    <row customHeight="1" ht="26.25">
      <c r="A30" s="629"/>
      <c r="C30" s="667"/>
      <c r="D30" s="418" t="s">
        <v>92</v>
      </c>
      <c r="E30" s="2604" t="s">
        <v>1671</v>
      </c>
      <c r="F30" s="2604"/>
      <c r="G30" s="2604"/>
      <c r="H30" s="2604"/>
      <c r="I30" s="2604"/>
      <c r="J30" s="2604"/>
      <c r="K30" s="2604"/>
      <c r="L30" s="572"/>
      <c r="M30" s="620"/>
    </row>
    <row customHeight="1" ht="99">
      <c r="A31" s="629"/>
      <c r="C31" s="2621"/>
      <c r="D31" s="2622" t="s">
        <v>517</v>
      </c>
      <c r="E31" s="4612"/>
      <c r="F31" s="2625"/>
      <c r="G31" s="470"/>
      <c r="H31" s="2119"/>
      <c r="I31" s="2117"/>
      <c r="J31" s="4619"/>
      <c r="K31" s="470" t="s">
        <v>297</v>
      </c>
      <c r="L31" s="2352" t="s">
        <v>1672</v>
      </c>
      <c r="M31" s="620"/>
      <c r="O31" s="636" t="s">
        <v>1584</v>
      </c>
    </row>
    <row customHeight="1" ht="18.75">
      <c r="A32" s="629"/>
      <c r="C32" s="2621"/>
      <c r="D32" s="2623"/>
      <c r="E32" s="4612"/>
      <c r="F32" s="2625"/>
      <c r="G32" s="698"/>
      <c r="H32" s="692" t="s">
        <v>1556</v>
      </c>
      <c r="I32" s="472"/>
      <c r="J32" s="472"/>
      <c r="K32" s="473"/>
      <c r="L32" s="2353"/>
      <c r="M32" s="620"/>
    </row>
    <row customHeight="1" ht="15">
      <c r="A33" s="629"/>
      <c r="C33" s="667"/>
      <c r="D33" s="633"/>
      <c r="E33" s="699" t="s">
        <v>1664</v>
      </c>
      <c r="F33" s="472"/>
      <c r="G33" s="472"/>
      <c r="H33" s="472"/>
      <c r="I33" s="472"/>
      <c r="J33" s="472"/>
      <c r="K33" s="473"/>
      <c r="L33" s="2354"/>
      <c r="M33" s="620"/>
    </row>
    <row customHeight="1" ht="25.5">
      <c r="A34" s="629"/>
      <c r="B34" s="417">
        <v>3</v>
      </c>
      <c r="C34" s="667"/>
      <c r="D34" s="418" t="s">
        <v>93</v>
      </c>
      <c r="E34" s="2604" t="s">
        <v>1673</v>
      </c>
      <c r="F34" s="2604"/>
      <c r="G34" s="2604"/>
      <c r="H34" s="2604"/>
      <c r="I34" s="2604"/>
      <c r="J34" s="2604"/>
      <c r="K34" s="2604"/>
      <c r="L34" s="572"/>
      <c r="M34" s="620"/>
    </row>
    <row customHeight="1" ht="99">
      <c r="A35" s="629"/>
      <c r="C35" s="2621"/>
      <c r="D35" s="2622" t="s">
        <v>1674</v>
      </c>
      <c r="E35" s="4612"/>
      <c r="F35" s="2625"/>
      <c r="G35" s="470"/>
      <c r="H35" s="2119"/>
      <c r="I35" s="2117"/>
      <c r="J35" s="4619"/>
      <c r="K35" s="470" t="s">
        <v>297</v>
      </c>
      <c r="L35" s="2352" t="s">
        <v>1675</v>
      </c>
      <c r="M35" s="620"/>
    </row>
    <row customHeight="1" ht="18.75">
      <c r="A36" s="629"/>
      <c r="C36" s="2621"/>
      <c r="D36" s="2623"/>
      <c r="E36" s="4612"/>
      <c r="F36" s="2625"/>
      <c r="G36" s="698"/>
      <c r="H36" s="692" t="s">
        <v>1556</v>
      </c>
      <c r="I36" s="472"/>
      <c r="J36" s="472"/>
      <c r="K36" s="473"/>
      <c r="L36" s="2353"/>
      <c r="M36" s="620"/>
    </row>
    <row customHeight="1" ht="15">
      <c r="A37" s="629"/>
      <c r="C37" s="667"/>
      <c r="D37" s="633"/>
      <c r="E37" s="699" t="s">
        <v>1664</v>
      </c>
      <c r="F37" s="472"/>
      <c r="G37" s="472"/>
      <c r="H37" s="472"/>
      <c r="I37" s="472"/>
      <c r="J37" s="472"/>
      <c r="K37" s="473"/>
      <c r="L37" s="2354"/>
      <c r="M37" s="620"/>
    </row>
    <row s="12177" customFormat="1" customHeight="1" ht="3">
      <c r="A38" s="629"/>
      <c r="D38" s="703"/>
      <c r="E38" s="703"/>
      <c r="F38" s="703"/>
      <c r="G38" s="703"/>
      <c r="H38" s="703"/>
      <c r="I38" s="703"/>
      <c r="J38" s="703"/>
      <c r="K38" s="703"/>
      <c r="L38" s="703"/>
      <c r="N38" s="468"/>
      <c r="O38" s="468"/>
    </row>
    <row customHeight="1" ht="24.75">
      <c r="D39" s="474">
        <v>1</v>
      </c>
      <c r="E39" s="2517" t="s">
        <v>1676</v>
      </c>
      <c r="F39" s="2517"/>
      <c r="G39" s="2517"/>
      <c r="H39" s="2517"/>
      <c r="I39" s="2517"/>
      <c r="J39" s="2517"/>
      <c r="K39" s="2517"/>
      <c r="L39" s="251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668A-7C1B-8D47-34C2-6434FA6B48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35" width="19.140625" hidden="1" customWidth="1"/>
    <col min="13" max="14" style="11910" width="12.28125" hidden="1" customWidth="1"/>
    <col min="15" max="15" style="11910" width="23.421875" hidden="1" customWidth="1"/>
    <col min="16" max="16" style="12336"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787">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785"/>
      <c r="Q3" s="638"/>
      <c r="R3" s="639"/>
      <c r="S3" s="1787">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787">
        <f>INDEX(PT_DIFFERENTIATION_NUM_CS,MATCH(C4,PT_DIFFERENTIATION_CS_ID,0))</f>
      </c>
      <c r="T4" s="586" t="s">
        <v>1677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1678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784"/>
      <c r="R5" s="642"/>
      <c r="S5" s="1787">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787">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787">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786"/>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784"/>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788"/>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783"/>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783"/>
      <c r="M19" s="1723"/>
      <c r="N19" s="1723"/>
      <c r="O19" s="1723"/>
      <c r="P19" s="1723"/>
      <c r="Q19" s="1732"/>
      <c r="R19" s="1732"/>
      <c r="S19" s="1032"/>
      <c r="AB19" s="1727"/>
      <c r="AI19" s="1727"/>
      <c r="AL19" s="813"/>
      <c r="AM19" s="813"/>
      <c r="AN19" s="813"/>
      <c r="AO19" s="813"/>
      <c r="AP19" s="813"/>
    </row>
    <row s="11832" customFormat="1" customHeight="1" ht="12" hidden="1">
      <c r="L20" s="1783"/>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713" t="s">
        <v>1685</v>
      </c>
      <c r="W38" s="2493" t="s">
        <v>1497</v>
      </c>
      <c r="X38" s="2494"/>
      <c r="Y38" s="2499" t="s">
        <v>1498</v>
      </c>
      <c r="Z38" s="2500"/>
      <c r="AA38" s="2501"/>
      <c r="AB38" s="2510"/>
      <c r="AC38" s="1713" t="s">
        <v>1685</v>
      </c>
      <c r="AD38" s="2493" t="s">
        <v>1497</v>
      </c>
      <c r="AE38" s="2494"/>
      <c r="AF38" s="2499" t="s">
        <v>1498</v>
      </c>
      <c r="AG38" s="2500"/>
      <c r="AH38" s="2501"/>
      <c r="AI38" s="2510"/>
      <c r="AJ38" s="2513"/>
      <c r="AK38" s="2342"/>
    </row>
    <row customHeight="1" ht="33.7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713" t="s">
        <v>1688</v>
      </c>
      <c r="W39" s="1562" t="s">
        <v>1689</v>
      </c>
      <c r="X39" s="1562" t="s">
        <v>1690</v>
      </c>
      <c r="Y39" s="1718" t="s">
        <v>1508</v>
      </c>
      <c r="Z39" s="2502" t="s">
        <v>1509</v>
      </c>
      <c r="AA39" s="2503"/>
      <c r="AB39" s="2511"/>
      <c r="AC39" s="1713" t="s">
        <v>1688</v>
      </c>
      <c r="AD39" s="1562" t="s">
        <v>1689</v>
      </c>
      <c r="AE39" s="1562" t="s">
        <v>1690</v>
      </c>
      <c r="AF39" s="1718"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217</v>
      </c>
      <c r="B41" s="1724"/>
      <c r="C41" s="1724"/>
      <c r="D41" s="1724"/>
      <c r="E41" s="2489">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217</v>
      </c>
      <c r="B42" s="1724" t="s">
        <v>218</v>
      </c>
      <c r="C42" s="1724"/>
      <c r="D42" s="1724"/>
      <c r="E42" s="2490"/>
      <c r="F42" s="2489">
        <v>1</v>
      </c>
      <c r="G42" s="1724"/>
      <c r="H42" s="1724"/>
      <c r="I42" s="1724"/>
      <c r="J42" s="1724"/>
      <c r="K42" s="1724"/>
      <c r="L42" s="1725"/>
      <c r="M42" s="1726"/>
      <c r="N42" s="1726"/>
      <c r="O42" s="1726"/>
      <c r="P42" s="1717"/>
      <c r="Q42" s="638"/>
      <c r="R42" s="639"/>
      <c r="S42" s="17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217</v>
      </c>
      <c r="B43" s="1724" t="s">
        <v>218</v>
      </c>
      <c r="C43" s="1724" t="s">
        <v>219</v>
      </c>
      <c r="D43" s="1724"/>
      <c r="E43" s="2490"/>
      <c r="F43" s="2490"/>
      <c r="G43" s="2489">
        <v>1</v>
      </c>
      <c r="H43" s="1724"/>
      <c r="I43" s="1724"/>
      <c r="J43" s="1724"/>
      <c r="K43" s="1724"/>
      <c r="L43" s="1725"/>
      <c r="M43" s="1726"/>
      <c r="N43" s="1726"/>
      <c r="O43" s="1726"/>
      <c r="P43" s="640"/>
      <c r="Q43" s="638"/>
      <c r="R43" s="639"/>
      <c r="S43" s="1719" t="str">
        <f>INDEX(PT_DIFFERENTIATION_NUM_CS,MATCH(C43,PT_DIFFERENTIATION_CS_ID,0))</f>
        <v>..</v>
      </c>
      <c r="T43" s="586" t="s">
        <v>1677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1678</v>
      </c>
      <c r="AM43" s="802"/>
      <c r="AN43" s="802" t="str">
        <f>IF(T43="","",T43)</f>
        <v>Наименование централизованной системы холодного водоснабжения</v>
      </c>
      <c r="AO43" s="802"/>
      <c r="AP43" s="802"/>
    </row>
    <row customHeight="1" ht="23.25">
      <c r="A44" s="1724" t="s">
        <v>217</v>
      </c>
      <c r="B44" s="1724" t="s">
        <v>218</v>
      </c>
      <c r="C44" s="1724" t="s">
        <v>219</v>
      </c>
      <c r="D44" s="1724" t="s">
        <v>1691</v>
      </c>
      <c r="E44" s="2490"/>
      <c r="F44" s="2490"/>
      <c r="G44" s="2490"/>
      <c r="H44" s="2490"/>
      <c r="I44" s="2518" t="str">
        <f>S43&amp;".1"</f>
        <v>...1</v>
      </c>
      <c r="J44" s="1724"/>
      <c r="K44" s="1724"/>
      <c r="L44" s="1725"/>
      <c r="P44" s="2488">
        <v>1</v>
      </c>
      <c r="Q44" s="1715"/>
      <c r="R44" s="642"/>
      <c r="S44" s="1719"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217</v>
      </c>
      <c r="B45" s="1724" t="s">
        <v>218</v>
      </c>
      <c r="C45" s="1724" t="s">
        <v>219</v>
      </c>
      <c r="D45" s="1724" t="s">
        <v>1691</v>
      </c>
      <c r="E45" s="2490"/>
      <c r="F45" s="2490"/>
      <c r="G45" s="2490"/>
      <c r="H45" s="2490"/>
      <c r="I45" s="2519"/>
      <c r="J45" s="2487" t="str">
        <f>I44&amp;".1"</f>
        <v>...1.1</v>
      </c>
      <c r="K45" s="1724"/>
      <c r="L45" s="1725" t="s">
        <v>1471</v>
      </c>
      <c r="P45" s="2488"/>
      <c r="Q45" s="2488">
        <v>1</v>
      </c>
      <c r="R45" s="643"/>
      <c r="S45" s="17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217</v>
      </c>
      <c r="B46" s="1724" t="s">
        <v>218</v>
      </c>
      <c r="C46" s="1724" t="s">
        <v>219</v>
      </c>
      <c r="D46" s="1724" t="s">
        <v>1691</v>
      </c>
      <c r="E46" s="2490"/>
      <c r="F46" s="2490"/>
      <c r="G46" s="2490"/>
      <c r="H46" s="2490"/>
      <c r="I46" s="2519"/>
      <c r="J46" s="2520"/>
      <c r="K46" s="2487" t="str">
        <f>J45&amp;".1"</f>
        <v>...1.1.1</v>
      </c>
      <c r="L46" s="1725"/>
      <c r="P46" s="2488"/>
      <c r="Q46" s="2488"/>
      <c r="R46" s="643">
        <v>1</v>
      </c>
      <c r="S46" s="1719"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217</v>
      </c>
      <c r="B47" s="1724" t="s">
        <v>218</v>
      </c>
      <c r="C47" s="1724" t="s">
        <v>219</v>
      </c>
      <c r="D47" s="1724" t="s">
        <v>1691</v>
      </c>
      <c r="E47" s="2490"/>
      <c r="F47" s="2490"/>
      <c r="G47" s="2490"/>
      <c r="H47" s="2490"/>
      <c r="I47" s="2519"/>
      <c r="J47" s="2520"/>
      <c r="K47" s="2487"/>
      <c r="L47" s="1725"/>
      <c r="P47" s="2488"/>
      <c r="Q47" s="2488"/>
      <c r="R47" s="643"/>
      <c r="S47" s="1720"/>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217</v>
      </c>
      <c r="B48" s="1724" t="s">
        <v>218</v>
      </c>
      <c r="C48" s="1724" t="s">
        <v>219</v>
      </c>
      <c r="D48" s="1724" t="s">
        <v>1691</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217</v>
      </c>
      <c r="B49" s="1724" t="s">
        <v>218</v>
      </c>
      <c r="C49" s="1724" t="s">
        <v>219</v>
      </c>
      <c r="D49" s="1724" t="s">
        <v>1691</v>
      </c>
      <c r="E49" s="2490"/>
      <c r="F49" s="2490"/>
      <c r="G49" s="2490"/>
      <c r="H49" s="2490"/>
      <c r="I49" s="2518"/>
      <c r="J49" s="1724"/>
      <c r="K49" s="1724"/>
      <c r="L49" s="1725"/>
      <c r="P49" s="2488"/>
      <c r="Q49" s="1715"/>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217</v>
      </c>
      <c r="B50" s="1724" t="s">
        <v>218</v>
      </c>
      <c r="C50" s="1724" t="s">
        <v>219</v>
      </c>
      <c r="D50" s="1724" t="s">
        <v>1691</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217</v>
      </c>
      <c r="B51" s="1703" t="s">
        <v>218</v>
      </c>
      <c r="C51" s="1674"/>
      <c r="D51" s="1674"/>
      <c r="E51" s="2490"/>
      <c r="F51" s="2489"/>
      <c r="G51" s="1674"/>
      <c r="H51" s="1674"/>
      <c r="I51" s="1674"/>
      <c r="J51" s="1674"/>
      <c r="K51" s="1674"/>
      <c r="L51" s="1788"/>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217</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22F32-EDA5-3FC2-435A-16EF9256E9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1678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1685</v>
      </c>
      <c r="W38" s="2493" t="s">
        <v>1497</v>
      </c>
      <c r="X38" s="2494"/>
      <c r="Y38" s="2499" t="s">
        <v>1498</v>
      </c>
      <c r="Z38" s="2500"/>
      <c r="AA38" s="2501"/>
      <c r="AB38" s="2510"/>
      <c r="AC38" s="1814" t="s">
        <v>1685</v>
      </c>
      <c r="AD38" s="2493" t="s">
        <v>1497</v>
      </c>
      <c r="AE38" s="2494"/>
      <c r="AF38" s="2499" t="s">
        <v>1498</v>
      </c>
      <c r="AG38" s="2500"/>
      <c r="AH38" s="2501"/>
      <c r="AI38" s="2510"/>
      <c r="AJ38" s="2513"/>
      <c r="AK38" s="2342"/>
    </row>
    <row customHeight="1" ht="33.7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14" t="s">
        <v>1688</v>
      </c>
      <c r="W39" s="1562" t="s">
        <v>1689</v>
      </c>
      <c r="X39" s="1562" t="s">
        <v>1690</v>
      </c>
      <c r="Y39" s="1817" t="s">
        <v>1508</v>
      </c>
      <c r="Z39" s="2502" t="s">
        <v>1509</v>
      </c>
      <c r="AA39" s="2503"/>
      <c r="AB39" s="2511"/>
      <c r="AC39" s="1814" t="s">
        <v>1688</v>
      </c>
      <c r="AD39" s="1562" t="s">
        <v>1689</v>
      </c>
      <c r="AE39" s="1562" t="s">
        <v>1690</v>
      </c>
      <c r="AF39" s="1817"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222</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222</v>
      </c>
      <c r="B42" s="1724" t="s">
        <v>223</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222</v>
      </c>
      <c r="B43" s="1724" t="s">
        <v>223</v>
      </c>
      <c r="C43" s="1724" t="s">
        <v>224</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1678</v>
      </c>
      <c r="AM43" s="802"/>
      <c r="AN43" s="802" t="str">
        <f>IF(T43="","",T43)</f>
        <v>Наименование централизованной системы холодного водоснабжения</v>
      </c>
      <c r="AO43" s="802"/>
      <c r="AP43" s="802"/>
    </row>
    <row customHeight="1" ht="23.25">
      <c r="A44" s="1724" t="s">
        <v>222</v>
      </c>
      <c r="B44" s="1724" t="s">
        <v>223</v>
      </c>
      <c r="C44" s="1724" t="s">
        <v>224</v>
      </c>
      <c r="D44" s="1724" t="s">
        <v>1694</v>
      </c>
      <c r="E44" s="2490"/>
      <c r="F44" s="2490"/>
      <c r="G44" s="2490"/>
      <c r="H44" s="2490"/>
      <c r="I44" s="2518" t="str">
        <f>S43&amp;".1"</f>
        <v>...1</v>
      </c>
      <c r="J44" s="1724"/>
      <c r="K44" s="1724"/>
      <c r="L44" s="1725"/>
      <c r="P44" s="2488">
        <v>1</v>
      </c>
      <c r="Q44" s="1812"/>
      <c r="R44" s="642"/>
      <c r="S44" s="1819"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222</v>
      </c>
      <c r="B45" s="1724" t="s">
        <v>223</v>
      </c>
      <c r="C45" s="1724" t="s">
        <v>224</v>
      </c>
      <c r="D45" s="1724" t="s">
        <v>1694</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222</v>
      </c>
      <c r="B46" s="1724" t="s">
        <v>223</v>
      </c>
      <c r="C46" s="1724" t="s">
        <v>224</v>
      </c>
      <c r="D46" s="1724" t="s">
        <v>1694</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222</v>
      </c>
      <c r="B47" s="1724" t="s">
        <v>223</v>
      </c>
      <c r="C47" s="1724" t="s">
        <v>224</v>
      </c>
      <c r="D47" s="1724" t="s">
        <v>1694</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222</v>
      </c>
      <c r="B48" s="1724" t="s">
        <v>223</v>
      </c>
      <c r="C48" s="1724" t="s">
        <v>224</v>
      </c>
      <c r="D48" s="1724" t="s">
        <v>1694</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222</v>
      </c>
      <c r="B49" s="1724" t="s">
        <v>223</v>
      </c>
      <c r="C49" s="1724" t="s">
        <v>224</v>
      </c>
      <c r="D49" s="1724" t="s">
        <v>1694</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222</v>
      </c>
      <c r="B50" s="1724" t="s">
        <v>223</v>
      </c>
      <c r="C50" s="1724" t="s">
        <v>224</v>
      </c>
      <c r="D50" s="1724" t="s">
        <v>1694</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222</v>
      </c>
      <c r="B51" s="1703" t="s">
        <v>223</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222</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C1257-458E-BD92-B569-A116E0559E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1678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1685</v>
      </c>
      <c r="W38" s="2493" t="s">
        <v>1497</v>
      </c>
      <c r="X38" s="2494"/>
      <c r="Y38" s="2499" t="s">
        <v>1498</v>
      </c>
      <c r="Z38" s="2500"/>
      <c r="AA38" s="2501"/>
      <c r="AB38" s="2510"/>
      <c r="AC38" s="1814" t="s">
        <v>1685</v>
      </c>
      <c r="AD38" s="2493" t="s">
        <v>1497</v>
      </c>
      <c r="AE38" s="2494"/>
      <c r="AF38" s="2499" t="s">
        <v>1498</v>
      </c>
      <c r="AG38" s="2500"/>
      <c r="AH38" s="2501"/>
      <c r="AI38" s="2510"/>
      <c r="AJ38" s="2513"/>
      <c r="AK38" s="2342"/>
    </row>
    <row customHeight="1" ht="33.7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14" t="s">
        <v>1688</v>
      </c>
      <c r="W39" s="1562" t="s">
        <v>1689</v>
      </c>
      <c r="X39" s="1562" t="s">
        <v>1690</v>
      </c>
      <c r="Y39" s="1817" t="s">
        <v>1508</v>
      </c>
      <c r="Z39" s="2502" t="s">
        <v>1509</v>
      </c>
      <c r="AA39" s="2503"/>
      <c r="AB39" s="2511"/>
      <c r="AC39" s="1814" t="s">
        <v>1688</v>
      </c>
      <c r="AD39" s="1562" t="s">
        <v>1689</v>
      </c>
      <c r="AE39" s="1562" t="s">
        <v>1690</v>
      </c>
      <c r="AF39" s="1817"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227</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227</v>
      </c>
      <c r="B42" s="1724" t="s">
        <v>228</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227</v>
      </c>
      <c r="B43" s="1724" t="s">
        <v>228</v>
      </c>
      <c r="C43" s="1724" t="s">
        <v>229</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1678</v>
      </c>
      <c r="AM43" s="802"/>
      <c r="AN43" s="802" t="str">
        <f>IF(T43="","",T43)</f>
        <v>Наименование централизованной системы холодного водоснабжения</v>
      </c>
      <c r="AO43" s="802"/>
      <c r="AP43" s="802"/>
    </row>
    <row customHeight="1" ht="23.25">
      <c r="A44" s="1724" t="s">
        <v>227</v>
      </c>
      <c r="B44" s="1724" t="s">
        <v>228</v>
      </c>
      <c r="C44" s="1724" t="s">
        <v>229</v>
      </c>
      <c r="D44" s="1724" t="s">
        <v>1695</v>
      </c>
      <c r="E44" s="2490"/>
      <c r="F44" s="2490"/>
      <c r="G44" s="2490"/>
      <c r="H44" s="2490"/>
      <c r="I44" s="2518" t="str">
        <f>S43&amp;".1"</f>
        <v>...1</v>
      </c>
      <c r="J44" s="1724"/>
      <c r="K44" s="1724"/>
      <c r="L44" s="1725"/>
      <c r="P44" s="2488">
        <v>1</v>
      </c>
      <c r="Q44" s="1812"/>
      <c r="R44" s="642"/>
      <c r="S44" s="1819"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227</v>
      </c>
      <c r="B45" s="1724" t="s">
        <v>228</v>
      </c>
      <c r="C45" s="1724" t="s">
        <v>229</v>
      </c>
      <c r="D45" s="1724" t="s">
        <v>1695</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227</v>
      </c>
      <c r="B46" s="1724" t="s">
        <v>228</v>
      </c>
      <c r="C46" s="1724" t="s">
        <v>229</v>
      </c>
      <c r="D46" s="1724" t="s">
        <v>1695</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227</v>
      </c>
      <c r="B47" s="1724" t="s">
        <v>228</v>
      </c>
      <c r="C47" s="1724" t="s">
        <v>229</v>
      </c>
      <c r="D47" s="1724" t="s">
        <v>1695</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227</v>
      </c>
      <c r="B48" s="1724" t="s">
        <v>228</v>
      </c>
      <c r="C48" s="1724" t="s">
        <v>229</v>
      </c>
      <c r="D48" s="1724" t="s">
        <v>1695</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227</v>
      </c>
      <c r="B49" s="1724" t="s">
        <v>228</v>
      </c>
      <c r="C49" s="1724" t="s">
        <v>229</v>
      </c>
      <c r="D49" s="1724" t="s">
        <v>1695</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227</v>
      </c>
      <c r="B50" s="1724" t="s">
        <v>228</v>
      </c>
      <c r="C50" s="1724" t="s">
        <v>229</v>
      </c>
      <c r="D50" s="1724" t="s">
        <v>1695</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227</v>
      </c>
      <c r="B51" s="1703" t="s">
        <v>228</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227</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DC91-37D7-BC3B-34D8-76B06C6327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1678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1685</v>
      </c>
      <c r="W38" s="2493" t="s">
        <v>1497</v>
      </c>
      <c r="X38" s="2494"/>
      <c r="Y38" s="2499" t="s">
        <v>1498</v>
      </c>
      <c r="Z38" s="2500"/>
      <c r="AA38" s="2501"/>
      <c r="AB38" s="2510"/>
      <c r="AC38" s="1814" t="s">
        <v>1685</v>
      </c>
      <c r="AD38" s="2493" t="s">
        <v>1497</v>
      </c>
      <c r="AE38" s="2494"/>
      <c r="AF38" s="2499" t="s">
        <v>1498</v>
      </c>
      <c r="AG38" s="2500"/>
      <c r="AH38" s="2501"/>
      <c r="AI38" s="2510"/>
      <c r="AJ38" s="2513"/>
      <c r="AK38" s="2342"/>
    </row>
    <row customHeight="1" ht="33.7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14" t="s">
        <v>1688</v>
      </c>
      <c r="W39" s="1562" t="s">
        <v>1689</v>
      </c>
      <c r="X39" s="1562" t="s">
        <v>1690</v>
      </c>
      <c r="Y39" s="1817" t="s">
        <v>1508</v>
      </c>
      <c r="Z39" s="2502" t="s">
        <v>1509</v>
      </c>
      <c r="AA39" s="2503"/>
      <c r="AB39" s="2511"/>
      <c r="AC39" s="1814" t="s">
        <v>1688</v>
      </c>
      <c r="AD39" s="1562" t="s">
        <v>1689</v>
      </c>
      <c r="AE39" s="1562" t="s">
        <v>1690</v>
      </c>
      <c r="AF39" s="1817"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232</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232</v>
      </c>
      <c r="B42" s="1724" t="s">
        <v>233</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232</v>
      </c>
      <c r="B43" s="1724" t="s">
        <v>233</v>
      </c>
      <c r="C43" s="1724" t="s">
        <v>234</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1678</v>
      </c>
      <c r="AM43" s="802"/>
      <c r="AN43" s="802" t="str">
        <f>IF(T43="","",T43)</f>
        <v>Наименование централизованной системы холодного водоснабжения</v>
      </c>
      <c r="AO43" s="802"/>
      <c r="AP43" s="802"/>
    </row>
    <row customHeight="1" ht="23.25">
      <c r="A44" s="1724" t="s">
        <v>232</v>
      </c>
      <c r="B44" s="1724" t="s">
        <v>233</v>
      </c>
      <c r="C44" s="1724" t="s">
        <v>234</v>
      </c>
      <c r="D44" s="1724" t="s">
        <v>1696</v>
      </c>
      <c r="E44" s="2490"/>
      <c r="F44" s="2490"/>
      <c r="G44" s="2490"/>
      <c r="H44" s="2490"/>
      <c r="I44" s="2518" t="str">
        <f>S43&amp;".1"</f>
        <v>...1</v>
      </c>
      <c r="J44" s="1724"/>
      <c r="K44" s="1724"/>
      <c r="L44" s="1725"/>
      <c r="P44" s="2488">
        <v>1</v>
      </c>
      <c r="Q44" s="1812"/>
      <c r="R44" s="642"/>
      <c r="S44" s="1819"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232</v>
      </c>
      <c r="B45" s="1724" t="s">
        <v>233</v>
      </c>
      <c r="C45" s="1724" t="s">
        <v>234</v>
      </c>
      <c r="D45" s="1724" t="s">
        <v>1696</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232</v>
      </c>
      <c r="B46" s="1724" t="s">
        <v>233</v>
      </c>
      <c r="C46" s="1724" t="s">
        <v>234</v>
      </c>
      <c r="D46" s="1724" t="s">
        <v>1696</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232</v>
      </c>
      <c r="B47" s="1724" t="s">
        <v>233</v>
      </c>
      <c r="C47" s="1724" t="s">
        <v>234</v>
      </c>
      <c r="D47" s="1724" t="s">
        <v>1696</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232</v>
      </c>
      <c r="B48" s="1724" t="s">
        <v>233</v>
      </c>
      <c r="C48" s="1724" t="s">
        <v>234</v>
      </c>
      <c r="D48" s="1724" t="s">
        <v>1696</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232</v>
      </c>
      <c r="B49" s="1724" t="s">
        <v>233</v>
      </c>
      <c r="C49" s="1724" t="s">
        <v>234</v>
      </c>
      <c r="D49" s="1724" t="s">
        <v>1696</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232</v>
      </c>
      <c r="B50" s="1724" t="s">
        <v>233</v>
      </c>
      <c r="C50" s="1724" t="s">
        <v>234</v>
      </c>
      <c r="D50" s="1724" t="s">
        <v>1696</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232</v>
      </c>
      <c r="B51" s="1703" t="s">
        <v>233</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232</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1DD89-9B5B-4C35-E9EA-8989470450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372"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27">
        <f>INDEX(PT_DIFFERENTIATION_NUM_NTAR,MATCH(A2,PT_DIFFERENTIATION_NTAR_ID,0))</f>
      </c>
      <c r="T2" s="573" t="s">
        <v>123</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27">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42" hidden="1">
      <c r="A4" s="1724"/>
      <c r="B4" s="1724"/>
      <c r="C4" s="1724"/>
      <c r="D4" s="1724"/>
      <c r="E4" s="2490"/>
      <c r="F4" s="2490"/>
      <c r="G4" s="2489">
        <v>1</v>
      </c>
      <c r="H4" s="1724"/>
      <c r="I4" s="1724"/>
      <c r="J4" s="1724"/>
      <c r="K4" s="1724"/>
      <c r="L4" s="1725"/>
      <c r="M4" s="1726"/>
      <c r="N4" s="1726"/>
      <c r="O4" s="1726"/>
      <c r="P4" s="1774"/>
      <c r="Q4" s="1773"/>
      <c r="R4" s="639"/>
      <c r="S4" s="1827">
        <f>INDEX(PT_DIFFERENTIATION_NUM_CS,MATCH(C4,PT_DIFFERENTIATION_CS_ID,0))</f>
      </c>
      <c r="T4" s="586" t="s">
        <v>1677</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1678</v>
      </c>
      <c r="BE4" s="802"/>
      <c r="BF4" s="802" t="str">
        <f>IF(T4="","",T4)</f>
        <v>Наименование централизованной системы холодного водоснабжения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24"/>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21" t="s">
        <v>63</v>
      </c>
      <c r="AB8" s="2114"/>
      <c r="AC8" s="1821" t="s">
        <v>63</v>
      </c>
      <c r="AD8" s="2297" t="s">
        <v>63</v>
      </c>
      <c r="AE8" s="2561"/>
      <c r="AF8" s="2562">
        <v>1</v>
      </c>
      <c r="AG8" s="2654"/>
      <c r="AH8" s="2207" t="s">
        <v>63</v>
      </c>
      <c r="AI8" s="2561"/>
      <c r="AJ8" s="2562">
        <v>1</v>
      </c>
      <c r="AK8" s="2653" t="s">
        <v>17</v>
      </c>
      <c r="AL8" s="2207" t="s">
        <v>63</v>
      </c>
      <c r="AM8" s="2645"/>
      <c r="AN8" s="2562">
        <v>1</v>
      </c>
      <c r="AO8" s="2647"/>
      <c r="AP8" s="2648" t="s">
        <v>63</v>
      </c>
      <c r="AQ8" s="588"/>
      <c r="AR8" s="1825">
        <v>1</v>
      </c>
      <c r="AS8" s="1828" t="s">
        <v>17</v>
      </c>
      <c r="AT8" s="4130"/>
      <c r="AU8" s="4132"/>
      <c r="AV8" s="4130"/>
      <c r="AW8" s="4132"/>
      <c r="AX8" s="2114"/>
      <c r="AY8" s="1821" t="s">
        <v>63</v>
      </c>
      <c r="AZ8" s="2114"/>
      <c r="BA8" s="1821" t="s">
        <v>63</v>
      </c>
      <c r="BB8" s="4231"/>
      <c r="BC8" s="2484" t="s">
        <v>1697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1698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1699</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1700</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2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22" t="s">
        <v>63</v>
      </c>
      <c r="AZ20" s="2116"/>
      <c r="BA20" s="1822" t="s">
        <v>63</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1480</v>
      </c>
      <c r="P24" s="1870"/>
      <c r="Q24" s="1872"/>
      <c r="R24" s="1872"/>
      <c r="AA24" s="1869" t="s">
        <v>1482</v>
      </c>
      <c r="AC24" s="1869" t="s">
        <v>1483</v>
      </c>
      <c r="AD24" s="1869" t="s">
        <v>1543</v>
      </c>
      <c r="AH24" s="1869" t="s">
        <v>1543</v>
      </c>
      <c r="AK24" s="1869" t="s">
        <v>1702</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291</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292</v>
      </c>
    </row>
    <row customHeight="1" ht="14.25">
      <c r="Q41" s="566"/>
      <c r="R41" s="667"/>
      <c r="S41" s="2505" t="s">
        <v>88</v>
      </c>
      <c r="T41" s="2366" t="s">
        <v>1703</v>
      </c>
      <c r="U41" s="576"/>
      <c r="V41" s="2506" t="s">
        <v>1491</v>
      </c>
      <c r="W41" s="2507"/>
      <c r="X41" s="2507"/>
      <c r="Y41" s="2507"/>
      <c r="Z41" s="2507"/>
      <c r="AA41" s="2507"/>
      <c r="AB41" s="2508"/>
      <c r="AC41" s="2509" t="s">
        <v>1492</v>
      </c>
      <c r="AD41" s="2564" t="s">
        <v>1704</v>
      </c>
      <c r="AE41" s="2523"/>
      <c r="AF41" s="2523"/>
      <c r="AG41" s="2565"/>
      <c r="AH41" s="2564" t="s">
        <v>1705</v>
      </c>
      <c r="AI41" s="2523"/>
      <c r="AJ41" s="2523"/>
      <c r="AK41" s="2565"/>
      <c r="AL41" s="2564" t="s">
        <v>1706</v>
      </c>
      <c r="AM41" s="2523"/>
      <c r="AN41" s="2523"/>
      <c r="AO41" s="2565"/>
      <c r="AP41" s="2564" t="s">
        <v>1707</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1708</v>
      </c>
      <c r="W42" s="2356"/>
      <c r="X42" s="2355" t="s">
        <v>1709</v>
      </c>
      <c r="Y42" s="2356"/>
      <c r="Z42" s="2542" t="s">
        <v>1710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1708</v>
      </c>
      <c r="AU42" s="2356"/>
      <c r="AV42" s="2355" t="s">
        <v>1709</v>
      </c>
      <c r="AW42" s="2356"/>
      <c r="AX42" s="2542" t="s">
        <v>1710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135</v>
      </c>
      <c r="C44" s="1731" t="s">
        <v>136</v>
      </c>
      <c r="D44" s="1731" t="s">
        <v>137</v>
      </c>
      <c r="E44" s="1725" t="s">
        <v>1499</v>
      </c>
      <c r="F44" s="1725" t="s">
        <v>1500</v>
      </c>
      <c r="G44" s="1725" t="s">
        <v>1501</v>
      </c>
      <c r="H44" s="1725" t="s">
        <v>1502</v>
      </c>
      <c r="I44" s="1725" t="s">
        <v>1503</v>
      </c>
      <c r="J44" s="1725" t="s">
        <v>1504</v>
      </c>
      <c r="K44" s="1725" t="s">
        <v>1505</v>
      </c>
      <c r="L44" s="1725" t="s">
        <v>1480</v>
      </c>
      <c r="Q44" s="566"/>
      <c r="R44" s="667"/>
      <c r="S44" s="2505"/>
      <c r="T44" s="2366"/>
      <c r="U44" s="577"/>
      <c r="V44" s="1810" t="s">
        <v>1551</v>
      </c>
      <c r="W44" s="1810" t="s">
        <v>1552</v>
      </c>
      <c r="X44" s="1810" t="s">
        <v>1551</v>
      </c>
      <c r="Y44" s="1810" t="s">
        <v>1552</v>
      </c>
      <c r="Z44" s="1817"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10" t="s">
        <v>1551</v>
      </c>
      <c r="AU44" s="1810" t="s">
        <v>1552</v>
      </c>
      <c r="AV44" s="1810" t="s">
        <v>1551</v>
      </c>
      <c r="AW44" s="1810" t="s">
        <v>1552</v>
      </c>
      <c r="AX44" s="1817" t="s">
        <v>1508</v>
      </c>
      <c r="AY44" s="2502" t="s">
        <v>1509</v>
      </c>
      <c r="AZ44" s="2503"/>
      <c r="BA44" s="2511"/>
      <c r="BB44" s="2514"/>
      <c r="BC44" s="2342"/>
    </row>
    <row s="11084"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99</v>
      </c>
      <c r="T45" s="1606" t="s">
        <v>109</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237</v>
      </c>
      <c r="B46" s="1724"/>
      <c r="C46" s="1724"/>
      <c r="D46" s="1724"/>
      <c r="E46" s="2489">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123</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237</v>
      </c>
      <c r="B47" s="1724" t="s">
        <v>238</v>
      </c>
      <c r="C47" s="1724"/>
      <c r="D47" s="1724"/>
      <c r="E47" s="2490"/>
      <c r="F47" s="2489">
        <v>1</v>
      </c>
      <c r="G47" s="1724"/>
      <c r="H47" s="1724"/>
      <c r="I47" s="1724"/>
      <c r="J47" s="1724"/>
      <c r="K47" s="1724"/>
      <c r="L47" s="1725"/>
      <c r="M47" s="1726"/>
      <c r="N47" s="1726"/>
      <c r="O47" s="1726"/>
      <c r="P47" s="1772"/>
      <c r="Q47" s="1773"/>
      <c r="R47" s="639"/>
      <c r="S47" s="1819"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42">
      <c r="A48" s="1724" t="s">
        <v>237</v>
      </c>
      <c r="B48" s="1724" t="s">
        <v>238</v>
      </c>
      <c r="C48" s="1724" t="s">
        <v>239</v>
      </c>
      <c r="D48" s="1724"/>
      <c r="E48" s="2490"/>
      <c r="F48" s="2490"/>
      <c r="G48" s="2489">
        <v>1</v>
      </c>
      <c r="H48" s="1724"/>
      <c r="I48" s="1724"/>
      <c r="J48" s="1724"/>
      <c r="K48" s="1724"/>
      <c r="L48" s="1725"/>
      <c r="M48" s="1726"/>
      <c r="N48" s="1726"/>
      <c r="O48" s="1726"/>
      <c r="P48" s="1774"/>
      <c r="Q48" s="1773"/>
      <c r="R48" s="639"/>
      <c r="S48" s="1819" t="str">
        <f>INDEX(PT_DIFFERENTIATION_NUM_CS,MATCH(C48,PT_DIFFERENTIATION_CS_ID,0))</f>
        <v>..</v>
      </c>
      <c r="T48" s="586" t="s">
        <v>1677</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1678</v>
      </c>
      <c r="BE48" s="802"/>
      <c r="BF48" s="802" t="str">
        <f>IF(T48="","",T48)</f>
        <v>Наименование централизованной системы холодного водоснабжения</v>
      </c>
      <c r="BG48" s="802"/>
      <c r="BH48" s="802"/>
    </row>
    <row s="11901" customFormat="1" customHeight="1" ht="0">
      <c r="A49" s="1703" t="s">
        <v>237</v>
      </c>
      <c r="B49" s="1703" t="s">
        <v>238</v>
      </c>
      <c r="C49" s="1703" t="s">
        <v>239</v>
      </c>
      <c r="D49" s="1703" t="s">
        <v>1711</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901" customFormat="1" customHeight="1" ht="0">
      <c r="A50" s="1703" t="s">
        <v>237</v>
      </c>
      <c r="B50" s="1703" t="s">
        <v>238</v>
      </c>
      <c r="C50" s="1703" t="s">
        <v>239</v>
      </c>
      <c r="D50" s="1703" t="s">
        <v>1711</v>
      </c>
      <c r="E50" s="2490"/>
      <c r="F50" s="2490"/>
      <c r="G50" s="2490"/>
      <c r="H50" s="2490"/>
      <c r="I50" s="2518" t="str">
        <f>S49&amp;".1"</f>
        <v>.1</v>
      </c>
      <c r="J50" s="1703"/>
      <c r="K50" s="1703"/>
      <c r="L50" s="1706" t="s">
        <v>1468</v>
      </c>
      <c r="M50" s="812"/>
      <c r="N50" s="812"/>
      <c r="O50" s="812"/>
      <c r="P50" s="2488">
        <v>1</v>
      </c>
      <c r="Q50" s="1824"/>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237</v>
      </c>
      <c r="B51" s="1703" t="s">
        <v>238</v>
      </c>
      <c r="C51" s="1703" t="s">
        <v>239</v>
      </c>
      <c r="D51" s="1703" t="s">
        <v>1711</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237</v>
      </c>
      <c r="B52" s="1724" t="s">
        <v>238</v>
      </c>
      <c r="C52" s="1724" t="s">
        <v>239</v>
      </c>
      <c r="D52" s="1724" t="s">
        <v>1711</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21" t="s">
        <v>63</v>
      </c>
      <c r="AB52" s="2114"/>
      <c r="AC52" s="182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25">
        <v>1</v>
      </c>
      <c r="AS52" s="1828" t="s">
        <v>17</v>
      </c>
      <c r="AT52" s="4130"/>
      <c r="AU52" s="4132"/>
      <c r="AV52" s="4130"/>
      <c r="AW52" s="4132"/>
      <c r="AX52" s="2114"/>
      <c r="AY52" s="1821" t="s">
        <v>63</v>
      </c>
      <c r="AZ52" s="2114"/>
      <c r="BA52" s="1821" t="s">
        <v>63</v>
      </c>
      <c r="BB52" s="4231"/>
      <c r="BC52" s="2484" t="s">
        <v>1697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1698</v>
      </c>
      <c r="AT53" s="4290"/>
      <c r="AU53" s="4346"/>
      <c r="AV53" s="4290"/>
      <c r="AW53" s="4346"/>
      <c r="AX53" s="4290"/>
      <c r="AY53" s="4290"/>
      <c r="AZ53" s="4290"/>
      <c r="BA53" s="4290"/>
      <c r="BB53" s="4344"/>
      <c r="BC53" s="2485"/>
      <c r="BE53" s="802"/>
      <c r="BF53" s="802"/>
      <c r="BG53" s="802"/>
      <c r="BH53" s="802"/>
    </row>
    <row customHeight="1" ht="11.25">
      <c r="A54" s="1724" t="s">
        <v>237</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1699</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237</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1700</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237</v>
      </c>
      <c r="B56" s="1724" t="s">
        <v>238</v>
      </c>
      <c r="C56" s="1724" t="s">
        <v>239</v>
      </c>
      <c r="D56" s="1724" t="s">
        <v>1711</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237</v>
      </c>
      <c r="B57" s="1724" t="s">
        <v>238</v>
      </c>
      <c r="C57" s="1724" t="s">
        <v>239</v>
      </c>
      <c r="D57" s="1724" t="s">
        <v>1711</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237</v>
      </c>
      <c r="B58" s="1703" t="s">
        <v>238</v>
      </c>
      <c r="C58" s="1703" t="s">
        <v>239</v>
      </c>
      <c r="D58" s="1703" t="s">
        <v>1711</v>
      </c>
      <c r="E58" s="2490"/>
      <c r="F58" s="2490"/>
      <c r="G58" s="2490"/>
      <c r="H58" s="2490"/>
      <c r="I58" s="2518"/>
      <c r="J58" s="1703"/>
      <c r="K58" s="1703"/>
      <c r="L58" s="1706"/>
      <c r="M58" s="812"/>
      <c r="N58" s="812"/>
      <c r="O58" s="812"/>
      <c r="P58" s="2488"/>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237</v>
      </c>
      <c r="B59" s="1703" t="s">
        <v>238</v>
      </c>
      <c r="C59" s="1703" t="s">
        <v>239</v>
      </c>
      <c r="D59" s="1703" t="s">
        <v>1711</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237</v>
      </c>
      <c r="B60" s="1703" t="s">
        <v>238</v>
      </c>
      <c r="C60" s="1703" t="s">
        <v>239</v>
      </c>
      <c r="D60" s="1674"/>
      <c r="E60" s="2490"/>
      <c r="F60" s="2490"/>
      <c r="G60" s="2489"/>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237</v>
      </c>
      <c r="B61" s="1703" t="s">
        <v>238</v>
      </c>
      <c r="C61" s="1674"/>
      <c r="D61" s="1674"/>
      <c r="E61" s="2490"/>
      <c r="F61" s="2489"/>
      <c r="G61" s="1674"/>
      <c r="H61" s="1674"/>
      <c r="I61" s="1674"/>
      <c r="J61" s="1674"/>
      <c r="K61" s="1674"/>
      <c r="L61" s="182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237</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hidden="1">
      <c r="O67" s="839"/>
      <c r="S67" s="1598" t="s">
        <v>1510</v>
      </c>
      <c r="T67" s="2517" t="s">
        <v>1676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DEB6-225A-44E7-32C1-520663FB3725}" mc:Ignorable="x14ac xr xr2 xr3">
  <sheetPr>
    <tabColor theme="9" tint="-0.25"/>
  </sheetPr>
  <dimension ref="A1:AE315"/>
  <sheetViews>
    <sheetView topLeftCell="D20" showGridLines="0" zoomScale="90" workbookViewId="0" tabSelected="1">
      <selection activeCell="I124" sqref="I124"/>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4.5742187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customHeight="1" ht="11.25" hidden="1"/>
    <row customHeight="1" ht="23.25" hidden="1">
      <c r="B2" s="2590"/>
      <c r="C2" s="1493" t="s">
        <v>1713</v>
      </c>
      <c r="D2" s="2016"/>
      <c r="E2" s="848">
        <f>B2</f>
        <v>0</v>
      </c>
      <c r="F2" s="849"/>
      <c r="G2" s="2024" t="s">
        <v>1433</v>
      </c>
      <c r="H2" s="2024" t="s">
        <v>1433</v>
      </c>
      <c r="I2" s="2024" t="s">
        <v>1433</v>
      </c>
      <c r="J2" s="564" t="s">
        <v>1714</v>
      </c>
      <c r="K2" s="845"/>
    </row>
    <row s="12378" customFormat="1" customHeight="1" ht="0.75" hidden="1">
      <c r="B3" s="2590"/>
      <c r="C3" s="1493"/>
      <c r="D3" s="850"/>
      <c r="E3" s="851"/>
      <c r="F3" s="852" t="s">
        <v>1715</v>
      </c>
      <c r="G3" s="853"/>
      <c r="H3" s="853">
        <f>H4*H5+H7</f>
        <v>0</v>
      </c>
      <c r="I3" s="853">
        <f>I4*I5+I6</f>
        <v>0</v>
      </c>
      <c r="J3" s="854"/>
    </row>
    <row customHeight="1" ht="23.25" hidden="1">
      <c r="B4" s="2590"/>
      <c r="C4" s="1493"/>
      <c r="D4" s="2016"/>
      <c r="E4" s="848" t="str">
        <f>B2&amp;".1"</f>
        <v>.1</v>
      </c>
      <c r="F4" s="855" t="s">
        <v>1716</v>
      </c>
      <c r="G4" s="856"/>
      <c r="H4" s="843"/>
      <c r="I4" s="843"/>
      <c r="J4" s="564" t="s">
        <v>1717</v>
      </c>
      <c r="K4" s="845"/>
    </row>
    <row customHeight="1" ht="18.75" hidden="1">
      <c r="B5" s="2590"/>
      <c r="C5" s="1493"/>
      <c r="D5" s="2016"/>
      <c r="E5" s="848" t="str">
        <f>B2&amp;".2"</f>
        <v>.2</v>
      </c>
      <c r="F5" s="855" t="s">
        <v>1718</v>
      </c>
      <c r="G5" s="2024" t="s">
        <v>1719</v>
      </c>
      <c r="H5" s="843"/>
      <c r="I5" s="843"/>
      <c r="J5" s="564"/>
      <c r="K5" s="845"/>
    </row>
    <row customHeight="1" ht="18.75" hidden="1">
      <c r="B6" s="2590"/>
      <c r="C6" s="1493"/>
      <c r="D6" s="2016"/>
      <c r="E6" s="848" t="str">
        <f>B2&amp;".3"</f>
        <v>.3</v>
      </c>
      <c r="F6" s="855" t="s">
        <v>1720</v>
      </c>
      <c r="G6" s="2024" t="s">
        <v>1719</v>
      </c>
      <c r="H6" s="843"/>
      <c r="I6" s="843"/>
      <c r="J6" s="564"/>
      <c r="K6" s="845"/>
    </row>
    <row customHeight="1" ht="18.75" hidden="1">
      <c r="B7" s="2590"/>
      <c r="C7" s="1493"/>
      <c r="D7" s="2016"/>
      <c r="E7" s="848" t="str">
        <f>B2&amp;".4"</f>
        <v>.4</v>
      </c>
      <c r="F7" s="855" t="s">
        <v>1721</v>
      </c>
      <c r="G7" s="2024" t="s">
        <v>1433</v>
      </c>
      <c r="H7" s="857"/>
      <c r="I7" s="857"/>
      <c r="J7" s="564"/>
      <c r="K7" s="845"/>
    </row>
    <row s="11832" customFormat="1" customHeight="1" ht="11.25" hidden="1">
      <c r="A8" s="1308"/>
      <c r="C8" s="2014"/>
      <c r="D8" s="839"/>
      <c r="H8" s="1486">
        <v>4</v>
      </c>
      <c r="I8" s="1486">
        <v>4</v>
      </c>
      <c r="L8" s="2014"/>
      <c r="M8" s="2014"/>
      <c r="R8" s="2014"/>
    </row>
    <row s="11832" customFormat="1" customHeight="1" ht="22.5" hidden="1">
      <c r="A9" s="1308"/>
      <c r="C9" s="2014"/>
      <c r="D9" s="840"/>
      <c r="E9" s="2026"/>
      <c r="F9" s="842"/>
      <c r="G9" s="2024" t="s">
        <v>1719</v>
      </c>
      <c r="H9" s="843"/>
      <c r="I9" s="843"/>
      <c r="J9" s="844" t="s">
        <v>1722</v>
      </c>
      <c r="K9" s="845"/>
      <c r="L9" s="2014"/>
      <c r="M9" s="2014"/>
      <c r="R9" s="2014"/>
      <c r="U9" s="846"/>
      <c r="AA9" s="2010"/>
      <c r="AB9" s="2010"/>
      <c r="AC9" s="2010"/>
      <c r="AD9" s="2010"/>
      <c r="AE9" s="2010"/>
    </row>
    <row customHeight="1" ht="11.25" hidden="1"/>
    <row customHeight="1" ht="18.75" hidden="1">
      <c r="D11" s="2016"/>
      <c r="E11" s="848"/>
      <c r="F11" s="842"/>
      <c r="G11" s="2024" t="s">
        <v>799</v>
      </c>
      <c r="H11" s="843"/>
      <c r="I11" s="843"/>
      <c r="J11" s="564" t="s">
        <v>1723</v>
      </c>
      <c r="K11" s="845"/>
    </row>
    <row customHeight="1" ht="11.25" hidden="1"/>
    <row customHeight="1" ht="22.5" hidden="1">
      <c r="D13" s="2016"/>
      <c r="E13" s="848"/>
      <c r="F13" s="842"/>
      <c r="G13" s="1290" t="s">
        <v>1619</v>
      </c>
      <c r="H13" s="847"/>
      <c r="I13" s="847"/>
      <c r="J13" s="1048" t="s">
        <v>1724</v>
      </c>
      <c r="K13" s="845"/>
    </row>
    <row customHeight="1" ht="11.25" hidden="1"/>
    <row customHeight="1" ht="22.5" hidden="1">
      <c r="D15" s="2016"/>
      <c r="E15" s="848"/>
      <c r="F15" s="842"/>
      <c r="G15" s="2024" t="s">
        <v>1725</v>
      </c>
      <c r="H15" s="847"/>
      <c r="I15" s="847"/>
      <c r="J15" s="564" t="s">
        <v>1726</v>
      </c>
      <c r="K15" s="845"/>
    </row>
    <row customHeight="1" ht="11.25" hidden="1"/>
    <row customHeight="1" ht="22.5" hidden="1">
      <c r="D17" s="2016"/>
      <c r="E17" s="848"/>
      <c r="F17" s="842"/>
      <c r="G17" s="2024" t="s">
        <v>1727</v>
      </c>
      <c r="H17" s="847"/>
      <c r="I17" s="847"/>
      <c r="J17" s="564" t="s">
        <v>1728</v>
      </c>
      <c r="K17" s="845"/>
    </row>
    <row customHeight="1" ht="11.25" hidden="1"/>
    <row s="12395"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7"/>
      <c r="G21" s="2467"/>
      <c r="H21" s="2467"/>
      <c r="I21" s="2468"/>
      <c r="J21" s="858"/>
    </row>
    <row customHeight="1" ht="24">
      <c r="E22"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70"/>
      <c r="G22" s="2470"/>
      <c r="H22" s="2470"/>
      <c r="I22" s="2471"/>
    </row>
    <row customHeight="1" ht="11.25">
      <c r="E23" s="1461"/>
      <c r="F23" s="1461"/>
      <c r="G23" s="1461"/>
      <c r="H23" s="1461"/>
      <c r="I23" s="1461"/>
    </row>
    <row s="12378" customFormat="1" customHeight="1" ht="0.75">
      <c r="A24" s="1493"/>
      <c r="D24" s="2020"/>
      <c r="H24" s="1203"/>
      <c r="I24" s="1203" t="s">
        <v>116</v>
      </c>
    </row>
    <row customHeight="1" ht="11.25">
      <c r="E25" s="1013"/>
      <c r="F25" s="2610" t="s">
        <v>105</v>
      </c>
      <c r="G25" s="2611"/>
      <c r="H25" s="2030" t="str">
        <f>IF(H24="","",INDEX(DIFFERENTIATION_UNMERGE_VD,MATCH(H24,DIFFERENTIATION_ID_DIFF,0)))</f>
        <v/>
      </c>
      <c r="I25" s="203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42"/>
    </row>
    <row customHeight="1" ht="11.25">
      <c r="E26" s="1013"/>
      <c r="F26" s="2610" t="s">
        <v>1421</v>
      </c>
      <c r="G26" s="2611"/>
      <c r="H26" s="2030" t="str">
        <f>IF(H24="","",INDEX(DIFFERENTIATION_UNMERGE_AREA,MATCH(H24,DIFFERENTIATION_ID_DIFF,0)))</f>
        <v/>
      </c>
      <c r="I26" s="2030" t="str">
        <f>IF(I24="","",INDEX(DIFFERENTIATION_UNMERGE_AREA,MATCH(I24,DIFFERENTIATION_ID_DIFF,0)))</f>
        <v>Территория 1</v>
      </c>
      <c r="J26" s="2342"/>
    </row>
    <row customHeight="1" ht="11.25">
      <c r="E27" s="1013"/>
      <c r="F27" s="2610" t="s">
        <v>1422</v>
      </c>
      <c r="G27" s="2611"/>
      <c r="H27" s="2030" t="str">
        <f>IF(H24="","",INDEX(DIFFERENTIATION_UNMERGE_SYSTEM,MATCH(H24,DIFFERENTIATION_ID_DIFF,0)))</f>
        <v/>
      </c>
      <c r="I27" s="2030" t="str">
        <f>IF(I24="","",INDEX(DIFFERENTIATION_UNMERGE_SYSTEM,MATCH(I24,DIFFERENTIATION_ID_DIFF,0)))</f>
        <v>без дифференциации</v>
      </c>
      <c r="J27" s="2342"/>
    </row>
    <row customHeight="1" ht="11.25">
      <c r="E28" s="2612" t="s">
        <v>291</v>
      </c>
      <c r="F28" s="2613"/>
      <c r="G28" s="2613"/>
      <c r="H28" s="2023"/>
      <c r="I28" s="2023"/>
      <c r="J28" s="2342"/>
    </row>
    <row customHeight="1" ht="22.5">
      <c r="E29" s="2024" t="s">
        <v>88</v>
      </c>
      <c r="F29" s="2031" t="s">
        <v>293</v>
      </c>
      <c r="G29" s="2031" t="s">
        <v>1600</v>
      </c>
      <c r="H29" s="2031" t="s">
        <v>294</v>
      </c>
      <c r="I29" s="2031" t="s">
        <v>294</v>
      </c>
      <c r="J29" s="2342"/>
    </row>
    <row customHeight="1" ht="27">
      <c r="D30" s="2016"/>
      <c r="E30" s="848">
        <f>FHD_NUM_P_1</f>
        <v>1</v>
      </c>
      <c r="F30" s="1009" t="str">
        <f>FHD_P_1</f>
        <v>Выручка от регулируемого вида деятельности с распределением по видам деятельности</v>
      </c>
      <c r="G30" s="2024" t="s">
        <v>1719</v>
      </c>
      <c r="H30" s="859"/>
      <c r="I30" s="859">
        <v>234.45667</v>
      </c>
      <c r="J30" s="564" t="str">
        <f>FHD_NOTE_P_1</f>
        <v>Указывается выручка от регулируемого вида деятельности с распределением по видам деятельности.</v>
      </c>
      <c r="K30" s="845"/>
    </row>
    <row customHeight="1" ht="27">
      <c r="D31" s="2016"/>
      <c r="E31" s="848">
        <f>FHD_NUM_P_2</f>
        <v>2</v>
      </c>
      <c r="F31" s="1009" t="str">
        <f>FHD_P_2</f>
        <v>Себестоимость производимых товаров (оказываемых услуг) по регулируемому виду деятельности, включая:</v>
      </c>
      <c r="G31" s="2024" t="s">
        <v>1719</v>
      </c>
      <c r="H31" s="860">
        <f>SUMIF($K33:$K84,$K31,H33:H84)</f>
        <v>0</v>
      </c>
      <c r="I31" s="860">
        <f>SUMIF($K33:$K84,$K31,I33:I84)</f>
        <v>4983.374620208</v>
      </c>
      <c r="J31" s="564" t="str">
        <f>FHD_NOTE_P_2</f>
        <v>Указывается суммарная себестоимость производимых товаров.</v>
      </c>
      <c r="K31" s="2014" t="s">
        <v>1729</v>
      </c>
    </row>
    <row customHeight="1" ht="25.5">
      <c r="D32" s="2016"/>
      <c r="E32" s="848" t="str">
        <f>FHD_NUM_P_3</f>
        <v>2.1</v>
      </c>
      <c r="F32" s="1275" t="str">
        <f>FHD_P_3</f>
        <v>Расходы на приобретаемую тепловую энергию (мощность), теплоноситель</v>
      </c>
      <c r="G32" s="2024" t="s">
        <v>1719</v>
      </c>
      <c r="H32" s="859"/>
      <c r="I32" s="859">
        <v>0</v>
      </c>
      <c r="J32" s="564" t="str">
        <f>FHD_NOTE_P_3</f>
        <v/>
      </c>
      <c r="K32" s="2014" t="str">
        <f>IF((LEN(E32)-LEN(SUBSTITUTE(E32,".","")))/LEN(".")=1,"p","")</f>
        <v>p</v>
      </c>
    </row>
    <row customHeight="1" ht="35.25">
      <c r="A33" s="2656" t="s">
        <v>1730</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1719</v>
      </c>
      <c r="H33" s="860">
        <f>SUMIF($F34:$F46,$F3,H34:H46)</f>
        <v>0</v>
      </c>
      <c r="I33" s="860">
        <f>SUMIF($F34:$F46,$F3,I34:I46)</f>
        <v>595.347620208</v>
      </c>
      <c r="J33" s="564" t="str">
        <f>FHD_NOTE_P_4</f>
        <v>Указываются суммарные расходы на приобретение топлива всех видов.</v>
      </c>
      <c r="K33" s="2014" t="str">
        <f>IF((LEN(E33)-LEN(SUBSTITUTE(E33,".","")))/LEN(".")=1,"p","")</f>
        <v>p</v>
      </c>
    </row>
    <row s="12407" customFormat="1" customHeight="1" ht="0.75">
      <c r="A34" s="2656"/>
      <c r="B34" s="2657"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407" customFormat="1" customHeight="1" ht="0.75">
      <c r="A35" s="2656"/>
      <c r="B35" s="2657"/>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407" customFormat="1" customHeight="1" ht="0.75">
      <c r="A36" s="2656"/>
      <c r="B36" s="2657"/>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407" customFormat="1" customHeight="1" ht="0.75">
      <c r="A37" s="2656"/>
      <c r="B37" s="2657"/>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407" customFormat="1" customHeight="1" ht="0.75">
      <c r="A38" s="2656"/>
      <c r="B38" s="2657"/>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407" customFormat="1" customHeight="1" ht="0.75">
      <c r="A39" s="2656"/>
      <c r="B39" s="2657"/>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419" customFormat="1" customHeight="1" ht="23.25">
      <c r="A40" s="9828"/>
      <c r="B40" s="9829" t="str">
        <f>E33&amp;".1"</f>
        <v>2.2.1</v>
      </c>
      <c r="C40" s="9830" t="s">
        <v>1713</v>
      </c>
      <c r="D40" s="9831" t="s">
        <v>1109</v>
      </c>
      <c r="E40" s="9832" t="str">
        <f>B40</f>
        <v>2.2.1</v>
      </c>
      <c r="F40" s="9833" t="s">
        <v>791</v>
      </c>
      <c r="G40" s="9834" t="s">
        <v>1433</v>
      </c>
      <c r="H40" s="9834" t="s">
        <v>1433</v>
      </c>
      <c r="I40" s="9834" t="s">
        <v>1433</v>
      </c>
      <c r="J40" s="9835" t="s">
        <v>1714</v>
      </c>
      <c r="K40" s="9836"/>
      <c r="L40" s="9837"/>
      <c r="M40" s="9837"/>
      <c r="N40" s="9838"/>
      <c r="O40" s="9838"/>
      <c r="P40" s="9838"/>
      <c r="Q40" s="9838"/>
      <c r="R40" s="9837"/>
      <c r="S40" s="9838"/>
      <c r="T40" s="9838"/>
      <c r="U40" s="9839"/>
      <c r="V40" s="9838"/>
      <c r="W40" s="9838"/>
      <c r="X40" s="9838"/>
      <c r="Y40" s="9838"/>
      <c r="Z40" s="9838"/>
      <c r="AA40" s="9840"/>
      <c r="AB40" s="9840"/>
      <c r="AC40" s="9840"/>
      <c r="AD40" s="9840"/>
      <c r="AE40" s="9840"/>
    </row>
    <row s="12433" customFormat="1" customHeight="1" ht="0.75" hidden="1">
      <c r="A41" s="9837"/>
      <c r="B41" s="9829" t="str">
        <f>E33&amp;".0"</f>
        <v>2.2.0</v>
      </c>
      <c r="C41" s="9830"/>
      <c r="D41" s="9830"/>
      <c r="E41" s="9842"/>
      <c r="F41" s="9843" t="s">
        <v>1715</v>
      </c>
      <c r="G41" s="9844"/>
      <c r="H41" s="9844">
        <f>H42*H43+H45</f>
        <v>0</v>
      </c>
      <c r="I41" s="9844">
        <f>I42*I43+I44</f>
        <v>595.347620208</v>
      </c>
      <c r="J41" s="9845"/>
      <c r="K41" s="9837"/>
      <c r="L41" s="9837"/>
      <c r="M41" s="9837"/>
      <c r="N41" s="9837"/>
      <c r="O41" s="9837"/>
      <c r="P41" s="9837"/>
      <c r="Q41" s="9837"/>
      <c r="R41" s="9837"/>
      <c r="S41" s="9837"/>
      <c r="T41" s="9837"/>
      <c r="U41" s="9837"/>
      <c r="V41" s="9837"/>
      <c r="W41" s="9837"/>
      <c r="X41" s="9837"/>
      <c r="Y41" s="9837"/>
      <c r="Z41" s="9837"/>
      <c r="AA41" s="9837"/>
      <c r="AB41" s="9837"/>
      <c r="AC41" s="9837"/>
      <c r="AD41" s="9837"/>
      <c r="AE41" s="9837"/>
    </row>
    <row s="12438" customFormat="1" customHeight="1" ht="23.25">
      <c r="A42" s="9828"/>
      <c r="B42" s="9829" t="str">
        <f>E33&amp;".0"</f>
        <v>2.2.0</v>
      </c>
      <c r="C42" s="9830"/>
      <c r="D42" s="9847"/>
      <c r="E42" s="9832" t="str">
        <f>B40&amp;".1"</f>
        <v>2.2.1.1</v>
      </c>
      <c r="F42" s="9848" t="s">
        <v>1716</v>
      </c>
      <c r="G42" s="9849" t="s">
        <v>792</v>
      </c>
      <c r="H42" s="9850"/>
      <c r="I42" s="9850">
        <v>95.208</v>
      </c>
      <c r="J42" s="9835" t="s">
        <v>1717</v>
      </c>
      <c r="K42" s="9836"/>
      <c r="L42" s="9837"/>
      <c r="M42" s="9837"/>
      <c r="N42" s="9838"/>
      <c r="O42" s="9838"/>
      <c r="P42" s="9838"/>
      <c r="Q42" s="9838"/>
      <c r="R42" s="9837"/>
      <c r="S42" s="9838"/>
      <c r="T42" s="9838"/>
      <c r="U42" s="9839"/>
      <c r="V42" s="9838"/>
      <c r="W42" s="9838"/>
      <c r="X42" s="9838"/>
      <c r="Y42" s="9838"/>
      <c r="Z42" s="9838"/>
      <c r="AA42" s="9840"/>
      <c r="AB42" s="9840"/>
      <c r="AC42" s="9840"/>
      <c r="AD42" s="9840"/>
      <c r="AE42" s="9840"/>
    </row>
    <row s="12443" customFormat="1" customHeight="1" ht="18.75">
      <c r="A43" s="9828"/>
      <c r="B43" s="9829" t="str">
        <f>E33&amp;".0"</f>
        <v>2.2.0</v>
      </c>
      <c r="C43" s="9830"/>
      <c r="D43" s="9847"/>
      <c r="E43" s="9832" t="str">
        <f>B40&amp;".2"</f>
        <v>2.2.1.2</v>
      </c>
      <c r="F43" s="9848" t="s">
        <v>1718</v>
      </c>
      <c r="G43" s="9834" t="s">
        <v>1719</v>
      </c>
      <c r="H43" s="9850"/>
      <c r="I43" s="9850">
        <v>6.253126</v>
      </c>
      <c r="J43" s="9835"/>
      <c r="K43" s="9836"/>
      <c r="L43" s="9837"/>
      <c r="M43" s="9837"/>
      <c r="N43" s="9838"/>
      <c r="O43" s="9838"/>
      <c r="P43" s="9838"/>
      <c r="Q43" s="9838"/>
      <c r="R43" s="9837"/>
      <c r="S43" s="9838"/>
      <c r="T43" s="9838"/>
      <c r="U43" s="9839"/>
      <c r="V43" s="9838"/>
      <c r="W43" s="9838"/>
      <c r="X43" s="9838"/>
      <c r="Y43" s="9838"/>
      <c r="Z43" s="9838"/>
      <c r="AA43" s="9840"/>
      <c r="AB43" s="9840"/>
      <c r="AC43" s="9840"/>
      <c r="AD43" s="9840"/>
      <c r="AE43" s="9840"/>
    </row>
    <row s="12444" customFormat="1" customHeight="1" ht="18.75">
      <c r="A44" s="9828"/>
      <c r="B44" s="9829" t="str">
        <f>E33&amp;".0"</f>
        <v>2.2.0</v>
      </c>
      <c r="C44" s="9830"/>
      <c r="D44" s="9847"/>
      <c r="E44" s="9832" t="str">
        <f>B40&amp;".3"</f>
        <v>2.2.1.3</v>
      </c>
      <c r="F44" s="9848" t="s">
        <v>1720</v>
      </c>
      <c r="G44" s="9834" t="s">
        <v>1719</v>
      </c>
      <c r="H44" s="9850"/>
      <c r="I44" s="9850">
        <v>0</v>
      </c>
      <c r="J44" s="9835"/>
      <c r="K44" s="9836"/>
      <c r="L44" s="9837"/>
      <c r="M44" s="9837"/>
      <c r="N44" s="9838"/>
      <c r="O44" s="9838"/>
      <c r="P44" s="9838"/>
      <c r="Q44" s="9838"/>
      <c r="R44" s="9837"/>
      <c r="S44" s="9838"/>
      <c r="T44" s="9838"/>
      <c r="U44" s="9839"/>
      <c r="V44" s="9838"/>
      <c r="W44" s="9838"/>
      <c r="X44" s="9838"/>
      <c r="Y44" s="9838"/>
      <c r="Z44" s="9838"/>
      <c r="AA44" s="9840"/>
      <c r="AB44" s="9840"/>
      <c r="AC44" s="9840"/>
      <c r="AD44" s="9840"/>
      <c r="AE44" s="9840"/>
    </row>
    <row s="12445" customFormat="1" customHeight="1" ht="18.75">
      <c r="A45" s="9828"/>
      <c r="B45" s="9829" t="str">
        <f>E33&amp;".0"</f>
        <v>2.2.0</v>
      </c>
      <c r="C45" s="9830"/>
      <c r="D45" s="9847"/>
      <c r="E45" s="9832" t="str">
        <f>B40&amp;".4"</f>
        <v>2.2.1.4</v>
      </c>
      <c r="F45" s="9848" t="s">
        <v>1721</v>
      </c>
      <c r="G45" s="9834" t="s">
        <v>1433</v>
      </c>
      <c r="H45" s="9854"/>
      <c r="I45" s="9854" t="s">
        <v>990</v>
      </c>
      <c r="J45" s="9835"/>
      <c r="K45" s="9836"/>
      <c r="L45" s="9837"/>
      <c r="M45" s="9837"/>
      <c r="N45" s="9838"/>
      <c r="O45" s="9838"/>
      <c r="P45" s="9838"/>
      <c r="Q45" s="9838"/>
      <c r="R45" s="9837"/>
      <c r="S45" s="9838"/>
      <c r="T45" s="9838"/>
      <c r="U45" s="9839"/>
      <c r="V45" s="9838"/>
      <c r="W45" s="9838"/>
      <c r="X45" s="9838"/>
      <c r="Y45" s="9838"/>
      <c r="Z45" s="9838"/>
      <c r="AA45" s="9840"/>
      <c r="AB45" s="9840"/>
      <c r="AC45" s="9840"/>
      <c r="AD45" s="9840"/>
      <c r="AE45" s="9840"/>
    </row>
    <row s="11832" customFormat="1" customHeight="1" ht="15">
      <c r="A46" s="2656"/>
      <c r="C46" s="2014"/>
      <c r="D46" s="2011"/>
      <c r="E46" s="872"/>
      <c r="F46" s="873" t="s">
        <v>1731</v>
      </c>
      <c r="G46" s="874"/>
      <c r="H46" s="875"/>
      <c r="I46" s="875"/>
      <c r="J46" s="576"/>
      <c r="K46" s="2014" t="str">
        <f>IF((LEN(E46)-LEN(SUBSTITUTE(E46,".","")))/LEN(".")=1,"p","")</f>
        <v/>
      </c>
      <c r="L46" s="2014"/>
      <c r="M46" s="2014"/>
      <c r="R46" s="2014"/>
      <c r="U46" s="846"/>
      <c r="AA46" s="2010"/>
      <c r="AB46" s="2010"/>
      <c r="AC46" s="2010"/>
      <c r="AD46" s="2010"/>
      <c r="AE46" s="2010"/>
    </row>
    <row customHeight="1" ht="11.25" hidden="1">
      <c r="A47" s="2656" t="s">
        <v>1732</v>
      </c>
      <c r="D47" s="2016"/>
      <c r="E47" s="848" t="str">
        <f>FHD_NUM_P_5</f>
        <v/>
      </c>
      <c r="F47" s="1275" t="str">
        <f>FHD_P_5</f>
        <v/>
      </c>
      <c r="G47" s="2024" t="s">
        <v>1719</v>
      </c>
      <c r="H47" s="859"/>
      <c r="I47" s="859"/>
      <c r="J47" s="564" t="str">
        <f>FHD_NOTE_P_5</f>
        <v/>
      </c>
      <c r="K47" s="2014" t="str">
        <f>IF((LEN(E47)-LEN(SUBSTITUTE(E47,".","")))/LEN(".")=1,"p","")</f>
        <v/>
      </c>
    </row>
    <row customHeight="1" ht="11.25" hidden="1">
      <c r="A48" s="2656"/>
      <c r="D48" s="2016"/>
      <c r="E48" s="848" t="str">
        <f>FHD_NUM_P_6</f>
        <v/>
      </c>
      <c r="F48" s="1275" t="str">
        <f>FHD_P_6</f>
        <v/>
      </c>
      <c r="G48" s="2024" t="s">
        <v>1719</v>
      </c>
      <c r="H48" s="859"/>
      <c r="I48" s="859"/>
      <c r="J48" s="564" t="str">
        <f>FHD_NOTE_P_6</f>
        <v/>
      </c>
      <c r="K48" s="2014" t="str">
        <f>IF((LEN(E48)-LEN(SUBSTITUTE(E48,".","")))/LEN(".")=1,"p","")</f>
        <v/>
      </c>
    </row>
    <row customHeight="1" ht="11.25" hidden="1">
      <c r="A49" s="2656"/>
      <c r="D49" s="2016"/>
      <c r="E49" s="848" t="str">
        <f>FHD_NUM_P_7</f>
        <v/>
      </c>
      <c r="F49" s="1275" t="str">
        <f>FHD_P_7</f>
        <v/>
      </c>
      <c r="G49" s="2024" t="s">
        <v>1719</v>
      </c>
      <c r="H49" s="859"/>
      <c r="I49" s="859"/>
      <c r="J49" s="564" t="str">
        <f>FHD_NOTE_P_7</f>
        <v/>
      </c>
      <c r="K49" s="2014" t="str">
        <f>IF((LEN(E49)-LEN(SUBSTITUTE(E49,".","")))/LEN(".")=1,"p","")</f>
        <v/>
      </c>
    </row>
    <row customHeight="1" ht="38.25">
      <c r="D50" s="2016"/>
      <c r="E50" s="848" t="str">
        <f>FHD_NUM_P_8</f>
        <v>2.3</v>
      </c>
      <c r="F50" s="1275" t="str">
        <f>FHD_P_8</f>
        <v>Расходы на приобретаемую электрическую энергию (мощность), используемую в технологическом процессе</v>
      </c>
      <c r="G50" s="2024" t="s">
        <v>1719</v>
      </c>
      <c r="H50" s="859"/>
      <c r="I50" s="859">
        <v>341.206</v>
      </c>
      <c r="J50" s="564" t="str">
        <f>FHD_NOTE_P_8</f>
        <v/>
      </c>
      <c r="K50" s="2014" t="str">
        <f>IF((LEN(E50)-LEN(SUBSTITUTE(E50,".","")))/LEN(".")=1,"p","")</f>
        <v>p</v>
      </c>
    </row>
    <row customHeight="1" ht="21.75">
      <c r="D51" s="2016"/>
      <c r="E51" s="848" t="str">
        <f>FHD_NUM_P_9</f>
        <v>2.3.1</v>
      </c>
      <c r="F51" s="2028" t="str">
        <f>FHD_P_9</f>
        <v>Средневзвешенная стоимость 1 кВт.ч (с учетом мощности)</v>
      </c>
      <c r="G51" s="2024" t="s">
        <v>1617</v>
      </c>
      <c r="H51" s="859"/>
      <c r="I51" s="859">
        <v>7.192</v>
      </c>
      <c r="J51" s="564" t="str">
        <f>FHD_NOTE_P_9</f>
        <v/>
      </c>
      <c r="K51" s="2014" t="str">
        <f>IF((LEN(E51)-LEN(SUBSTITUTE(E51,".","")))/LEN(".")=1,"p","")</f>
        <v/>
      </c>
    </row>
    <row s="11832" customFormat="1" customHeight="1" ht="25.5">
      <c r="A52" s="1308"/>
      <c r="C52" s="2014"/>
      <c r="D52" s="876"/>
      <c r="E52" s="848" t="str">
        <f>FHD_NUM_P_10</f>
        <v>2.3.2</v>
      </c>
      <c r="F52" s="2028" t="str">
        <f>FHD_P_10</f>
        <v>Объём приобретения электрической энергии</v>
      </c>
      <c r="G52" s="2024" t="s">
        <v>1733</v>
      </c>
      <c r="H52" s="859"/>
      <c r="I52" s="859">
        <v>47.44</v>
      </c>
      <c r="J52" s="564" t="str">
        <f>FHD_NOTE_P_10</f>
        <v/>
      </c>
      <c r="K52" s="2014" t="str">
        <f>IF((LEN(E52)-LEN(SUBSTITUTE(E52,".","")))/LEN(".")=1,"p","")</f>
        <v/>
      </c>
      <c r="L52" s="2014"/>
      <c r="M52" s="2014"/>
      <c r="R52" s="2014"/>
      <c r="U52" s="846"/>
      <c r="AA52" s="2010"/>
      <c r="AB52" s="2010"/>
      <c r="AC52" s="2010"/>
      <c r="AD52" s="2010"/>
      <c r="AE52" s="2010"/>
    </row>
    <row s="11832" customFormat="1" customHeight="1" ht="27.75">
      <c r="A53" s="1310" t="s">
        <v>1734</v>
      </c>
      <c r="C53" s="2014"/>
      <c r="D53" s="877"/>
      <c r="E53" s="848" t="str">
        <f>FHD_NUM_P_11</f>
        <v>2.4</v>
      </c>
      <c r="F53" s="1275" t="str">
        <f>FHD_P_11</f>
        <v>Расходы на приобретение холодной воды, используемой в технологическом процессе</v>
      </c>
      <c r="G53" s="2024" t="s">
        <v>1719</v>
      </c>
      <c r="H53" s="859"/>
      <c r="I53" s="859">
        <v>5.014</v>
      </c>
      <c r="J53" s="564" t="str">
        <f>FHD_NOTE_P_11</f>
        <v/>
      </c>
      <c r="K53" s="2014" t="str">
        <f>IF((LEN(E53)-LEN(SUBSTITUTE(E53,".","")))/LEN(".")=1,"p","")</f>
        <v>p</v>
      </c>
      <c r="L53" s="2014"/>
      <c r="M53" s="2014"/>
      <c r="R53" s="2014"/>
      <c r="U53" s="846"/>
      <c r="AA53" s="2010"/>
      <c r="AB53" s="2010"/>
      <c r="AC53" s="2010"/>
      <c r="AD53" s="2010"/>
      <c r="AE53" s="2010"/>
    </row>
    <row s="11832" customFormat="1" customHeight="1" ht="21.75">
      <c r="A54" s="1310" t="s">
        <v>1735</v>
      </c>
      <c r="C54" s="2014"/>
      <c r="D54" s="2016"/>
      <c r="E54" s="848" t="str">
        <f>FHD_NUM_P_12</f>
        <v>2.5</v>
      </c>
      <c r="F54" s="1275" t="str">
        <f>FHD_P_12</f>
        <v>Расходы на химические реагенты, используемые в технологическом процессе</v>
      </c>
      <c r="G54" s="2024" t="s">
        <v>1719</v>
      </c>
      <c r="H54" s="879"/>
      <c r="I54" s="879">
        <v>0</v>
      </c>
      <c r="J54" s="564" t="str">
        <f>FHD_NOTE_P_12</f>
        <v/>
      </c>
      <c r="K54" s="2014" t="str">
        <f>IF((LEN(E54)-LEN(SUBSTITUTE(E54,".","")))/LEN(".")=1,"p","")</f>
        <v>p</v>
      </c>
      <c r="L54" s="2014"/>
      <c r="M54" s="2014"/>
      <c r="R54" s="2014"/>
      <c r="U54" s="846"/>
      <c r="AA54" s="2010"/>
      <c r="AB54" s="2010"/>
      <c r="AC54" s="2010"/>
      <c r="AD54" s="2010"/>
      <c r="AE54" s="2010"/>
    </row>
    <row s="12454" customFormat="1" customHeight="1" ht="31.5">
      <c r="A55" s="1309"/>
      <c r="C55" s="1033"/>
      <c r="D55" s="975"/>
      <c r="E55" s="848" t="str">
        <f>FHD_NUM_P_13</f>
        <v>2.6</v>
      </c>
      <c r="F55"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024" t="s">
        <v>1719</v>
      </c>
      <c r="H55" s="859"/>
      <c r="I55" s="859">
        <v>0</v>
      </c>
      <c r="J55" s="564" t="str">
        <f>FHD_NOTE_P_13</f>
        <v/>
      </c>
      <c r="K55" s="2014" t="str">
        <f>IF((LEN(E55)-LEN(SUBSTITUTE(E55,".","")))/LEN(".")=1,"p","")</f>
        <v>p</v>
      </c>
      <c r="L55" s="1033"/>
      <c r="M55" s="1033"/>
      <c r="R55" s="1033"/>
      <c r="U55" s="1034"/>
      <c r="AA55" s="1035"/>
      <c r="AB55" s="1035"/>
      <c r="AC55" s="1035"/>
      <c r="AD55" s="1035"/>
      <c r="AE55" s="1035"/>
    </row>
    <row s="12454" customFormat="1" customHeight="1" ht="23.25">
      <c r="A56" s="1309"/>
      <c r="C56" s="1033"/>
      <c r="D56" s="975"/>
      <c r="E56" s="848" t="str">
        <f>FHD_NUM_P_14</f>
        <v>2.6.1</v>
      </c>
      <c r="F56" s="2028" t="str">
        <f>FHD_P_14</f>
        <v>Расходы на оплату труда основного производственного персонала</v>
      </c>
      <c r="G56" s="2024" t="s">
        <v>1719</v>
      </c>
      <c r="H56" s="859"/>
      <c r="I56" s="859">
        <v>0</v>
      </c>
      <c r="J56" s="564" t="str">
        <f>FHD_NOTE_P_14</f>
        <v/>
      </c>
      <c r="K56" s="2014" t="str">
        <f>IF((LEN(E56)-LEN(SUBSTITUTE(E56,".","")))/LEN(".")=1,"p","")</f>
        <v/>
      </c>
      <c r="L56" s="1033"/>
      <c r="M56" s="1033"/>
      <c r="R56" s="1033"/>
      <c r="U56" s="1034"/>
      <c r="AA56" s="1035"/>
      <c r="AB56" s="1035"/>
      <c r="AC56" s="1035"/>
      <c r="AD56" s="1035"/>
      <c r="AE56" s="1035"/>
    </row>
    <row s="12454" customFormat="1" customHeight="1" ht="48">
      <c r="A57" s="1309"/>
      <c r="C57" s="1033"/>
      <c r="D57" s="975"/>
      <c r="E57" s="848" t="str">
        <f>FHD_NUM_P_15</f>
        <v>2.6.2</v>
      </c>
      <c r="F57" s="2028" t="str">
        <f>FHD_P_15</f>
        <v>Страховые взносы на обязательное социальное страхование, выплачиваемые из фонда оплаты труда основного производственного персонала</v>
      </c>
      <c r="G57" s="2024" t="s">
        <v>1719</v>
      </c>
      <c r="H57" s="859"/>
      <c r="I57" s="859">
        <v>0</v>
      </c>
      <c r="J57" s="564" t="str">
        <f>FHD_NOTE_P_15</f>
        <v/>
      </c>
      <c r="K57" s="2014" t="str">
        <f>IF((LEN(E57)-LEN(SUBSTITUTE(E57,".","")))/LEN(".")=1,"p","")</f>
        <v/>
      </c>
      <c r="L57" s="1033"/>
      <c r="M57" s="1033"/>
      <c r="R57" s="1033"/>
      <c r="U57" s="1034"/>
      <c r="AA57" s="1035"/>
      <c r="AB57" s="1035"/>
      <c r="AC57" s="1035"/>
      <c r="AD57" s="1035"/>
      <c r="AE57" s="1035"/>
    </row>
    <row s="11832" customFormat="1" customHeight="1" ht="36.75">
      <c r="A58" s="1308"/>
      <c r="C58" s="2014"/>
      <c r="D58" s="2016"/>
      <c r="E58" s="848" t="str">
        <f>FHD_NUM_P_16</f>
        <v>2.7</v>
      </c>
      <c r="F58"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024" t="s">
        <v>1719</v>
      </c>
      <c r="H58" s="859"/>
      <c r="I58" s="859">
        <v>0</v>
      </c>
      <c r="J58" s="564" t="str">
        <f>FHD_NOTE_P_16</f>
        <v/>
      </c>
      <c r="K58" s="2014" t="str">
        <f>IF((LEN(E58)-LEN(SUBSTITUTE(E58,".","")))/LEN(".")=1,"p","")</f>
        <v>p</v>
      </c>
      <c r="L58" s="2014"/>
      <c r="M58" s="2020"/>
      <c r="N58" s="839"/>
      <c r="O58" s="839"/>
      <c r="R58" s="2014"/>
      <c r="U58" s="846"/>
      <c r="AA58" s="2010"/>
      <c r="AB58" s="2010"/>
      <c r="AC58" s="2010"/>
      <c r="AD58" s="2010"/>
      <c r="AE58" s="2010"/>
    </row>
    <row s="11832" customFormat="1" customHeight="1" ht="31.5">
      <c r="A59" s="1308"/>
      <c r="C59" s="2014"/>
      <c r="D59" s="2016"/>
      <c r="E59" s="848" t="str">
        <f>FHD_NUM_P_17</f>
        <v>2.7.1</v>
      </c>
      <c r="F59" s="2028" t="str">
        <f>FHD_P_17</f>
        <v>Расходы на оплату труда административно-управленческого персонала</v>
      </c>
      <c r="G59" s="2024" t="s">
        <v>1719</v>
      </c>
      <c r="H59" s="859"/>
      <c r="I59" s="859">
        <v>0</v>
      </c>
      <c r="J59" s="564" t="str">
        <f>FHD_NOTE_P_17</f>
        <v/>
      </c>
      <c r="K59" s="2014" t="str">
        <f>IF((LEN(E59)-LEN(SUBSTITUTE(E59,".","")))/LEN(".")=1,"p","")</f>
        <v/>
      </c>
      <c r="L59" s="2014"/>
      <c r="M59" s="2020"/>
      <c r="N59" s="839"/>
      <c r="O59" s="839"/>
      <c r="R59" s="2014"/>
      <c r="U59" s="846"/>
      <c r="AA59" s="2010"/>
      <c r="AB59" s="2010"/>
      <c r="AC59" s="2010"/>
      <c r="AD59" s="2010"/>
      <c r="AE59" s="2010"/>
    </row>
    <row s="11832" customFormat="1" customHeight="1" ht="39">
      <c r="A60" s="1308"/>
      <c r="C60" s="2014"/>
      <c r="D60" s="2016"/>
      <c r="E60" s="848" t="str">
        <f>FHD_NUM_P_18</f>
        <v>2.7.2</v>
      </c>
      <c r="F60"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024" t="s">
        <v>1719</v>
      </c>
      <c r="H60" s="859"/>
      <c r="I60" s="859">
        <v>0</v>
      </c>
      <c r="J60" s="564" t="str">
        <f>FHD_NOTE_P_18</f>
        <v/>
      </c>
      <c r="K60" s="2014" t="str">
        <f>IF((LEN(E60)-LEN(SUBSTITUTE(E60,".","")))/LEN(".")=1,"p","")</f>
        <v/>
      </c>
      <c r="L60" s="2014"/>
      <c r="M60" s="2020"/>
      <c r="N60" s="839"/>
      <c r="O60" s="839"/>
      <c r="R60" s="2014"/>
      <c r="U60" s="846"/>
      <c r="AA60" s="2010"/>
      <c r="AB60" s="2010"/>
      <c r="AC60" s="2010"/>
      <c r="AD60" s="2010"/>
      <c r="AE60" s="2010"/>
    </row>
    <row s="11832" customFormat="1" customHeight="1" ht="29.25">
      <c r="A61" s="1308"/>
      <c r="C61" s="2014"/>
      <c r="D61" s="877"/>
      <c r="E61" s="848" t="str">
        <f>FHD_NUM_P_19</f>
        <v>2.8</v>
      </c>
      <c r="F61" s="1275" t="str">
        <f>FHD_P_19</f>
        <v>Расходы на амортизацию основных средств и нематериальных активов</v>
      </c>
      <c r="G61" s="2024" t="s">
        <v>1719</v>
      </c>
      <c r="H61" s="859"/>
      <c r="I61" s="859">
        <f>I62</f>
        <v>75.051</v>
      </c>
      <c r="J61" s="564" t="str">
        <f>FHD_NOTE_P_19</f>
        <v/>
      </c>
      <c r="K61" s="2014" t="str">
        <f>IF((LEN(E61)-LEN(SUBSTITUTE(E61,".","")))/LEN(".")=1,"p","")</f>
        <v>p</v>
      </c>
      <c r="L61" s="2014"/>
      <c r="M61" s="2014"/>
      <c r="R61" s="2014"/>
      <c r="U61" s="846"/>
      <c r="AA61" s="2010"/>
      <c r="AB61" s="2010"/>
      <c r="AC61" s="2010"/>
      <c r="AD61" s="2010"/>
      <c r="AE61" s="2010"/>
    </row>
    <row s="11832" customFormat="1" customHeight="1" ht="24.75">
      <c r="A62" s="1308"/>
      <c r="C62" s="2014"/>
      <c r="D62" s="877"/>
      <c r="E62" s="848" t="str">
        <f>FHD_NUM_P_20</f>
        <v>2.8.1</v>
      </c>
      <c r="F62" s="2028" t="str">
        <f>FHD_P_20</f>
        <v>Расходы на амортизацию основных средств</v>
      </c>
      <c r="G62" s="2024" t="s">
        <v>1719</v>
      </c>
      <c r="H62" s="859"/>
      <c r="I62" s="859">
        <v>75.051</v>
      </c>
      <c r="J62" s="564" t="str">
        <f>FHD_NOTE_P_20</f>
        <v/>
      </c>
      <c r="K62" s="2014" t="str">
        <f>IF((LEN(E62)-LEN(SUBSTITUTE(E62,".","")))/LEN(".")=1,"p","")</f>
        <v/>
      </c>
      <c r="L62" s="2014"/>
      <c r="M62" s="2014"/>
      <c r="R62" s="2014"/>
      <c r="U62" s="846"/>
      <c r="AA62" s="2010"/>
      <c r="AB62" s="2010"/>
      <c r="AC62" s="2010"/>
      <c r="AD62" s="2010"/>
      <c r="AE62" s="2010"/>
    </row>
    <row s="11832" customFormat="1" customHeight="1" ht="21.75">
      <c r="A63" s="1308"/>
      <c r="C63" s="2014"/>
      <c r="D63" s="877"/>
      <c r="E63" s="848" t="str">
        <f>FHD_NUM_P_21</f>
        <v>2.8.2</v>
      </c>
      <c r="F63" s="2028" t="str">
        <f>FHD_P_21</f>
        <v>Расходы на амортизацию нематериальных активов</v>
      </c>
      <c r="G63" s="2024" t="s">
        <v>1719</v>
      </c>
      <c r="H63" s="859"/>
      <c r="I63" s="859">
        <v>0</v>
      </c>
      <c r="J63" s="564" t="str">
        <f>FHD_NOTE_P_21</f>
        <v/>
      </c>
      <c r="K63" s="2014" t="str">
        <f>IF((LEN(E63)-LEN(SUBSTITUTE(E63,".","")))/LEN(".")=1,"p","")</f>
        <v/>
      </c>
      <c r="L63" s="2014"/>
      <c r="M63" s="2014"/>
      <c r="R63" s="2014"/>
      <c r="U63" s="846"/>
      <c r="AA63" s="2010"/>
      <c r="AB63" s="2010"/>
      <c r="AC63" s="2010"/>
      <c r="AD63" s="2010"/>
      <c r="AE63" s="2010"/>
    </row>
    <row s="11832" customFormat="1" customHeight="1" ht="29.25">
      <c r="A64" s="1308"/>
      <c r="C64" s="2014"/>
      <c r="D64" s="2016"/>
      <c r="E64" s="848" t="str">
        <f>FHD_NUM_P_22</f>
        <v>2.9</v>
      </c>
      <c r="F64" s="1275" t="str">
        <f>FHD_P_22</f>
        <v>Расходы на аренду имущества, используемого для осуществления регулируемого вида деятельности</v>
      </c>
      <c r="G64" s="2024" t="s">
        <v>1719</v>
      </c>
      <c r="H64" s="859"/>
      <c r="I64" s="859">
        <v>0</v>
      </c>
      <c r="J64" s="564" t="str">
        <f>FHD_NOTE_P_22</f>
        <v/>
      </c>
      <c r="K64" s="2014" t="str">
        <f>IF((LEN(E64)-LEN(SUBSTITUTE(E64,".","")))/LEN(".")=1,"p","")</f>
        <v>p</v>
      </c>
      <c r="L64" s="2014"/>
      <c r="M64" s="2014"/>
      <c r="R64" s="2014"/>
      <c r="U64" s="846"/>
      <c r="AA64" s="2010"/>
      <c r="AB64" s="2010"/>
      <c r="AC64" s="2010"/>
      <c r="AD64" s="2010"/>
      <c r="AE64" s="2010"/>
    </row>
    <row s="11832" customFormat="1" customHeight="1" ht="11.25">
      <c r="A65" s="1308"/>
      <c r="C65" s="2014"/>
      <c r="D65" s="877"/>
      <c r="E65" s="848" t="str">
        <f>FHD_NUM_P_23</f>
        <v>2.10</v>
      </c>
      <c r="F65" s="1275" t="str">
        <f>FHD_P_23</f>
        <v>Общепроизводственные расходы, в том числе:</v>
      </c>
      <c r="G65" s="2024" t="s">
        <v>1719</v>
      </c>
      <c r="H65" s="859"/>
      <c r="I65" s="859">
        <f>I66+364.516</f>
        <v>2625.592</v>
      </c>
      <c r="J65" s="564" t="str">
        <f>FHD_NOTE_P_23</f>
        <v>Указывается общая сумма общепроизводственных расходов.</v>
      </c>
      <c r="K65" s="2014" t="str">
        <f>IF((LEN(E65)-LEN(SUBSTITUTE(E65,".","")))/LEN(".")=1,"p","")</f>
        <v>p</v>
      </c>
      <c r="L65" s="2014"/>
      <c r="M65" s="2014"/>
      <c r="R65" s="2014"/>
      <c r="U65" s="846"/>
      <c r="AA65" s="2010"/>
      <c r="AB65" s="2010"/>
      <c r="AC65" s="2010"/>
      <c r="AD65" s="2010"/>
      <c r="AE65" s="2010"/>
    </row>
    <row s="11832" customFormat="1" customHeight="1" ht="15.75">
      <c r="A66" s="1308"/>
      <c r="C66" s="2014"/>
      <c r="D66" s="877"/>
      <c r="E66" s="848" t="str">
        <f>FHD_NUM_P_24</f>
        <v>2.10.1</v>
      </c>
      <c r="F66" s="2028" t="str">
        <f>FHD_P_24</f>
        <v>Расходы на текущий ремонт</v>
      </c>
      <c r="G66" s="2024" t="s">
        <v>1719</v>
      </c>
      <c r="H66" s="859"/>
      <c r="I66" s="859">
        <v>2261.076</v>
      </c>
      <c r="J66" s="564" t="str">
        <f>FHD_NOTE_P_24</f>
        <v>Указываются расходы на текущий ремонт, отнесенные к общепроизводственным расходам.</v>
      </c>
      <c r="K66" s="2014" t="str">
        <f>IF((LEN(E66)-LEN(SUBSTITUTE(E66,".","")))/LEN(".")=1,"p","")</f>
        <v/>
      </c>
      <c r="L66" s="2014"/>
      <c r="M66" s="2014"/>
      <c r="R66" s="2014"/>
      <c r="U66" s="846"/>
      <c r="AA66" s="2010"/>
      <c r="AB66" s="2010"/>
      <c r="AC66" s="2010"/>
      <c r="AD66" s="2010"/>
      <c r="AE66" s="2010"/>
    </row>
    <row s="11832" customFormat="1" customHeight="1" ht="16.5">
      <c r="A67" s="1308"/>
      <c r="C67" s="2014"/>
      <c r="D67" s="877"/>
      <c r="E67" s="848" t="str">
        <f>FHD_NUM_P_25</f>
        <v>2.10.2</v>
      </c>
      <c r="F67" s="2028" t="str">
        <f>FHD_P_25</f>
        <v>Расходы на капитальный ремонт</v>
      </c>
      <c r="G67" s="2024" t="s">
        <v>1719</v>
      </c>
      <c r="H67" s="859"/>
      <c r="I67" s="859">
        <v>0</v>
      </c>
      <c r="J67" s="564" t="str">
        <f>FHD_NOTE_P_25</f>
        <v>Указываются расходы на капитальный ремонт, отнесенные к общепроизводственным расходам.</v>
      </c>
      <c r="K67" s="2014" t="str">
        <f>IF((LEN(E67)-LEN(SUBSTITUTE(E67,".","")))/LEN(".")=1,"p","")</f>
        <v/>
      </c>
      <c r="L67" s="2014"/>
      <c r="M67" s="2014"/>
      <c r="R67" s="2014"/>
      <c r="U67" s="846"/>
      <c r="AA67" s="2010"/>
      <c r="AB67" s="2010"/>
      <c r="AC67" s="2010"/>
      <c r="AD67" s="2010"/>
      <c r="AE67" s="2010"/>
    </row>
    <row s="11832" customFormat="1" customHeight="1" ht="15">
      <c r="A68" s="1308"/>
      <c r="C68" s="2014"/>
      <c r="D68" s="2016"/>
      <c r="E68" s="848" t="str">
        <f>FHD_NUM_P_26</f>
        <v>2.11</v>
      </c>
      <c r="F68" s="1275" t="str">
        <f>FHD_P_26</f>
        <v>Общехозяйственные расходы, в том числе:</v>
      </c>
      <c r="G68" s="2024" t="s">
        <v>1719</v>
      </c>
      <c r="H68" s="859"/>
      <c r="I68" s="859">
        <v>9.021</v>
      </c>
      <c r="J68" s="564" t="str">
        <f>FHD_NOTE_P_26</f>
        <v>Указывается общая сумма общехозяйственных расходов.</v>
      </c>
      <c r="K68" s="2014" t="str">
        <f>IF((LEN(E68)-LEN(SUBSTITUTE(E68,".","")))/LEN(".")=1,"p","")</f>
        <v>p</v>
      </c>
      <c r="L68" s="2014"/>
      <c r="M68" s="2014"/>
      <c r="R68" s="2014"/>
      <c r="U68" s="846"/>
      <c r="AA68" s="2010"/>
      <c r="AB68" s="2010"/>
      <c r="AC68" s="2010"/>
      <c r="AD68" s="2010"/>
      <c r="AE68" s="2010"/>
    </row>
    <row s="11832" customFormat="1" customHeight="1" ht="11.25">
      <c r="A69" s="1308"/>
      <c r="C69" s="2014"/>
      <c r="D69" s="2016"/>
      <c r="E69" s="848" t="str">
        <f>FHD_NUM_P_27</f>
        <v>2.11.1</v>
      </c>
      <c r="F69" s="2028" t="str">
        <f>FHD_P_27</f>
        <v>Расходы на текущий ремонт</v>
      </c>
      <c r="G69" s="2024" t="s">
        <v>1719</v>
      </c>
      <c r="H69" s="859"/>
      <c r="I69" s="859">
        <v>0</v>
      </c>
      <c r="J69" s="564" t="str">
        <f>FHD_NOTE_P_27</f>
        <v>Указываются расходы на текущий ремонт, отнесенные к общехозяйственным расходам.</v>
      </c>
      <c r="K69" s="2014" t="str">
        <f>IF((LEN(E69)-LEN(SUBSTITUTE(E69,".","")))/LEN(".")=1,"p","")</f>
        <v/>
      </c>
      <c r="L69" s="2014"/>
      <c r="M69" s="2014"/>
      <c r="R69" s="2014"/>
      <c r="U69" s="846"/>
      <c r="AA69" s="2010"/>
      <c r="AB69" s="2010"/>
      <c r="AC69" s="2010"/>
      <c r="AD69" s="2010"/>
      <c r="AE69" s="2010"/>
    </row>
    <row s="11832" customFormat="1" customHeight="1" ht="11.25">
      <c r="A70" s="1308"/>
      <c r="C70" s="2014"/>
      <c r="D70" s="2016"/>
      <c r="E70" s="848" t="str">
        <f>FHD_NUM_P_28</f>
        <v>2.11.2</v>
      </c>
      <c r="F70" s="2028" t="str">
        <f>FHD_P_28</f>
        <v>Расходы на капитальный ремонт</v>
      </c>
      <c r="G70" s="2024" t="s">
        <v>1719</v>
      </c>
      <c r="H70" s="859"/>
      <c r="I70" s="859">
        <v>0</v>
      </c>
      <c r="J70" s="564" t="str">
        <f>FHD_NOTE_P_28</f>
        <v>Указываются расходы на капитальный ремонт, отнесенные к общехозяйственным расходам.</v>
      </c>
      <c r="K70" s="2014" t="str">
        <f>IF((LEN(E70)-LEN(SUBSTITUTE(E70,".","")))/LEN(".")=1,"p","")</f>
        <v/>
      </c>
      <c r="L70" s="2014"/>
      <c r="M70" s="2014"/>
      <c r="R70" s="2014"/>
      <c r="U70" s="846"/>
      <c r="AA70" s="2010"/>
      <c r="AB70" s="2010"/>
      <c r="AC70" s="2010"/>
      <c r="AD70" s="2010"/>
      <c r="AE70" s="2010"/>
    </row>
    <row s="11832" customFormat="1" customHeight="1" ht="14.25">
      <c r="A71" s="1308"/>
      <c r="C71" s="2014"/>
      <c r="D71" s="2016"/>
      <c r="E71" s="848" t="str">
        <f>FHD_NUM_P_29</f>
        <v>2.12</v>
      </c>
      <c r="F71" s="1275" t="str">
        <f>FHD_P_29</f>
        <v>Расходы на капитальный и текущий ремонт основных средств</v>
      </c>
      <c r="G71" s="2024" t="s">
        <v>1719</v>
      </c>
      <c r="H71" s="859"/>
      <c r="I71" s="859">
        <v>0</v>
      </c>
      <c r="J71"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2014" t="str">
        <f>IF((LEN(E71)-LEN(SUBSTITUTE(E71,".","")))/LEN(".")=1,"p","")</f>
        <v>p</v>
      </c>
      <c r="L71" s="2014"/>
      <c r="M71" s="2014"/>
      <c r="R71" s="2014"/>
      <c r="U71" s="846"/>
      <c r="AA71" s="2010"/>
      <c r="AB71" s="2010"/>
      <c r="AC71" s="2010"/>
      <c r="AD71" s="2010"/>
      <c r="AE71" s="2010"/>
    </row>
    <row s="11832" customFormat="1" customHeight="1" ht="43.5">
      <c r="A72" s="1308"/>
      <c r="C72" s="2014"/>
      <c r="D72" s="2016"/>
      <c r="E72" s="848" t="str">
        <f>FHD_NUM_P_30</f>
        <v>2.12.1</v>
      </c>
      <c r="F72"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024" t="s">
        <v>297</v>
      </c>
      <c r="H72" s="2027" t="s">
        <v>1426</v>
      </c>
      <c r="I72" s="2027" t="s">
        <v>1426</v>
      </c>
      <c r="J72" s="564" t="str">
        <f>FHD_NOTE_P_30</f>
        <v/>
      </c>
      <c r="K72" s="2014" t="str">
        <f>IF((LEN(E72)-LEN(SUBSTITUTE(E72,".","")))/LEN(".")=1,"p","")</f>
        <v/>
      </c>
      <c r="L72" s="2014">
        <f>_xlfn.IFERROR(MATCH("есть",B_FHD_FLAG_INDEX_1,0),0)</f>
        <v>0</v>
      </c>
      <c r="M72" s="2014"/>
      <c r="R72" s="2014"/>
      <c r="U72" s="846"/>
      <c r="AA72" s="2010"/>
      <c r="AB72" s="2010"/>
      <c r="AC72" s="2010"/>
      <c r="AD72" s="2010"/>
      <c r="AE72" s="2010"/>
    </row>
    <row s="11832" customFormat="1" customHeight="1" ht="11.25" hidden="1">
      <c r="A73" s="2656" t="s">
        <v>1736</v>
      </c>
      <c r="C73" s="2014"/>
      <c r="D73" s="2016"/>
      <c r="E73" s="848" t="str">
        <f>FHD_NUM_P_31</f>
        <v/>
      </c>
      <c r="F73" s="1275" t="str">
        <f>FHD_P_31</f>
        <v/>
      </c>
      <c r="G73" s="2024" t="s">
        <v>1719</v>
      </c>
      <c r="H73" s="859"/>
      <c r="I73" s="859"/>
      <c r="J73" s="564" t="str">
        <f>FHD_NOTE_P_31</f>
        <v/>
      </c>
      <c r="K73" s="2014" t="str">
        <f>IF((LEN(E73)-LEN(SUBSTITUTE(E73,".","")))/LEN(".")=1,"p","")</f>
        <v/>
      </c>
      <c r="L73" s="2014"/>
      <c r="M73" s="2014"/>
      <c r="R73" s="2014"/>
      <c r="U73" s="846"/>
      <c r="AA73" s="2010"/>
      <c r="AB73" s="2010"/>
      <c r="AC73" s="2010"/>
      <c r="AD73" s="2010"/>
      <c r="AE73" s="2010"/>
    </row>
    <row s="11832" customFormat="1" customHeight="1" ht="11.25" hidden="1">
      <c r="A74" s="2656"/>
      <c r="C74" s="2014"/>
      <c r="D74" s="2016"/>
      <c r="E74" s="848" t="str">
        <f>FHD_NUM_P_32</f>
        <v/>
      </c>
      <c r="F74" s="2028" t="str">
        <f>FHD_P_32</f>
        <v/>
      </c>
      <c r="G74" s="2024" t="s">
        <v>297</v>
      </c>
      <c r="H74" s="2027" t="s">
        <v>1426</v>
      </c>
      <c r="I74" s="2027" t="s">
        <v>1426</v>
      </c>
      <c r="J74" s="564" t="str">
        <f>FHD_NOTE_P_32</f>
        <v/>
      </c>
      <c r="K74" s="2014" t="str">
        <f>IF((LEN(E74)-LEN(SUBSTITUTE(E74,".","")))/LEN(".")=1,"p","")</f>
        <v/>
      </c>
      <c r="L74" s="2014">
        <f>_xlfn.IFERROR(MATCH("есть",B_FHD_FLAG_INDEX_2,0),0)</f>
        <v>0</v>
      </c>
      <c r="M74" s="2014"/>
      <c r="R74" s="2014"/>
      <c r="U74" s="846"/>
      <c r="AA74" s="2010"/>
      <c r="AB74" s="2010"/>
      <c r="AC74" s="2010"/>
      <c r="AD74" s="2010"/>
      <c r="AE74" s="2010"/>
    </row>
    <row s="11832" customFormat="1" customHeight="1" ht="37.5">
      <c r="A75" s="1308"/>
      <c r="C75" s="2014"/>
      <c r="D75" s="2016"/>
      <c r="E75" s="848" t="str">
        <f>FHD_NUM_P_33</f>
        <v>2.13</v>
      </c>
      <c r="F75"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75" s="2022" t="s">
        <v>1719</v>
      </c>
      <c r="H75" s="881">
        <f>SUM(H76:H84)</f>
        <v>0</v>
      </c>
      <c r="I75" s="881">
        <f>SUM(I76:I84)</f>
        <v>1332.143</v>
      </c>
      <c r="J75"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2014" t="str">
        <f>IF((LEN(E75)-LEN(SUBSTITUTE(E75,".","")))/LEN(".")=1,"p","")</f>
        <v>p</v>
      </c>
      <c r="L75" s="2014"/>
      <c r="M75" s="2014"/>
      <c r="R75" s="2014"/>
      <c r="U75" s="846"/>
      <c r="AA75" s="2010"/>
      <c r="AB75" s="2010"/>
      <c r="AC75" s="2010"/>
      <c r="AD75" s="2010"/>
      <c r="AE75" s="2010"/>
    </row>
    <row s="12378" customFormat="1" customHeight="1" ht="0">
      <c r="A76" s="1493"/>
      <c r="D76" s="850"/>
      <c r="E76" s="1107" t="str">
        <f>E75&amp;".0"</f>
        <v>2.13.0</v>
      </c>
      <c r="F76" s="1312"/>
      <c r="G76" s="853"/>
      <c r="H76" s="1313"/>
      <c r="I76" s="1313"/>
      <c r="J76" s="1314"/>
      <c r="K76" s="2014" t="str">
        <f>IF((LEN(E76)-LEN(SUBSTITUTE(E76,".","")))/LEN(".")=1,"p","")</f>
        <v/>
      </c>
    </row>
    <row s="12432" customFormat="1" customHeight="1" ht="22.5">
      <c r="A77" s="9828"/>
      <c r="B77" s="9838"/>
      <c r="C77" s="9837"/>
      <c r="D77" s="9831" t="s">
        <v>1109</v>
      </c>
      <c r="E77" s="9834" t="str">
        <f>E75&amp;".1"</f>
        <v>2.13.1</v>
      </c>
      <c r="F77" s="9873" t="s">
        <v>1737</v>
      </c>
      <c r="G77" s="9834" t="s">
        <v>1719</v>
      </c>
      <c r="H77" s="9850"/>
      <c r="I77" s="9850">
        <v>100.402</v>
      </c>
      <c r="J77" s="9874" t="s">
        <v>1722</v>
      </c>
      <c r="K77" s="9836"/>
      <c r="L77" s="9837"/>
      <c r="M77" s="9837"/>
      <c r="N77" s="9838"/>
      <c r="O77" s="9838"/>
      <c r="P77" s="9838"/>
      <c r="Q77" s="9838"/>
      <c r="R77" s="9837"/>
      <c r="S77" s="9838"/>
      <c r="T77" s="9838"/>
      <c r="U77" s="9839"/>
      <c r="V77" s="9838"/>
      <c r="W77" s="9838"/>
      <c r="X77" s="9838"/>
      <c r="Y77" s="9838"/>
      <c r="Z77" s="9838"/>
      <c r="AA77" s="9840"/>
      <c r="AB77" s="9840"/>
      <c r="AC77" s="9840"/>
      <c r="AD77" s="9840"/>
      <c r="AE77" s="9840"/>
    </row>
    <row s="12432" customFormat="1" customHeight="1" ht="22.5">
      <c r="A78" s="9828"/>
      <c r="B78" s="9838"/>
      <c r="C78" s="9837"/>
      <c r="D78" s="9831" t="s">
        <v>1109</v>
      </c>
      <c r="E78" s="9834" t="str">
        <f>E75&amp;".2"</f>
        <v>2.13.2</v>
      </c>
      <c r="F78" s="9873" t="s">
        <v>1738</v>
      </c>
      <c r="G78" s="9834" t="s">
        <v>1719</v>
      </c>
      <c r="H78" s="9850"/>
      <c r="I78" s="9850">
        <v>1.417</v>
      </c>
      <c r="J78" s="9874" t="s">
        <v>1722</v>
      </c>
      <c r="K78" s="9836"/>
      <c r="L78" s="9837"/>
      <c r="M78" s="9837"/>
      <c r="N78" s="9838"/>
      <c r="O78" s="9838"/>
      <c r="P78" s="9838"/>
      <c r="Q78" s="9838"/>
      <c r="R78" s="9837"/>
      <c r="S78" s="9838"/>
      <c r="T78" s="9838"/>
      <c r="U78" s="9839"/>
      <c r="V78" s="9838"/>
      <c r="W78" s="9838"/>
      <c r="X78" s="9838"/>
      <c r="Y78" s="9838"/>
      <c r="Z78" s="9838"/>
      <c r="AA78" s="9840"/>
      <c r="AB78" s="9840"/>
      <c r="AC78" s="9840"/>
      <c r="AD78" s="9840"/>
      <c r="AE78" s="9840"/>
    </row>
    <row s="12432" customFormat="1" customHeight="1" ht="22.5">
      <c r="A79" s="9828"/>
      <c r="B79" s="9838"/>
      <c r="C79" s="9837"/>
      <c r="D79" s="9831" t="s">
        <v>1109</v>
      </c>
      <c r="E79" s="9834" t="str">
        <f>E75&amp;".3"</f>
        <v>2.13.3</v>
      </c>
      <c r="F79" s="9873" t="s">
        <v>1739</v>
      </c>
      <c r="G79" s="9834" t="s">
        <v>1719</v>
      </c>
      <c r="H79" s="9850"/>
      <c r="I79" s="9850">
        <v>1.376</v>
      </c>
      <c r="J79" s="9874" t="s">
        <v>1722</v>
      </c>
      <c r="K79" s="9836"/>
      <c r="L79" s="9837"/>
      <c r="M79" s="9837"/>
      <c r="N79" s="9838"/>
      <c r="O79" s="9838"/>
      <c r="P79" s="9838"/>
      <c r="Q79" s="9838"/>
      <c r="R79" s="9837"/>
      <c r="S79" s="9838"/>
      <c r="T79" s="9838"/>
      <c r="U79" s="9839"/>
      <c r="V79" s="9838"/>
      <c r="W79" s="9838"/>
      <c r="X79" s="9838"/>
      <c r="Y79" s="9838"/>
      <c r="Z79" s="9838"/>
      <c r="AA79" s="9840"/>
      <c r="AB79" s="9840"/>
      <c r="AC79" s="9840"/>
      <c r="AD79" s="9840"/>
      <c r="AE79" s="9840"/>
    </row>
    <row s="12432" customFormat="1" customHeight="1" ht="22.5">
      <c r="A80" s="9828"/>
      <c r="B80" s="9838"/>
      <c r="C80" s="9837"/>
      <c r="D80" s="9831" t="s">
        <v>1109</v>
      </c>
      <c r="E80" s="9834" t="str">
        <f>E75&amp;".4"</f>
        <v>2.13.4</v>
      </c>
      <c r="F80" s="9873" t="s">
        <v>1740</v>
      </c>
      <c r="G80" s="9834" t="s">
        <v>1719</v>
      </c>
      <c r="H80" s="9850"/>
      <c r="I80" s="9850">
        <v>0.024</v>
      </c>
      <c r="J80" s="9874" t="s">
        <v>1722</v>
      </c>
      <c r="K80" s="9836"/>
      <c r="L80" s="9837"/>
      <c r="M80" s="9837"/>
      <c r="N80" s="9838"/>
      <c r="O80" s="9838"/>
      <c r="P80" s="9838"/>
      <c r="Q80" s="9838"/>
      <c r="R80" s="9837"/>
      <c r="S80" s="9838"/>
      <c r="T80" s="9838"/>
      <c r="U80" s="9839"/>
      <c r="V80" s="9838"/>
      <c r="W80" s="9838"/>
      <c r="X80" s="9838"/>
      <c r="Y80" s="9838"/>
      <c r="Z80" s="9838"/>
      <c r="AA80" s="9840"/>
      <c r="AB80" s="9840"/>
      <c r="AC80" s="9840"/>
      <c r="AD80" s="9840"/>
      <c r="AE80" s="9840"/>
    </row>
    <row s="12432" customFormat="1" customHeight="1" ht="22.5">
      <c r="A81" s="9828"/>
      <c r="B81" s="9838"/>
      <c r="C81" s="9837"/>
      <c r="D81" s="9831" t="s">
        <v>1109</v>
      </c>
      <c r="E81" s="9834" t="str">
        <f>E75&amp;".5"</f>
        <v>2.13.5</v>
      </c>
      <c r="F81" s="9873" t="s">
        <v>1741</v>
      </c>
      <c r="G81" s="9834" t="s">
        <v>1719</v>
      </c>
      <c r="H81" s="9850"/>
      <c r="I81" s="9850">
        <v>7.969</v>
      </c>
      <c r="J81" s="9874" t="s">
        <v>1722</v>
      </c>
      <c r="K81" s="9836"/>
      <c r="L81" s="9837"/>
      <c r="M81" s="9837"/>
      <c r="N81" s="9838"/>
      <c r="O81" s="9838"/>
      <c r="P81" s="9838"/>
      <c r="Q81" s="9838"/>
      <c r="R81" s="9837"/>
      <c r="S81" s="9838"/>
      <c r="T81" s="9838"/>
      <c r="U81" s="9839"/>
      <c r="V81" s="9838"/>
      <c r="W81" s="9838"/>
      <c r="X81" s="9838"/>
      <c r="Y81" s="9838"/>
      <c r="Z81" s="9838"/>
      <c r="AA81" s="9840"/>
      <c r="AB81" s="9840"/>
      <c r="AC81" s="9840"/>
      <c r="AD81" s="9840"/>
      <c r="AE81" s="9840"/>
    </row>
    <row s="12432" customFormat="1" customHeight="1" ht="22.5">
      <c r="A82" s="9828"/>
      <c r="B82" s="9838"/>
      <c r="C82" s="9837"/>
      <c r="D82" s="9831" t="s">
        <v>1109</v>
      </c>
      <c r="E82" s="9834" t="str">
        <f>E75&amp;".6"</f>
        <v>2.13.6</v>
      </c>
      <c r="F82" s="9873" t="s">
        <v>1742</v>
      </c>
      <c r="G82" s="9834" t="s">
        <v>1719</v>
      </c>
      <c r="H82" s="9850"/>
      <c r="I82" s="9850">
        <v>938.33</v>
      </c>
      <c r="J82" s="9874" t="s">
        <v>1722</v>
      </c>
      <c r="K82" s="9836"/>
      <c r="L82" s="9837"/>
      <c r="M82" s="9837"/>
      <c r="N82" s="9838"/>
      <c r="O82" s="9838"/>
      <c r="P82" s="9838"/>
      <c r="Q82" s="9838"/>
      <c r="R82" s="9837"/>
      <c r="S82" s="9838"/>
      <c r="T82" s="9838"/>
      <c r="U82" s="9839"/>
      <c r="V82" s="9838"/>
      <c r="W82" s="9838"/>
      <c r="X82" s="9838"/>
      <c r="Y82" s="9838"/>
      <c r="Z82" s="9838"/>
      <c r="AA82" s="9840"/>
      <c r="AB82" s="9840"/>
      <c r="AC82" s="9840"/>
      <c r="AD82" s="9840"/>
      <c r="AE82" s="9840"/>
    </row>
    <row s="12432" customFormat="1" customHeight="1" ht="22.5">
      <c r="A83" s="9828"/>
      <c r="B83" s="9838"/>
      <c r="C83" s="9837"/>
      <c r="D83" s="9831" t="s">
        <v>1109</v>
      </c>
      <c r="E83" s="9834" t="str">
        <f>E75&amp;".7"</f>
        <v>2.13.7</v>
      </c>
      <c r="F83" s="9873" t="s">
        <v>1743</v>
      </c>
      <c r="G83" s="9834" t="s">
        <v>1719</v>
      </c>
      <c r="H83" s="9850"/>
      <c r="I83" s="9850">
        <v>282.625</v>
      </c>
      <c r="J83" s="9874" t="s">
        <v>1722</v>
      </c>
      <c r="K83" s="9836"/>
      <c r="L83" s="9837"/>
      <c r="M83" s="9837"/>
      <c r="N83" s="9838"/>
      <c r="O83" s="9838"/>
      <c r="P83" s="9838"/>
      <c r="Q83" s="9838"/>
      <c r="R83" s="9837"/>
      <c r="S83" s="9838"/>
      <c r="T83" s="9838"/>
      <c r="U83" s="9839"/>
      <c r="V83" s="9838"/>
      <c r="W83" s="9838"/>
      <c r="X83" s="9838"/>
      <c r="Y83" s="9838"/>
      <c r="Z83" s="9838"/>
      <c r="AA83" s="9840"/>
      <c r="AB83" s="9840"/>
      <c r="AC83" s="9840"/>
      <c r="AD83" s="9840"/>
      <c r="AE83" s="9840"/>
    </row>
    <row s="11832" customFormat="1" customHeight="1" ht="14.25">
      <c r="A84" s="1308"/>
      <c r="C84" s="2014"/>
      <c r="D84" s="2011"/>
      <c r="E84" s="872"/>
      <c r="F84" s="873" t="s">
        <v>1744</v>
      </c>
      <c r="G84" s="874"/>
      <c r="H84" s="875"/>
      <c r="I84" s="875"/>
      <c r="J84" s="576"/>
      <c r="K84" s="2014"/>
      <c r="L84" s="2014"/>
      <c r="M84" s="2014"/>
      <c r="R84" s="2014"/>
      <c r="U84" s="846"/>
      <c r="AA84" s="2010"/>
      <c r="AB84" s="2010"/>
      <c r="AC84" s="2010"/>
      <c r="AD84" s="2010"/>
      <c r="AE84" s="2010"/>
    </row>
    <row s="11832" customFormat="1" customHeight="1" ht="18.75">
      <c r="A85" s="1310" t="s">
        <v>1745</v>
      </c>
      <c r="C85" s="2014"/>
      <c r="D85" s="2016"/>
      <c r="E85" s="848" t="str">
        <f>FHD_NUM_P_34</f>
        <v>3</v>
      </c>
      <c r="F85" s="1009" t="str">
        <f>FHD_P_34</f>
        <v>Валовая прибыль (убытки) от реализации товаров и оказания услуг по регулируемому виду деятельности</v>
      </c>
      <c r="G85" s="2024" t="s">
        <v>1719</v>
      </c>
      <c r="H85" s="859"/>
      <c r="I85" s="859">
        <f>I30-I31</f>
        <v>-4748.917950208</v>
      </c>
      <c r="J85" s="564" t="str">
        <f>FHD_NOTE_P_34</f>
        <v/>
      </c>
      <c r="K85" s="845"/>
      <c r="L85" s="2014"/>
      <c r="M85" s="2014"/>
      <c r="R85" s="2014"/>
      <c r="U85" s="846"/>
      <c r="AA85" s="2010"/>
      <c r="AB85" s="2010"/>
      <c r="AC85" s="2010"/>
      <c r="AD85" s="2010"/>
      <c r="AE85" s="2010"/>
    </row>
    <row s="11832" customFormat="1" customHeight="1" ht="24.75">
      <c r="A86" s="1308"/>
      <c r="C86" s="2014"/>
      <c r="D86" s="877"/>
      <c r="E86" s="848" t="str">
        <f>FHD_NUM_P_35</f>
        <v>4</v>
      </c>
      <c r="F86" s="1009" t="str">
        <f>FHD_P_35</f>
        <v>Чистая прибыль, полученная от регулируемого вида деятельности, в том числе:</v>
      </c>
      <c r="G86" s="2024" t="s">
        <v>1719</v>
      </c>
      <c r="H86" s="859"/>
      <c r="I86" s="859">
        <f>I85</f>
        <v>-4748.917950208</v>
      </c>
      <c r="J86" s="564" t="str">
        <f>FHD_NOTE_P_35</f>
        <v>Указывается общая сумма чистой прибыли, полученной от регулируемого вида деятельности.</v>
      </c>
      <c r="K86" s="845"/>
      <c r="L86" s="2014"/>
      <c r="M86" s="2014"/>
      <c r="R86" s="2014"/>
      <c r="U86" s="846"/>
      <c r="AA86" s="2010"/>
      <c r="AB86" s="2010"/>
      <c r="AC86" s="2010"/>
      <c r="AD86" s="2010"/>
      <c r="AE86" s="2010"/>
    </row>
    <row s="11832" customFormat="1" customHeight="1" ht="33">
      <c r="A87" s="1308"/>
      <c r="C87" s="2014"/>
      <c r="D87" s="2016"/>
      <c r="E87" s="848" t="str">
        <f>FHD_NUM_P_36</f>
        <v>4.1</v>
      </c>
      <c r="F87"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2024" t="s">
        <v>1719</v>
      </c>
      <c r="H87" s="859"/>
      <c r="I87" s="859">
        <v>0</v>
      </c>
      <c r="J87" s="564" t="str">
        <f>FHD_NOTE_P_36</f>
        <v/>
      </c>
      <c r="K87" s="845"/>
      <c r="L87" s="2014"/>
      <c r="M87" s="2014"/>
      <c r="R87" s="2014"/>
      <c r="U87" s="846"/>
      <c r="AA87" s="2010"/>
      <c r="AB87" s="2010"/>
      <c r="AC87" s="2010"/>
      <c r="AD87" s="2010"/>
      <c r="AE87" s="2010"/>
    </row>
    <row s="11832" customFormat="1" customHeight="1" ht="18.75">
      <c r="A88" s="1308"/>
      <c r="C88" s="2014"/>
      <c r="D88" s="2016"/>
      <c r="E88" s="848" t="str">
        <f>FHD_NUM_P_37</f>
        <v>5</v>
      </c>
      <c r="F88" s="1009" t="str">
        <f>FHD_P_37</f>
        <v>Изменение стоимости основных фондов, в том числе:</v>
      </c>
      <c r="G88" s="2024" t="s">
        <v>1719</v>
      </c>
      <c r="H88" s="859"/>
      <c r="I88" s="859">
        <v>0</v>
      </c>
      <c r="J88" s="564" t="str">
        <f>FHD_NOTE_P_37</f>
        <v>Указывается общее изменение стоимости основных фондов.</v>
      </c>
      <c r="K88" s="845"/>
      <c r="L88" s="2014"/>
      <c r="M88" s="2014"/>
      <c r="R88" s="2014"/>
      <c r="U88" s="846"/>
      <c r="AA88" s="2010"/>
      <c r="AB88" s="2010"/>
      <c r="AC88" s="2010"/>
      <c r="AD88" s="2010"/>
      <c r="AE88" s="2010"/>
    </row>
    <row s="11832" customFormat="1" customHeight="1" ht="18.75">
      <c r="A89" s="1308"/>
      <c r="C89" s="2014"/>
      <c r="D89" s="2016"/>
      <c r="E89" s="848" t="str">
        <f>FHD_NUM_P_38</f>
        <v>5.1</v>
      </c>
      <c r="F89" s="1275" t="str">
        <f>FHD_P_38</f>
        <v>Изменение стоимости основных фондов за счет:</v>
      </c>
      <c r="G89" s="2024" t="s">
        <v>1719</v>
      </c>
      <c r="H89" s="859"/>
      <c r="I89" s="859">
        <v>0</v>
      </c>
      <c r="J89" s="564" t="str">
        <f>FHD_NOTE_P_38</f>
        <v>Указываются общее изменение стоимости основных фондов за счет их ввода в эксплуатацию и вывода из эксплуатации.</v>
      </c>
      <c r="K89" s="845"/>
      <c r="L89" s="2014"/>
      <c r="M89" s="2014"/>
      <c r="R89" s="2014"/>
      <c r="U89" s="846"/>
      <c r="AA89" s="2010"/>
      <c r="AB89" s="2010"/>
      <c r="AC89" s="2010"/>
      <c r="AD89" s="2010"/>
      <c r="AE89" s="2010"/>
    </row>
    <row s="11832" customFormat="1" customHeight="1" ht="18.75">
      <c r="A90" s="1308"/>
      <c r="C90" s="2014"/>
      <c r="D90" s="2016"/>
      <c r="E90" s="848" t="str">
        <f>FHD_NUM_P_39</f>
        <v>5.1.1</v>
      </c>
      <c r="F90" s="2028" t="str">
        <f>FHD_P_39</f>
        <v>Изменения стоимости основных фондов за счет их ввода в эксплуатацию</v>
      </c>
      <c r="G90" s="2024" t="s">
        <v>1719</v>
      </c>
      <c r="H90" s="859"/>
      <c r="I90" s="859">
        <v>0</v>
      </c>
      <c r="J90" s="564" t="str">
        <f>FHD_NOTE_P_39</f>
        <v>Указываются изменение стоимости основных фондов за счет их ввода в эксплуатацию.</v>
      </c>
      <c r="K90" s="845"/>
      <c r="L90" s="2014"/>
      <c r="M90" s="2014"/>
      <c r="R90" s="2014"/>
      <c r="U90" s="846"/>
      <c r="AA90" s="2010"/>
      <c r="AB90" s="2010"/>
      <c r="AC90" s="2010"/>
      <c r="AD90" s="2010"/>
      <c r="AE90" s="2010"/>
    </row>
    <row s="11832" customFormat="1" customHeight="1" ht="18.75">
      <c r="A91" s="1308"/>
      <c r="C91" s="2014"/>
      <c r="D91" s="2016"/>
      <c r="E91" s="848" t="str">
        <f>FHD_NUM_P_40</f>
        <v>5.1.2</v>
      </c>
      <c r="F91" s="2028" t="str">
        <f>FHD_P_40</f>
        <v>Изменения стоимости основных фондов за счет их вывода в эксплуатацию</v>
      </c>
      <c r="G91" s="2024" t="s">
        <v>1719</v>
      </c>
      <c r="H91" s="859"/>
      <c r="I91" s="859">
        <v>0</v>
      </c>
      <c r="J91" s="564" t="str">
        <f>FHD_NOTE_P_40</f>
        <v>Указываются изменение стоимости основных фондов за счет их вывода из эксплуатации.</v>
      </c>
      <c r="K91" s="845"/>
      <c r="L91" s="2014"/>
      <c r="M91" s="2014"/>
      <c r="R91" s="2014"/>
      <c r="U91" s="846"/>
      <c r="AA91" s="2010"/>
      <c r="AB91" s="2010"/>
      <c r="AC91" s="2010"/>
      <c r="AD91" s="2010"/>
      <c r="AE91" s="2010"/>
    </row>
    <row s="11832" customFormat="1" customHeight="1" ht="18.75">
      <c r="A92" s="1308"/>
      <c r="C92" s="2014"/>
      <c r="D92" s="2016"/>
      <c r="E92" s="848" t="str">
        <f>FHD_NUM_P_41</f>
        <v>5.2</v>
      </c>
      <c r="F92" s="1275" t="str">
        <f>FHD_P_41</f>
        <v>Изменение стоимости основных фондов за счет их переоценки</v>
      </c>
      <c r="G92" s="2022" t="s">
        <v>1719</v>
      </c>
      <c r="H92" s="859"/>
      <c r="I92" s="859">
        <v>0</v>
      </c>
      <c r="J92" s="564" t="str">
        <f>FHD_NOTE_P_41</f>
        <v/>
      </c>
      <c r="K92" s="845"/>
      <c r="L92" s="2014"/>
      <c r="M92" s="2014"/>
      <c r="R92" s="2014"/>
      <c r="U92" s="846"/>
      <c r="AA92" s="2010"/>
      <c r="AB92" s="2010"/>
      <c r="AC92" s="2010"/>
      <c r="AD92" s="2010"/>
      <c r="AE92" s="2010"/>
    </row>
    <row s="11832" customFormat="1" customHeight="1" ht="18.75" hidden="1">
      <c r="A93" s="1310" t="s">
        <v>1746</v>
      </c>
      <c r="C93" s="2014"/>
      <c r="D93" s="2016"/>
      <c r="E93" s="848" t="str">
        <f>FHD_NUM_P_42</f>
        <v/>
      </c>
      <c r="F93" s="1009" t="str">
        <f>FHD_P_42</f>
        <v/>
      </c>
      <c r="G93" s="2024" t="s">
        <v>1719</v>
      </c>
      <c r="H93" s="1297"/>
      <c r="I93" s="859"/>
      <c r="J93" s="564" t="str">
        <f>FHD_NOTE_P_42</f>
        <v/>
      </c>
      <c r="K93" s="845"/>
      <c r="L93" s="2014"/>
      <c r="M93" s="2014"/>
      <c r="R93" s="2014"/>
      <c r="U93" s="846"/>
      <c r="AA93" s="2010"/>
      <c r="AB93" s="2010"/>
      <c r="AC93" s="2010"/>
      <c r="AD93" s="2010"/>
      <c r="AE93" s="2010"/>
    </row>
    <row s="11832" customFormat="1" customHeight="1" ht="23.25">
      <c r="A94" s="1308"/>
      <c r="C94" s="2014"/>
      <c r="D94" s="2016"/>
      <c r="E94" s="848" t="str">
        <f>FHD_NUM_P_43</f>
        <v>6</v>
      </c>
      <c r="F94" s="1009" t="str">
        <f>FHD_P_43</f>
        <v>Годовая бухгалтерская (финансовая) отчетность, включая бухгалтерский баланс и приложения к нему</v>
      </c>
      <c r="G94" s="2024" t="s">
        <v>297</v>
      </c>
      <c r="H94" s="1380"/>
      <c r="I94" s="1126"/>
      <c r="J94"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4" s="845"/>
      <c r="L94" s="2014"/>
      <c r="M94" s="2014"/>
      <c r="R94" s="2014"/>
      <c r="U94" s="846"/>
      <c r="AA94" s="2010"/>
      <c r="AB94" s="2010"/>
      <c r="AC94" s="2010"/>
      <c r="AD94" s="2010"/>
      <c r="AE94" s="2010"/>
    </row>
    <row s="12469" customFormat="1" customHeight="1" ht="18.75" hidden="1">
      <c r="A95" s="2656" t="s">
        <v>1747</v>
      </c>
      <c r="C95" s="1038"/>
      <c r="D95" s="1036"/>
      <c r="E95" s="848" t="str">
        <f>FHD_NUM_P_44</f>
        <v/>
      </c>
      <c r="F95" s="1009" t="str">
        <f>FHD_P_44</f>
        <v/>
      </c>
      <c r="G95" s="1023" t="s">
        <v>1748</v>
      </c>
      <c r="H95" s="1298"/>
      <c r="I95" s="879"/>
      <c r="J95" s="564" t="str">
        <f>FHD_NOTE_P_44</f>
        <v/>
      </c>
      <c r="K95" s="1037"/>
      <c r="L95" s="1038"/>
      <c r="M95" s="1038"/>
      <c r="R95" s="1038"/>
      <c r="U95" s="1039"/>
      <c r="AA95" s="1040"/>
      <c r="AB95" s="1040"/>
      <c r="AC95" s="1040"/>
      <c r="AD95" s="1040"/>
      <c r="AE95" s="1040"/>
    </row>
    <row s="12469" customFormat="1" customHeight="1" ht="18.75" hidden="1">
      <c r="A96" s="2656"/>
      <c r="C96" s="1038"/>
      <c r="D96" s="1036"/>
      <c r="E96" s="848" t="str">
        <f>FHD_NUM_P_45</f>
        <v/>
      </c>
      <c r="F96" s="1009" t="str">
        <f>FHD_P_45</f>
        <v/>
      </c>
      <c r="G96" s="1023" t="s">
        <v>1748</v>
      </c>
      <c r="H96" s="1298"/>
      <c r="I96" s="879"/>
      <c r="J96" s="564" t="str">
        <f>FHD_NOTE_P_45</f>
        <v/>
      </c>
      <c r="K96" s="1037"/>
      <c r="L96" s="1038"/>
      <c r="M96" s="1038"/>
      <c r="R96" s="1038"/>
      <c r="U96" s="1039"/>
      <c r="AA96" s="1040"/>
      <c r="AB96" s="1040"/>
      <c r="AC96" s="1040"/>
      <c r="AD96" s="1040"/>
      <c r="AE96" s="1040"/>
    </row>
    <row s="12469" customFormat="1" customHeight="1" ht="18.75" hidden="1">
      <c r="A97" s="2656"/>
      <c r="C97" s="1038"/>
      <c r="D97" s="1041"/>
      <c r="E97" s="848" t="str">
        <f>FHD_NUM_P_46</f>
        <v/>
      </c>
      <c r="F97" s="1009" t="str">
        <f>FHD_P_46</f>
        <v/>
      </c>
      <c r="G97" s="1023" t="s">
        <v>1748</v>
      </c>
      <c r="H97" s="1298"/>
      <c r="I97" s="879"/>
      <c r="J97" s="564" t="str">
        <f>FHD_NOTE_P_46</f>
        <v/>
      </c>
      <c r="K97" s="1037"/>
      <c r="L97" s="1038"/>
      <c r="M97" s="1038"/>
      <c r="R97" s="1038"/>
      <c r="U97" s="1039"/>
      <c r="AA97" s="1040"/>
      <c r="AB97" s="1040"/>
      <c r="AC97" s="1040"/>
      <c r="AD97" s="1040"/>
      <c r="AE97" s="1040"/>
    </row>
    <row s="12469" customFormat="1" customHeight="1" ht="18.75" hidden="1">
      <c r="A98" s="2656"/>
      <c r="C98" s="1038"/>
      <c r="D98" s="1036"/>
      <c r="E98" s="848" t="str">
        <f>FHD_NUM_P_47</f>
        <v/>
      </c>
      <c r="F98" s="1009" t="str">
        <f>FHD_P_47</f>
        <v/>
      </c>
      <c r="G98" s="1023" t="s">
        <v>1748</v>
      </c>
      <c r="H98" s="1298"/>
      <c r="I98" s="879"/>
      <c r="J98" s="564" t="str">
        <f>FHD_NOTE_P_47</f>
        <v/>
      </c>
      <c r="K98" s="1037"/>
      <c r="L98" s="1038"/>
      <c r="M98" s="1038"/>
      <c r="R98" s="1038"/>
      <c r="U98" s="1039"/>
      <c r="AA98" s="1040"/>
      <c r="AB98" s="1040"/>
      <c r="AC98" s="1040"/>
      <c r="AD98" s="1040"/>
      <c r="AE98" s="1040"/>
    </row>
    <row s="12478" customFormat="1" customHeight="1" ht="18.75" hidden="1">
      <c r="A99" s="2656"/>
      <c r="B99" s="1230"/>
      <c r="C99" s="1038"/>
      <c r="D99" s="1036"/>
      <c r="E99" s="848" t="str">
        <f>FHD_NUM_P_48</f>
        <v/>
      </c>
      <c r="F99" s="1009" t="str">
        <f>FHD_P_48</f>
        <v/>
      </c>
      <c r="G99" s="1023" t="s">
        <v>1748</v>
      </c>
      <c r="H99" s="1298"/>
      <c r="I99" s="879"/>
      <c r="J99" s="564" t="str">
        <f>FHD_NOTE_P_48</f>
        <v/>
      </c>
      <c r="K99" s="1037"/>
      <c r="L99" s="1038"/>
      <c r="M99" s="1038"/>
      <c r="N99" s="1230"/>
      <c r="O99" s="1230"/>
      <c r="P99" s="1230"/>
      <c r="Q99" s="1230"/>
      <c r="R99" s="1038"/>
      <c r="S99" s="1230"/>
      <c r="T99" s="1230"/>
      <c r="U99" s="1039"/>
      <c r="V99" s="1230"/>
      <c r="W99" s="1230"/>
      <c r="X99" s="1230"/>
      <c r="Y99" s="1230"/>
      <c r="Z99" s="1230"/>
      <c r="AA99" s="1040"/>
      <c r="AB99" s="1040"/>
      <c r="AC99" s="1040"/>
      <c r="AD99" s="1040"/>
      <c r="AE99" s="1040"/>
    </row>
    <row s="12478" customFormat="1" customHeight="1" ht="18.75" hidden="1">
      <c r="A100" s="2656"/>
      <c r="B100" s="1230"/>
      <c r="C100" s="1038"/>
      <c r="D100" s="1036"/>
      <c r="E100" s="848" t="str">
        <f>FHD_NUM_P_49</f>
        <v/>
      </c>
      <c r="F100" s="1009" t="str">
        <f>FHD_P_49</f>
        <v/>
      </c>
      <c r="G100" s="1023" t="s">
        <v>1748</v>
      </c>
      <c r="H100" s="1299">
        <f>SUM(H101:H102)</f>
        <v>0</v>
      </c>
      <c r="I100" s="1052">
        <f>SUM(I101:I102)</f>
        <v>0</v>
      </c>
      <c r="J100" s="564" t="str">
        <f>FHD_NOTE_P_49</f>
        <v/>
      </c>
      <c r="K100" s="1037"/>
      <c r="L100" s="1038"/>
      <c r="M100" s="1038"/>
      <c r="N100" s="1230"/>
      <c r="O100" s="1230"/>
      <c r="P100" s="1230"/>
      <c r="Q100" s="1230"/>
      <c r="R100" s="1038"/>
      <c r="S100" s="1230"/>
      <c r="T100" s="1230"/>
      <c r="U100" s="1039"/>
      <c r="V100" s="1230"/>
      <c r="W100" s="1230"/>
      <c r="X100" s="1230"/>
      <c r="Y100" s="1230"/>
      <c r="Z100" s="1230"/>
      <c r="AA100" s="1040"/>
      <c r="AB100" s="1040"/>
      <c r="AC100" s="1040"/>
      <c r="AD100" s="1040"/>
      <c r="AE100" s="1040"/>
    </row>
    <row s="12478" customFormat="1" customHeight="1" ht="18.75" hidden="1">
      <c r="A101" s="2656"/>
      <c r="B101" s="1230"/>
      <c r="C101" s="1038"/>
      <c r="D101" s="1036"/>
      <c r="E101" s="848" t="str">
        <f>FHD_NUM_P_50</f>
        <v/>
      </c>
      <c r="F101" s="1009" t="str">
        <f>FHD_P_50</f>
        <v/>
      </c>
      <c r="G101" s="1023" t="s">
        <v>1748</v>
      </c>
      <c r="H101" s="1298"/>
      <c r="I101" s="879"/>
      <c r="J101" s="564" t="str">
        <f>FHD_NOTE_P_50</f>
        <v/>
      </c>
      <c r="K101" s="1037"/>
      <c r="L101" s="1038"/>
      <c r="M101" s="1038"/>
      <c r="N101" s="1230"/>
      <c r="O101" s="1230"/>
      <c r="P101" s="1230"/>
      <c r="Q101" s="1230"/>
      <c r="R101" s="1038"/>
      <c r="S101" s="1230"/>
      <c r="T101" s="1230"/>
      <c r="U101" s="1039"/>
      <c r="V101" s="1230"/>
      <c r="W101" s="1230"/>
      <c r="X101" s="1230"/>
      <c r="Y101" s="1230"/>
      <c r="Z101" s="1230"/>
      <c r="AA101" s="1040"/>
      <c r="AB101" s="1040"/>
      <c r="AC101" s="1040"/>
      <c r="AD101" s="1040"/>
      <c r="AE101" s="1040"/>
    </row>
    <row s="12478" customFormat="1" customHeight="1" ht="18.75" hidden="1">
      <c r="A102" s="2656"/>
      <c r="B102" s="1230"/>
      <c r="C102" s="1038"/>
      <c r="D102" s="1036"/>
      <c r="E102" s="848" t="str">
        <f>FHD_NUM_P_51</f>
        <v/>
      </c>
      <c r="F102" s="1009" t="str">
        <f>FHD_P_51</f>
        <v/>
      </c>
      <c r="G102" s="1023" t="s">
        <v>1748</v>
      </c>
      <c r="H102" s="1298"/>
      <c r="I102" s="879"/>
      <c r="J102" s="564" t="str">
        <f>FHD_NOTE_P_51</f>
        <v/>
      </c>
      <c r="K102" s="1037"/>
      <c r="L102" s="1038"/>
      <c r="M102" s="1038"/>
      <c r="N102" s="1230"/>
      <c r="O102" s="1230"/>
      <c r="P102" s="1230"/>
      <c r="Q102" s="1230"/>
      <c r="R102" s="1038"/>
      <c r="S102" s="1230"/>
      <c r="T102" s="1230"/>
      <c r="U102" s="1039"/>
      <c r="V102" s="1230"/>
      <c r="W102" s="1230"/>
      <c r="X102" s="1230"/>
      <c r="Y102" s="1230"/>
      <c r="Z102" s="1230"/>
      <c r="AA102" s="1040"/>
      <c r="AB102" s="1040"/>
      <c r="AC102" s="1040"/>
      <c r="AD102" s="1040"/>
      <c r="AE102" s="1040"/>
    </row>
    <row s="12478" customFormat="1" customHeight="1" ht="18.75" hidden="1">
      <c r="A103" s="2656"/>
      <c r="B103" s="1230"/>
      <c r="C103" s="1038"/>
      <c r="D103" s="1036"/>
      <c r="E103" s="848" t="str">
        <f>FHD_NUM_P_52</f>
        <v/>
      </c>
      <c r="F103" s="1009" t="str">
        <f>FHD_P_52</f>
        <v/>
      </c>
      <c r="G103" s="1023" t="s">
        <v>1619</v>
      </c>
      <c r="H103" s="1297"/>
      <c r="I103" s="859"/>
      <c r="J103" s="564" t="str">
        <f>FHD_NOTE_P_52</f>
        <v/>
      </c>
      <c r="K103" s="1037"/>
      <c r="L103" s="1038"/>
      <c r="M103" s="1038"/>
      <c r="N103" s="1230"/>
      <c r="O103" s="1230"/>
      <c r="P103" s="1230"/>
      <c r="Q103" s="1230"/>
      <c r="R103" s="1038"/>
      <c r="S103" s="1230"/>
      <c r="T103" s="1230"/>
      <c r="U103" s="1039"/>
      <c r="V103" s="1230"/>
      <c r="W103" s="1230"/>
      <c r="X103" s="1230"/>
      <c r="Y103" s="1230"/>
      <c r="Z103" s="1230"/>
      <c r="AA103" s="1040"/>
      <c r="AB103" s="1040"/>
      <c r="AC103" s="1040"/>
      <c r="AD103" s="1040"/>
      <c r="AE103" s="1040"/>
    </row>
    <row s="12469" customFormat="1" customHeight="1" ht="18.75" hidden="1">
      <c r="A104" s="2658" t="s">
        <v>1749</v>
      </c>
      <c r="C104" s="1038"/>
      <c r="D104" s="1036"/>
      <c r="E104" s="848" t="str">
        <f>FHD_NUM_P_53</f>
        <v/>
      </c>
      <c r="F104" s="1009" t="str">
        <f>FHD_P_53</f>
        <v/>
      </c>
      <c r="G104" s="1023" t="s">
        <v>1748</v>
      </c>
      <c r="H104" s="1298"/>
      <c r="I104" s="879"/>
      <c r="J104" s="564" t="str">
        <f>FHD_NOTE_P_53</f>
        <v/>
      </c>
      <c r="K104" s="1037"/>
      <c r="L104" s="1038"/>
      <c r="M104" s="1038"/>
      <c r="R104" s="1038"/>
      <c r="U104" s="1039"/>
      <c r="AA104" s="1040"/>
      <c r="AB104" s="1040"/>
      <c r="AC104" s="1040"/>
      <c r="AD104" s="1040"/>
      <c r="AE104" s="1040"/>
    </row>
    <row s="12469" customFormat="1" customHeight="1" ht="18.75" hidden="1">
      <c r="A105" s="2658"/>
      <c r="C105" s="1038"/>
      <c r="D105" s="1036"/>
      <c r="E105" s="848" t="str">
        <f>FHD_NUM_P_54</f>
        <v/>
      </c>
      <c r="F105" s="1009" t="str">
        <f>FHD_P_54</f>
        <v/>
      </c>
      <c r="G105" s="1023" t="s">
        <v>1748</v>
      </c>
      <c r="H105" s="1298"/>
      <c r="I105" s="879"/>
      <c r="J105" s="564" t="str">
        <f>FHD_NOTE_P_54</f>
        <v/>
      </c>
      <c r="K105" s="1037"/>
      <c r="L105" s="1038"/>
      <c r="M105" s="1038"/>
      <c r="R105" s="1038"/>
      <c r="U105" s="1039"/>
      <c r="AA105" s="1040"/>
      <c r="AB105" s="1040"/>
      <c r="AC105" s="1040"/>
      <c r="AD105" s="1040"/>
      <c r="AE105" s="1040"/>
    </row>
    <row s="12469" customFormat="1" customHeight="1" ht="18.75" hidden="1">
      <c r="A106" s="2658"/>
      <c r="C106" s="1038"/>
      <c r="D106" s="1041"/>
      <c r="E106" s="848" t="str">
        <f>FHD_NUM_P_55</f>
        <v/>
      </c>
      <c r="F106" s="1009" t="str">
        <f>FHD_P_55</f>
        <v/>
      </c>
      <c r="G106" s="1204"/>
      <c r="H106" s="1298"/>
      <c r="I106" s="879"/>
      <c r="J106" s="564" t="str">
        <f>FHD_NOTE_P_55</f>
        <v/>
      </c>
      <c r="K106" s="1037"/>
      <c r="L106" s="1038"/>
      <c r="M106" s="1038"/>
      <c r="R106" s="1038"/>
      <c r="U106" s="1039"/>
      <c r="AA106" s="1040"/>
      <c r="AB106" s="1040"/>
      <c r="AC106" s="1040"/>
      <c r="AD106" s="1040"/>
      <c r="AE106" s="1040"/>
    </row>
    <row s="12469" customFormat="1" customHeight="1" ht="18.75" hidden="1">
      <c r="A107" s="2658"/>
      <c r="C107" s="1038"/>
      <c r="D107" s="1036"/>
      <c r="E107" s="848" t="str">
        <f>FHD_NUM_P_56</f>
        <v/>
      </c>
      <c r="F107" s="1009" t="str">
        <f>FHD_P_56</f>
        <v/>
      </c>
      <c r="G107" s="1023" t="s">
        <v>1016</v>
      </c>
      <c r="H107" s="1298"/>
      <c r="I107" s="879"/>
      <c r="J107" s="564" t="str">
        <f>FHD_NOTE_P_56</f>
        <v/>
      </c>
      <c r="K107" s="1037"/>
      <c r="L107" s="1038"/>
      <c r="M107" s="1038"/>
      <c r="R107" s="1038"/>
      <c r="U107" s="1039"/>
      <c r="AA107" s="1040"/>
      <c r="AB107" s="1040"/>
      <c r="AC107" s="1040"/>
      <c r="AD107" s="1040"/>
      <c r="AE107" s="1040"/>
    </row>
    <row s="12478" customFormat="1" customHeight="1" ht="18.75" hidden="1">
      <c r="A108" s="2658"/>
      <c r="B108" s="1230"/>
      <c r="C108" s="1038"/>
      <c r="D108" s="1036"/>
      <c r="E108" s="848" t="str">
        <f>FHD_NUM_P_57</f>
        <v/>
      </c>
      <c r="F108" s="1009" t="str">
        <f>FHD_P_57</f>
        <v/>
      </c>
      <c r="G108" s="1023" t="s">
        <v>1619</v>
      </c>
      <c r="H108" s="1297"/>
      <c r="I108" s="859"/>
      <c r="J108" s="564" t="str">
        <f>FHD_NOTE_P_57</f>
        <v/>
      </c>
      <c r="K108" s="1037"/>
      <c r="L108" s="1038"/>
      <c r="M108" s="1038"/>
      <c r="N108" s="1230"/>
      <c r="O108" s="1230"/>
      <c r="P108" s="1230"/>
      <c r="Q108" s="1230"/>
      <c r="R108" s="1038"/>
      <c r="S108" s="1230"/>
      <c r="T108" s="1230"/>
      <c r="U108" s="1039"/>
      <c r="V108" s="1230"/>
      <c r="W108" s="1230"/>
      <c r="X108" s="1230"/>
      <c r="Y108" s="1230"/>
      <c r="Z108" s="1230"/>
      <c r="AA108" s="1040"/>
      <c r="AB108" s="1040"/>
      <c r="AC108" s="1040"/>
      <c r="AD108" s="1040"/>
      <c r="AE108" s="1040"/>
    </row>
    <row customHeight="1" ht="18.75" hidden="1">
      <c r="A109" s="2656" t="s">
        <v>1750</v>
      </c>
      <c r="D109" s="2016"/>
      <c r="E109" s="848" t="str">
        <f>FHD_NUM_P_58</f>
        <v/>
      </c>
      <c r="F109" s="1009" t="str">
        <f>FHD_P_58</f>
        <v/>
      </c>
      <c r="G109" s="1023" t="s">
        <v>1748</v>
      </c>
      <c r="H109" s="1298"/>
      <c r="I109" s="879"/>
      <c r="J109" s="564" t="str">
        <f>FHD_NOTE_P_58</f>
        <v/>
      </c>
      <c r="K109" s="845"/>
    </row>
    <row customHeight="1" ht="18.75" hidden="1">
      <c r="A110" s="2656"/>
      <c r="D110" s="2016"/>
      <c r="E110" s="848" t="str">
        <f>FHD_NUM_P_59</f>
        <v/>
      </c>
      <c r="F110" s="1009" t="str">
        <f>FHD_P_59</f>
        <v/>
      </c>
      <c r="G110" s="1023" t="s">
        <v>1748</v>
      </c>
      <c r="H110" s="1298"/>
      <c r="I110" s="879"/>
      <c r="J110" s="564" t="str">
        <f>FHD_NOTE_P_59</f>
        <v/>
      </c>
      <c r="K110" s="845"/>
    </row>
    <row customHeight="1" ht="18.75" hidden="1">
      <c r="A111" s="2656"/>
      <c r="D111" s="2016"/>
      <c r="E111" s="848" t="str">
        <f>FHD_NUM_P_60</f>
        <v/>
      </c>
      <c r="F111" s="1009" t="str">
        <f>FHD_P_60</f>
        <v/>
      </c>
      <c r="G111" s="1023" t="s">
        <v>1748</v>
      </c>
      <c r="H111" s="1298"/>
      <c r="I111" s="879"/>
      <c r="J111" s="564" t="str">
        <f>FHD_NOTE_P_60</f>
        <v/>
      </c>
      <c r="K111" s="845"/>
    </row>
    <row s="11832" customFormat="1" customHeight="1" ht="35.25">
      <c r="A112" s="2656" t="s">
        <v>1751</v>
      </c>
      <c r="C112" s="2014"/>
      <c r="D112" s="2016"/>
      <c r="E112" s="848" t="str">
        <f>FHD_NUM_P_61</f>
        <v>7</v>
      </c>
      <c r="F112"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2" s="2024" t="s">
        <v>799</v>
      </c>
      <c r="H112" s="1300"/>
      <c r="I112" s="1045">
        <v>1.72</v>
      </c>
      <c r="J112"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2" s="845"/>
      <c r="L112" s="2014"/>
      <c r="M112" s="2014"/>
      <c r="R112" s="2014"/>
      <c r="U112" s="846"/>
      <c r="AA112" s="2010"/>
      <c r="AB112" s="2010"/>
      <c r="AC112" s="2010"/>
      <c r="AD112" s="2010"/>
      <c r="AE112" s="2010"/>
    </row>
    <row s="12378" customFormat="1" customHeight="1" ht="0.75">
      <c r="A113" s="2656"/>
      <c r="D113" s="850"/>
      <c r="E113" s="1107" t="str">
        <f>E112&amp;".0"</f>
        <v>7.0</v>
      </c>
      <c r="F113" s="1315"/>
      <c r="G113" s="1316"/>
      <c r="H113" s="1313"/>
      <c r="I113" s="1313"/>
      <c r="J113" s="1317"/>
    </row>
    <row customHeight="1" ht="15">
      <c r="A114" s="2656"/>
      <c r="D114" s="2011"/>
      <c r="E114" s="1292"/>
      <c r="F114" s="1293" t="s">
        <v>1557</v>
      </c>
      <c r="G114" s="874"/>
      <c r="H114" s="875"/>
      <c r="I114" s="875"/>
      <c r="J114" s="1325" t="s">
        <v>1752</v>
      </c>
      <c r="K114" s="845"/>
    </row>
    <row s="11832" customFormat="1" customHeight="1" ht="34.5">
      <c r="A115" s="2656"/>
      <c r="C115" s="2014"/>
      <c r="D115" s="2016"/>
      <c r="E115" s="848" t="str">
        <f>FHD_NUM_P_62</f>
        <v>8</v>
      </c>
      <c r="F115" s="1009" t="str">
        <f>FHD_P_62</f>
        <v>Тепловая нагрузка по договорам, заключенным в рамках осуществления регулируемых видов деятельности</v>
      </c>
      <c r="G115" s="2021" t="s">
        <v>799</v>
      </c>
      <c r="H115" s="859"/>
      <c r="I115" s="859">
        <v>0.32</v>
      </c>
      <c r="J115"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5" s="845"/>
      <c r="L115" s="2014"/>
      <c r="M115" s="2014"/>
      <c r="R115" s="2014"/>
      <c r="U115" s="846"/>
      <c r="AA115" s="2010"/>
      <c r="AB115" s="2010"/>
      <c r="AC115" s="2010"/>
      <c r="AD115" s="2010"/>
      <c r="AE115" s="2010"/>
    </row>
    <row s="11832" customFormat="1" customHeight="1" ht="40.5">
      <c r="A116" s="2656"/>
      <c r="C116" s="2014"/>
      <c r="D116" s="2016"/>
      <c r="E116" s="848" t="str">
        <f>FHD_NUM_P_63</f>
        <v>9</v>
      </c>
      <c r="F116" s="1009" t="str">
        <f>FHD_P_63</f>
        <v>Объем вырабатываемой регулируемой организацией тепловой энергии в рамках осуществления регулируемых видов деятельности</v>
      </c>
      <c r="G116" s="2021" t="s">
        <v>1016</v>
      </c>
      <c r="H116" s="879"/>
      <c r="I116" s="879">
        <v>0.618</v>
      </c>
      <c r="J116"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6" s="845"/>
      <c r="L116" s="2014"/>
      <c r="M116" s="2014"/>
      <c r="R116" s="2014"/>
      <c r="U116" s="846"/>
      <c r="AA116" s="2010"/>
      <c r="AB116" s="2010"/>
      <c r="AC116" s="2010"/>
      <c r="AD116" s="2010"/>
      <c r="AE116" s="2010"/>
    </row>
    <row s="11832" customFormat="1" customHeight="1" ht="29.25">
      <c r="A117" s="2656"/>
      <c r="C117" s="2014" t="s">
        <v>1753</v>
      </c>
      <c r="D117" s="2016"/>
      <c r="E117" s="848" t="str">
        <f>FHD_NUM_P_64</f>
        <v>9.1</v>
      </c>
      <c r="F117" s="1009" t="str">
        <f>FHD_P_64</f>
        <v>Объем приобретаемой регулируемой организацией тепловой энергии в рамках осуществления регулируемых видов деятельности</v>
      </c>
      <c r="G117" s="2021" t="s">
        <v>1016</v>
      </c>
      <c r="H117" s="847"/>
      <c r="I117" s="847"/>
      <c r="J117" s="564" t="str">
        <f>FHD_NOTE_P_64</f>
        <v>Информация указывается только едиными теплоснабжающими организациями.</v>
      </c>
      <c r="K117" s="845"/>
      <c r="L117" s="2014"/>
      <c r="M117" s="2014"/>
      <c r="R117" s="2014"/>
      <c r="U117" s="846"/>
      <c r="AA117" s="2010"/>
      <c r="AB117" s="2010"/>
      <c r="AC117" s="2010"/>
      <c r="AD117" s="2010"/>
      <c r="AE117" s="2010"/>
    </row>
    <row s="11832" customFormat="1" customHeight="1" ht="33">
      <c r="A118" s="2656"/>
      <c r="C118" s="2014"/>
      <c r="D118" s="2016"/>
      <c r="E118" s="848" t="str">
        <f>FHD_NUM_P_65</f>
        <v>10</v>
      </c>
      <c r="F118"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8" s="2021" t="s">
        <v>1016</v>
      </c>
      <c r="H118" s="879"/>
      <c r="I118" s="879">
        <v>0.578</v>
      </c>
      <c r="J118"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8" s="845"/>
      <c r="L118" s="2014"/>
      <c r="M118" s="2014"/>
      <c r="R118" s="2014"/>
      <c r="U118" s="846"/>
      <c r="AA118" s="2010"/>
      <c r="AB118" s="2010"/>
      <c r="AC118" s="2010"/>
      <c r="AD118" s="2010"/>
      <c r="AE118" s="2010"/>
    </row>
    <row s="11832" customFormat="1" customHeight="1" ht="18.75">
      <c r="A119" s="2656"/>
      <c r="C119" s="2014"/>
      <c r="D119" s="2016"/>
      <c r="E119" s="848" t="str">
        <f>FHD_NUM_P_66</f>
        <v>10.1</v>
      </c>
      <c r="F119" s="1275" t="str">
        <f>FHD_P_66</f>
        <v>По приборам учёта </v>
      </c>
      <c r="G119" s="2021" t="s">
        <v>1016</v>
      </c>
      <c r="H119" s="879"/>
      <c r="I119" s="879">
        <v>0.05</v>
      </c>
      <c r="J119" s="564" t="str">
        <f>FHD_NOTE_P_66</f>
        <v/>
      </c>
      <c r="K119" s="845"/>
      <c r="L119" s="2014"/>
      <c r="M119" s="2014"/>
      <c r="R119" s="2014"/>
      <c r="U119" s="846"/>
      <c r="AA119" s="2010"/>
      <c r="AB119" s="2010"/>
      <c r="AC119" s="2010"/>
      <c r="AD119" s="2010"/>
      <c r="AE119" s="2010"/>
    </row>
    <row s="11832" customFormat="1" customHeight="1" ht="18.75">
      <c r="A120" s="2656"/>
      <c r="C120" s="2014"/>
      <c r="D120" s="2016"/>
      <c r="E120" s="848" t="str">
        <f>FHD_NUM_P_67</f>
        <v>10.1.1</v>
      </c>
      <c r="F120"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0" s="2021" t="s">
        <v>1016</v>
      </c>
      <c r="H120" s="879"/>
      <c r="I120" s="879">
        <v>0.05</v>
      </c>
      <c r="J120" s="564" t="str">
        <f>FHD_NOTE_P_67</f>
        <v/>
      </c>
      <c r="K120" s="845"/>
      <c r="L120" s="2014"/>
      <c r="M120" s="2014"/>
      <c r="R120" s="2014"/>
      <c r="U120" s="846"/>
      <c r="AA120" s="2010"/>
      <c r="AB120" s="2010"/>
      <c r="AC120" s="2010"/>
      <c r="AD120" s="2010"/>
      <c r="AE120" s="2010"/>
    </row>
    <row s="11832" customFormat="1" customHeight="1" ht="18.75">
      <c r="A121" s="2656"/>
      <c r="C121" s="2014"/>
      <c r="D121" s="2016"/>
      <c r="E121" s="848" t="str">
        <f>FHD_NUM_P_68</f>
        <v>10.2</v>
      </c>
      <c r="F121" s="1275" t="str">
        <f>FHD_P_68</f>
        <v>Расчётным путём</v>
      </c>
      <c r="G121" s="2021" t="s">
        <v>1016</v>
      </c>
      <c r="H121" s="879"/>
      <c r="I121" s="879">
        <v>0.528</v>
      </c>
      <c r="J121" s="564" t="str">
        <f>FHD_NOTE_P_68</f>
        <v/>
      </c>
      <c r="K121" s="845"/>
      <c r="L121" s="2014"/>
      <c r="M121" s="2014"/>
      <c r="R121" s="2014"/>
      <c r="U121" s="846"/>
      <c r="AA121" s="2010"/>
      <c r="AB121" s="2010"/>
      <c r="AC121" s="2010"/>
      <c r="AD121" s="2010"/>
      <c r="AE121" s="2010"/>
    </row>
    <row s="11832" customFormat="1" customHeight="1" ht="25.5">
      <c r="A122" s="2656"/>
      <c r="C122" s="2014"/>
      <c r="D122" s="2016"/>
      <c r="E122" s="848" t="str">
        <f>FHD_NUM_P_69</f>
        <v>10.3</v>
      </c>
      <c r="F122" s="1275" t="str">
        <f>FHD_P_69</f>
        <v>По нормативам потребления коммунальных услуг и нормативам потребления коммунальных ресурсов</v>
      </c>
      <c r="G122" s="2021" t="s">
        <v>1016</v>
      </c>
      <c r="H122" s="879"/>
      <c r="I122" s="879">
        <v>0.528</v>
      </c>
      <c r="J122" s="564" t="str">
        <f>FHD_NOTE_P_69</f>
        <v/>
      </c>
      <c r="K122" s="845"/>
      <c r="L122" s="2014"/>
      <c r="M122" s="2014"/>
      <c r="R122" s="2014"/>
      <c r="U122" s="846"/>
      <c r="AA122" s="2010"/>
      <c r="AB122" s="2010"/>
      <c r="AC122" s="2010"/>
      <c r="AD122" s="2010"/>
      <c r="AE122" s="2010"/>
    </row>
    <row s="11832" customFormat="1" customHeight="1" ht="38.25">
      <c r="A123" s="2656"/>
      <c r="C123" s="2014"/>
      <c r="D123" s="2016"/>
      <c r="E123" s="848" t="str">
        <f>FHD_NUM_P_70</f>
        <v>11</v>
      </c>
      <c r="F123"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23" s="2021" t="s">
        <v>1754</v>
      </c>
      <c r="H123" s="859"/>
      <c r="I123" s="859">
        <v>0.04</v>
      </c>
      <c r="J123" s="564" t="str">
        <f>FHD_NOTE_P_70</f>
        <v/>
      </c>
      <c r="K123" s="845"/>
      <c r="L123" s="2014"/>
      <c r="M123" s="2014"/>
      <c r="R123" s="2014"/>
      <c r="U123" s="846"/>
      <c r="AA123" s="2010"/>
      <c r="AB123" s="2010"/>
      <c r="AC123" s="2010"/>
      <c r="AD123" s="2010"/>
      <c r="AE123" s="2010"/>
    </row>
    <row s="11832" customFormat="1" customHeight="1" ht="22.5">
      <c r="A124" s="2656"/>
      <c r="C124" s="2014"/>
      <c r="D124" s="2016"/>
      <c r="E124" s="848" t="str">
        <f>FHD_NUM_P_71</f>
        <v>12</v>
      </c>
      <c r="F124" s="1009" t="str">
        <f>FHD_P_71</f>
        <v>Фактический объем потерь при передаче тепловой энергии</v>
      </c>
      <c r="G124" s="2021" t="s">
        <v>1754</v>
      </c>
      <c r="H124" s="859"/>
      <c r="I124" s="859">
        <v>0.04</v>
      </c>
      <c r="J124" s="564" t="str">
        <f>FHD_NOTE_P_71</f>
        <v/>
      </c>
      <c r="K124" s="845"/>
      <c r="L124" s="2014"/>
      <c r="M124" s="2014"/>
      <c r="R124" s="2014"/>
      <c r="U124" s="846"/>
      <c r="AA124" s="2010"/>
      <c r="AB124" s="2010"/>
      <c r="AC124" s="2010"/>
      <c r="AD124" s="2010"/>
      <c r="AE124" s="2010"/>
    </row>
    <row customHeight="1" ht="18.75">
      <c r="D125" s="2016"/>
      <c r="E125" s="848" t="str">
        <f>FHD_NUM_P_72</f>
        <v>13</v>
      </c>
      <c r="F125" s="1009" t="str">
        <f>FHD_P_72</f>
        <v>Среднесписочная численность основного производственного персонала</v>
      </c>
      <c r="G125" s="1290" t="s">
        <v>1755</v>
      </c>
      <c r="H125" s="879"/>
      <c r="I125" s="879">
        <v>2</v>
      </c>
      <c r="J125" s="564" t="str">
        <f>FHD_NOTE_P_72</f>
        <v/>
      </c>
      <c r="K125" s="845"/>
    </row>
    <row customHeight="1" ht="32.25">
      <c r="A126" s="1310" t="s">
        <v>1756</v>
      </c>
      <c r="D126" s="2016"/>
      <c r="E126" s="848" t="str">
        <f>FHD_NUM_P_73</f>
        <v>14</v>
      </c>
      <c r="F126" s="1009" t="str">
        <f>FHD_P_73</f>
        <v>Среднесписочная численность административно-управленческого персонала</v>
      </c>
      <c r="G126" s="1291" t="s">
        <v>1755</v>
      </c>
      <c r="H126" s="1289"/>
      <c r="I126" s="1289">
        <v>2</v>
      </c>
      <c r="J126" s="564" t="str">
        <f>FHD_NOTE_P_73</f>
        <v/>
      </c>
      <c r="K126" s="845"/>
    </row>
    <row customHeight="1" ht="33.75" hidden="1">
      <c r="A127" s="1310" t="s">
        <v>1757</v>
      </c>
      <c r="D127" s="2016"/>
      <c r="E127" s="848" t="str">
        <f>FHD_NUM_P_74</f>
        <v/>
      </c>
      <c r="F127" s="1009" t="str">
        <f>FHD_P_74</f>
        <v/>
      </c>
      <c r="G127" s="1290" t="s">
        <v>1758</v>
      </c>
      <c r="H127" s="879"/>
      <c r="I127" s="879"/>
      <c r="J127" s="564" t="str">
        <f>FHD_NOTE_P_74</f>
        <v/>
      </c>
      <c r="K127" s="845"/>
    </row>
    <row s="12478" customFormat="1" customHeight="1" ht="18.75" hidden="1">
      <c r="A128" s="2658" t="s">
        <v>1759</v>
      </c>
      <c r="B128" s="1230"/>
      <c r="C128" s="1038"/>
      <c r="D128" s="1036"/>
      <c r="E128" s="848" t="str">
        <f>FHD_NUM_P_75</f>
        <v/>
      </c>
      <c r="F128" s="1009" t="str">
        <f>FHD_P_75</f>
        <v/>
      </c>
      <c r="G128" s="1290" t="s">
        <v>1619</v>
      </c>
      <c r="H128" s="859"/>
      <c r="I128" s="859"/>
      <c r="J128" s="564" t="str">
        <f>FHD_NOTE_P_75</f>
        <v/>
      </c>
      <c r="K128" s="1037"/>
      <c r="L128" s="1038"/>
      <c r="M128" s="1038"/>
      <c r="N128" s="1230"/>
      <c r="O128" s="1230"/>
      <c r="P128" s="1230"/>
      <c r="Q128" s="1230"/>
      <c r="R128" s="1038"/>
      <c r="S128" s="1230"/>
      <c r="T128" s="1230"/>
      <c r="U128" s="1039"/>
      <c r="V128" s="1230"/>
      <c r="W128" s="1230"/>
      <c r="X128" s="1230"/>
      <c r="Y128" s="1230"/>
      <c r="Z128" s="1230"/>
      <c r="AA128" s="1040"/>
      <c r="AB128" s="1040"/>
      <c r="AC128" s="1040"/>
      <c r="AD128" s="1040"/>
      <c r="AE128" s="1040"/>
    </row>
    <row s="12478" customFormat="1" customHeight="1" ht="18.75" hidden="1">
      <c r="A129" s="2658"/>
      <c r="B129" s="1230"/>
      <c r="C129" s="1038"/>
      <c r="D129" s="1036"/>
      <c r="E129" s="848" t="str">
        <f>FHD_NUM_P_76</f>
        <v/>
      </c>
      <c r="F129" s="1009" t="str">
        <f>FHD_P_76</f>
        <v/>
      </c>
      <c r="G129" s="1290" t="s">
        <v>1619</v>
      </c>
      <c r="H129" s="859"/>
      <c r="I129" s="859"/>
      <c r="J129" s="564" t="str">
        <f>FHD_NOTE_P_76</f>
        <v/>
      </c>
      <c r="K129" s="1037"/>
      <c r="L129" s="1038"/>
      <c r="M129" s="1038"/>
      <c r="N129" s="1230"/>
      <c r="O129" s="1230"/>
      <c r="P129" s="1230"/>
      <c r="Q129" s="1230"/>
      <c r="R129" s="1038"/>
      <c r="S129" s="1230"/>
      <c r="T129" s="1230"/>
      <c r="U129" s="1039"/>
      <c r="V129" s="1230"/>
      <c r="W129" s="1230"/>
      <c r="X129" s="1230"/>
      <c r="Y129" s="1230"/>
      <c r="Z129" s="1230"/>
      <c r="AA129" s="1040"/>
      <c r="AB129" s="1040"/>
      <c r="AC129" s="1040"/>
      <c r="AD129" s="1040"/>
      <c r="AE129" s="1040"/>
    </row>
    <row s="12478" customFormat="1" customHeight="1" ht="18.75" hidden="1">
      <c r="A130" s="2658"/>
      <c r="B130" s="1230"/>
      <c r="C130" s="1038"/>
      <c r="D130" s="1036"/>
      <c r="E130" s="848" t="str">
        <f>FHD_NUM_P_77</f>
        <v/>
      </c>
      <c r="F130" s="1009" t="str">
        <f>FHD_P_77</f>
        <v/>
      </c>
      <c r="G130" s="1290" t="s">
        <v>1619</v>
      </c>
      <c r="H130" s="859"/>
      <c r="I130" s="859"/>
      <c r="J130" s="564" t="str">
        <f>FHD_NOTE_P_77</f>
        <v/>
      </c>
      <c r="K130" s="1037"/>
      <c r="L130" s="1038"/>
      <c r="M130" s="1038"/>
      <c r="N130" s="1230"/>
      <c r="O130" s="1230"/>
      <c r="P130" s="1230"/>
      <c r="Q130" s="1230"/>
      <c r="R130" s="1038"/>
      <c r="S130" s="1230"/>
      <c r="T130" s="1230"/>
      <c r="U130" s="1039"/>
      <c r="V130" s="1230"/>
      <c r="W130" s="1230"/>
      <c r="X130" s="1230"/>
      <c r="Y130" s="1230"/>
      <c r="Z130" s="1230"/>
      <c r="AA130" s="1040"/>
      <c r="AB130" s="1040"/>
      <c r="AC130" s="1040"/>
      <c r="AD130" s="1040"/>
      <c r="AE130" s="1040"/>
    </row>
    <row s="12378" customFormat="1" customHeight="1" ht="0.75" hidden="1">
      <c r="A131" s="2658"/>
      <c r="D131" s="850"/>
      <c r="E131" s="1107" t="str">
        <f>E130&amp;".0"</f>
        <v>.0</v>
      </c>
      <c r="F131" s="1318"/>
      <c r="G131" s="2029"/>
      <c r="H131" s="1313"/>
      <c r="I131" s="1313"/>
      <c r="J131" s="1317"/>
    </row>
    <row s="12478" customFormat="1" customHeight="1" ht="15" hidden="1">
      <c r="A132" s="2658"/>
      <c r="B132" s="1230"/>
      <c r="C132" s="1038"/>
      <c r="D132" s="1049"/>
      <c r="E132" s="1294"/>
      <c r="F132" s="1295" t="s">
        <v>1760</v>
      </c>
      <c r="G132" s="1050"/>
      <c r="H132" s="1051"/>
      <c r="I132" s="1051"/>
      <c r="J132" s="1324" t="s">
        <v>1761</v>
      </c>
      <c r="K132" s="1037"/>
      <c r="L132" s="1038"/>
      <c r="M132" s="1038"/>
      <c r="N132" s="1230"/>
      <c r="O132" s="1230"/>
      <c r="P132" s="1230"/>
      <c r="Q132" s="1230"/>
      <c r="R132" s="1038"/>
      <c r="S132" s="1230"/>
      <c r="T132" s="1230"/>
      <c r="U132" s="1039"/>
      <c r="V132" s="1230"/>
      <c r="W132" s="1230"/>
      <c r="X132" s="1230"/>
      <c r="Y132" s="1230"/>
      <c r="Z132" s="1230"/>
      <c r="AA132" s="1040"/>
      <c r="AB132" s="1040"/>
      <c r="AC132" s="1040"/>
      <c r="AD132" s="1040"/>
      <c r="AE132" s="1040"/>
    </row>
    <row customHeight="1" ht="22.5">
      <c r="A133" s="2656" t="s">
        <v>1762</v>
      </c>
      <c r="D133" s="2016"/>
      <c r="E133" s="848" t="str">
        <f>FHD_NUM_P_78</f>
        <v>15</v>
      </c>
      <c r="F133"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2021" t="s">
        <v>1725</v>
      </c>
      <c r="H133" s="879"/>
      <c r="I133" s="879">
        <v>156</v>
      </c>
      <c r="J133" s="564" t="str">
        <f>FHD_NOTE_P_78</f>
        <v/>
      </c>
      <c r="K133" s="845"/>
    </row>
    <row s="12378" customFormat="1" customHeight="1" ht="0.75">
      <c r="A134" s="2656"/>
      <c r="D134" s="850"/>
      <c r="E134" s="1107" t="str">
        <f>E133&amp;".0"</f>
        <v>15.0</v>
      </c>
      <c r="F134" s="1318"/>
      <c r="G134" s="2029"/>
      <c r="H134" s="1313"/>
      <c r="I134" s="1313"/>
      <c r="J134" s="1317"/>
    </row>
    <row customHeight="1" ht="15">
      <c r="A135" s="2656"/>
      <c r="D135" s="2011"/>
      <c r="E135" s="872"/>
      <c r="F135" s="882" t="s">
        <v>1557</v>
      </c>
      <c r="G135" s="874"/>
      <c r="H135" s="875"/>
      <c r="I135" s="875"/>
      <c r="J135" s="1325" t="s">
        <v>1763</v>
      </c>
      <c r="K135" s="845"/>
    </row>
    <row customHeight="1" ht="78">
      <c r="A136" s="2656"/>
      <c r="D136" s="2016"/>
      <c r="E136" s="848" t="str">
        <f>FHD_NUM_P_79</f>
        <v>16</v>
      </c>
      <c r="F136"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6" s="2024" t="s">
        <v>1727</v>
      </c>
      <c r="H136" s="879"/>
      <c r="I136" s="879">
        <v>156</v>
      </c>
      <c r="J136"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6" s="845"/>
    </row>
    <row s="12378" customFormat="1" customHeight="1" ht="0.75">
      <c r="A137" s="2656"/>
      <c r="D137" s="850"/>
      <c r="E137" s="1107" t="str">
        <f>E136&amp;".0"</f>
        <v>16.0</v>
      </c>
      <c r="F137" s="1319"/>
      <c r="G137" s="2029"/>
      <c r="H137" s="1313"/>
      <c r="I137" s="1313"/>
      <c r="J137" s="1317"/>
    </row>
    <row customHeight="1" ht="15">
      <c r="A138" s="2656"/>
      <c r="D138" s="2011"/>
      <c r="E138" s="872"/>
      <c r="F138" s="882" t="s">
        <v>1557</v>
      </c>
      <c r="G138" s="874"/>
      <c r="H138" s="875"/>
      <c r="I138" s="875"/>
      <c r="J138" s="1325" t="s">
        <v>1764</v>
      </c>
      <c r="K138" s="845"/>
    </row>
    <row customHeight="1" ht="42">
      <c r="A139" s="2656"/>
      <c r="D139" s="2016"/>
      <c r="E139" s="848" t="str">
        <f>FHD_NUM_P_80</f>
        <v>17</v>
      </c>
      <c r="F139"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2024" t="s">
        <v>1765</v>
      </c>
      <c r="H139" s="859"/>
      <c r="I139" s="859">
        <v>0.03</v>
      </c>
      <c r="J139" s="564" t="str">
        <f>FHD_NOTE_P_80</f>
        <v>Регулируемыми организациями указывается информация с по договорам, заключенным в рамках осуществления регулируемой деятельности.</v>
      </c>
      <c r="K139" s="845"/>
    </row>
    <row customHeight="1" ht="67.5">
      <c r="A140" s="2656"/>
      <c r="D140" s="2016"/>
      <c r="E140" s="848" t="str">
        <f>FHD_NUM_P_81</f>
        <v>18</v>
      </c>
      <c r="F140"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0" s="2024" t="s">
        <v>1766</v>
      </c>
      <c r="H140" s="859"/>
      <c r="I140" s="859">
        <v>0.48</v>
      </c>
      <c r="J140" s="564" t="str">
        <f>FHD_NOTE_P_81</f>
        <v>Регулируемыми организациями указывается информация с по договорам, заключенным в рамках осуществления регулируемой деятельности.</v>
      </c>
      <c r="K140" s="845"/>
    </row>
    <row customHeight="1" ht="66">
      <c r="A141" s="2656"/>
      <c r="C141" s="2014" t="s">
        <v>1753</v>
      </c>
      <c r="D141" s="2016"/>
      <c r="E141" s="848" t="str">
        <f>FHD_NUM_P_82</f>
        <v>19</v>
      </c>
      <c r="F141"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1" s="2024" t="s">
        <v>297</v>
      </c>
      <c r="H141" s="701"/>
      <c r="I141" s="701"/>
      <c r="J141" s="564" t="str">
        <f>FHD_NOTE_P_82</f>
        <v>Указывается ссылка на документ, предварительно загруженный в хранилище файлов ФГИС ЕИАС.</v>
      </c>
      <c r="K141" s="845"/>
    </row>
    <row customHeight="1" ht="24.75">
      <c r="A142" s="2656"/>
      <c r="C142" s="2014" t="s">
        <v>1753</v>
      </c>
      <c r="D142" s="2016"/>
      <c r="E142" s="848" t="str">
        <f>FHD_NUM_P_83</f>
        <v>19.1</v>
      </c>
      <c r="F142" s="1275" t="str">
        <f>FHD_P_83</f>
        <v>Информация о показателях физического износа объектов теплоснабжения</v>
      </c>
      <c r="G142" s="2024" t="s">
        <v>297</v>
      </c>
      <c r="H142" s="701"/>
      <c r="I142" s="701"/>
      <c r="J142" s="564" t="str">
        <f>FHD_NOTE_P_83</f>
        <v>Указывается ссылка на документ, предварительно загруженный в хранилище файлов ФГИС ЕИАС.</v>
      </c>
      <c r="K142" s="845"/>
    </row>
    <row customHeight="1" ht="28.5">
      <c r="A143" s="2656"/>
      <c r="C143" s="2014" t="s">
        <v>1753</v>
      </c>
      <c r="D143" s="2016"/>
      <c r="E143" s="848" t="str">
        <f>FHD_NUM_P_84</f>
        <v>19.2</v>
      </c>
      <c r="F143" s="1275" t="str">
        <f>FHD_P_84</f>
        <v>Информация о показателях энергетической эффективности объектов теплоснабжения</v>
      </c>
      <c r="G143" s="2024" t="s">
        <v>297</v>
      </c>
      <c r="H143" s="701"/>
      <c r="I143" s="701"/>
      <c r="J143" s="564" t="str">
        <f>FHD_NOTE_P_84</f>
        <v>Указывается ссылка на документ, предварительно загруженный в хранилище файлов ФГИС ЕИАС.</v>
      </c>
      <c r="K143" s="845"/>
    </row>
    <row customHeight="1" ht="11.25">
      <c r="D144" s="2016"/>
    </row>
    <row customHeight="1" ht="12.75">
      <c r="D145" s="2016"/>
      <c r="E145" s="622"/>
      <c r="F145" s="659"/>
      <c r="G145" s="659"/>
      <c r="H145" s="659"/>
      <c r="I145" s="2025"/>
      <c r="J145" s="883"/>
    </row>
    <row s="12407" customFormat="1" customHeight="1" ht="11.25">
      <c r="A146" s="1308"/>
      <c r="B146" s="2014"/>
      <c r="C146" s="2014"/>
      <c r="D146" s="637"/>
      <c r="F146" s="2018"/>
      <c r="G146" s="2009"/>
      <c r="H146" s="2009"/>
      <c r="I146" s="2009"/>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40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40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H149" s="868" t="str">
        <f>IF(H30-H31&lt;&gt;H85,"WARNING","")</f>
        <v/>
      </c>
      <c r="I149" s="868" t="str">
        <f>IF(I30-I31&lt;&gt;I85,"WARNING","")</f>
        <v/>
      </c>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40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40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40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40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40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40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40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40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40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407"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407"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407"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407"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407"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407"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407"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407"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407"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407"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407"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407"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407"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407"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407"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407"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407"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407"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407"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407"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407"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407"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407"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407"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407"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407"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407"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407"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407"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407"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407"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407"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407"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407"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407"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407"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407"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407"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407"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407"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407"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407"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407"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407"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407"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407"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407"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407"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407"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407"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407"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407"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407"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407"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407"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407"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407"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407"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407"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407"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407"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407"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407"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407"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407"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407"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407"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407"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407"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407"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407"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407"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407"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407"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407"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407"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407"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407"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407"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407"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407"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407"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407"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407"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s="12407" customFormat="1" customHeight="1" ht="11.25">
      <c r="A289" s="1308"/>
      <c r="B289" s="2014"/>
      <c r="C289" s="2014"/>
      <c r="D289" s="637"/>
      <c r="K289" s="1486"/>
      <c r="L289" s="2014"/>
      <c r="M289" s="2014"/>
      <c r="N289" s="1486"/>
      <c r="O289" s="1486"/>
      <c r="P289" s="1486"/>
      <c r="Q289" s="1486"/>
      <c r="R289" s="2014"/>
      <c r="S289" s="1486"/>
      <c r="T289" s="1486"/>
      <c r="U289" s="846"/>
      <c r="V289" s="1486"/>
      <c r="W289" s="1486"/>
      <c r="X289" s="1486"/>
      <c r="Y289" s="1486"/>
      <c r="Z289" s="1486"/>
      <c r="AA289" s="2010"/>
      <c r="AB289" s="868"/>
      <c r="AC289" s="868"/>
      <c r="AD289" s="868"/>
      <c r="AE289" s="868"/>
    </row>
    <row s="12407" customFormat="1" customHeight="1" ht="11.25">
      <c r="A290" s="1308"/>
      <c r="B290" s="2014"/>
      <c r="C290" s="2014"/>
      <c r="D290" s="637"/>
      <c r="K290" s="1486"/>
      <c r="L290" s="2014"/>
      <c r="M290" s="2014"/>
      <c r="N290" s="1486"/>
      <c r="O290" s="1486"/>
      <c r="P290" s="1486"/>
      <c r="Q290" s="1486"/>
      <c r="R290" s="2014"/>
      <c r="S290" s="1486"/>
      <c r="T290" s="1486"/>
      <c r="U290" s="846"/>
      <c r="V290" s="1486"/>
      <c r="W290" s="1486"/>
      <c r="X290" s="1486"/>
      <c r="Y290" s="1486"/>
      <c r="Z290" s="1486"/>
      <c r="AA290" s="2010"/>
      <c r="AB290" s="868"/>
      <c r="AC290" s="868"/>
      <c r="AD290" s="868"/>
      <c r="AE290" s="868"/>
    </row>
    <row s="12407" customFormat="1" customHeight="1" ht="11.25">
      <c r="A291" s="1308"/>
      <c r="B291" s="2014"/>
      <c r="C291" s="2014"/>
      <c r="D291" s="637"/>
      <c r="K291" s="1486"/>
      <c r="L291" s="2014"/>
      <c r="M291" s="2014"/>
      <c r="N291" s="1486"/>
      <c r="O291" s="1486"/>
      <c r="P291" s="1486"/>
      <c r="Q291" s="1486"/>
      <c r="R291" s="2014"/>
      <c r="S291" s="1486"/>
      <c r="T291" s="1486"/>
      <c r="U291" s="846"/>
      <c r="V291" s="1486"/>
      <c r="W291" s="1486"/>
      <c r="X291" s="1486"/>
      <c r="Y291" s="1486"/>
      <c r="Z291" s="1486"/>
      <c r="AA291" s="2010"/>
      <c r="AB291" s="868"/>
      <c r="AC291" s="868"/>
      <c r="AD291" s="868"/>
      <c r="AE291" s="868"/>
    </row>
    <row s="12407" customFormat="1" customHeight="1" ht="11.25">
      <c r="A292" s="1308"/>
      <c r="B292" s="2014"/>
      <c r="C292" s="2014"/>
      <c r="D292" s="637"/>
      <c r="K292" s="1486"/>
      <c r="L292" s="2014"/>
      <c r="M292" s="2014"/>
      <c r="N292" s="1486"/>
      <c r="O292" s="1486"/>
      <c r="P292" s="1486"/>
      <c r="Q292" s="1486"/>
      <c r="R292" s="2014"/>
      <c r="S292" s="1486"/>
      <c r="T292" s="1486"/>
      <c r="U292" s="846"/>
      <c r="V292" s="1486"/>
      <c r="W292" s="1486"/>
      <c r="X292" s="1486"/>
      <c r="Y292" s="1486"/>
      <c r="Z292" s="1486"/>
      <c r="AA292" s="2010"/>
      <c r="AB292" s="868"/>
      <c r="AC292" s="868"/>
      <c r="AD292" s="868"/>
      <c r="AE292" s="868"/>
    </row>
    <row s="12407" customFormat="1" customHeight="1" ht="11.25">
      <c r="A293" s="1308"/>
      <c r="B293" s="2014"/>
      <c r="C293" s="2014"/>
      <c r="D293" s="637"/>
      <c r="K293" s="1486"/>
      <c r="L293" s="2014"/>
      <c r="M293" s="2014"/>
      <c r="N293" s="1486"/>
      <c r="O293" s="1486"/>
      <c r="P293" s="1486"/>
      <c r="Q293" s="1486"/>
      <c r="R293" s="2014"/>
      <c r="S293" s="1486"/>
      <c r="T293" s="1486"/>
      <c r="U293" s="846"/>
      <c r="V293" s="1486"/>
      <c r="W293" s="1486"/>
      <c r="X293" s="1486"/>
      <c r="Y293" s="1486"/>
      <c r="Z293" s="1486"/>
      <c r="AA293" s="2010"/>
      <c r="AB293" s="868"/>
      <c r="AC293" s="868"/>
      <c r="AD293" s="868"/>
      <c r="AE293" s="868"/>
    </row>
    <row s="12407" customFormat="1" customHeight="1" ht="11.25">
      <c r="A294" s="1308"/>
      <c r="B294" s="2014"/>
      <c r="C294" s="2014"/>
      <c r="D294" s="637"/>
      <c r="K294" s="1486"/>
      <c r="L294" s="2014"/>
      <c r="M294" s="2014"/>
      <c r="N294" s="1486"/>
      <c r="O294" s="1486"/>
      <c r="P294" s="1486"/>
      <c r="Q294" s="1486"/>
      <c r="R294" s="2014"/>
      <c r="S294" s="1486"/>
      <c r="T294" s="1486"/>
      <c r="U294" s="846"/>
      <c r="V294" s="1486"/>
      <c r="W294" s="1486"/>
      <c r="X294" s="1486"/>
      <c r="Y294" s="1486"/>
      <c r="Z294" s="1486"/>
      <c r="AA294" s="2010"/>
      <c r="AB294" s="868"/>
      <c r="AC294" s="868"/>
      <c r="AD294" s="868"/>
      <c r="AE294" s="868"/>
    </row>
    <row s="12407" customFormat="1" customHeight="1" ht="11.25">
      <c r="A295" s="1308"/>
      <c r="B295" s="2014"/>
      <c r="C295" s="2014"/>
      <c r="D295" s="637"/>
      <c r="K295" s="1486"/>
      <c r="L295" s="2014"/>
      <c r="M295" s="2014"/>
      <c r="N295" s="1486"/>
      <c r="O295" s="1486"/>
      <c r="P295" s="1486"/>
      <c r="Q295" s="1486"/>
      <c r="R295" s="2014"/>
      <c r="S295" s="1486"/>
      <c r="T295" s="1486"/>
      <c r="U295" s="846"/>
      <c r="V295" s="1486"/>
      <c r="W295" s="1486"/>
      <c r="X295" s="1486"/>
      <c r="Y295" s="1486"/>
      <c r="Z295" s="1486"/>
      <c r="AA295" s="2010"/>
      <c r="AB295" s="868"/>
      <c r="AC295" s="868"/>
      <c r="AD295" s="868"/>
      <c r="AE295" s="868"/>
    </row>
    <row s="12407" customFormat="1" customHeight="1" ht="11.25">
      <c r="A296" s="1308"/>
      <c r="B296" s="2014"/>
      <c r="C296" s="2014"/>
      <c r="D296" s="637"/>
      <c r="K296" s="1486"/>
      <c r="L296" s="2014"/>
      <c r="M296" s="2014"/>
      <c r="N296" s="1486"/>
      <c r="O296" s="1486"/>
      <c r="P296" s="1486"/>
      <c r="Q296" s="1486"/>
      <c r="R296" s="2014"/>
      <c r="S296" s="1486"/>
      <c r="T296" s="1486"/>
      <c r="U296" s="846"/>
      <c r="V296" s="1486"/>
      <c r="W296" s="1486"/>
      <c r="X296" s="1486"/>
      <c r="Y296" s="1486"/>
      <c r="Z296" s="1486"/>
      <c r="AA296" s="2010"/>
      <c r="AB296" s="868"/>
      <c r="AC296" s="868"/>
      <c r="AD296" s="868"/>
      <c r="AE296" s="868"/>
    </row>
    <row s="12407" customFormat="1" customHeight="1" ht="11.25">
      <c r="A297" s="1308"/>
      <c r="B297" s="2014"/>
      <c r="C297" s="2014"/>
      <c r="D297" s="637"/>
      <c r="K297" s="1486"/>
      <c r="L297" s="2014"/>
      <c r="M297" s="2014"/>
      <c r="N297" s="1486"/>
      <c r="O297" s="1486"/>
      <c r="P297" s="1486"/>
      <c r="Q297" s="1486"/>
      <c r="R297" s="2014"/>
      <c r="S297" s="1486"/>
      <c r="T297" s="1486"/>
      <c r="U297" s="846"/>
      <c r="V297" s="1486"/>
      <c r="W297" s="1486"/>
      <c r="X297" s="1486"/>
      <c r="Y297" s="1486"/>
      <c r="Z297" s="1486"/>
      <c r="AA297" s="2010"/>
      <c r="AB297" s="868"/>
      <c r="AC297" s="868"/>
      <c r="AD297" s="868"/>
      <c r="AE297" s="868"/>
    </row>
    <row s="12407" customFormat="1" customHeight="1" ht="11.25">
      <c r="A298" s="1308"/>
      <c r="B298" s="2014"/>
      <c r="C298" s="2014"/>
      <c r="D298" s="637"/>
      <c r="K298" s="1486"/>
      <c r="L298" s="2014"/>
      <c r="M298" s="2014"/>
      <c r="N298" s="1486"/>
      <c r="O298" s="1486"/>
      <c r="P298" s="1486"/>
      <c r="Q298" s="1486"/>
      <c r="R298" s="2014"/>
      <c r="S298" s="1486"/>
      <c r="T298" s="1486"/>
      <c r="U298" s="846"/>
      <c r="V298" s="1486"/>
      <c r="W298" s="1486"/>
      <c r="X298" s="1486"/>
      <c r="Y298" s="1486"/>
      <c r="Z298" s="1486"/>
      <c r="AA298" s="2010"/>
      <c r="AB298" s="868"/>
      <c r="AC298" s="868"/>
      <c r="AD298" s="868"/>
      <c r="AE298" s="868"/>
    </row>
    <row s="12407" customFormat="1" customHeight="1" ht="11.25">
      <c r="A299" s="1308"/>
      <c r="B299" s="2014"/>
      <c r="C299" s="2014"/>
      <c r="D299" s="637"/>
      <c r="K299" s="1486"/>
      <c r="L299" s="2014"/>
      <c r="M299" s="2014"/>
      <c r="N299" s="1486"/>
      <c r="O299" s="1486"/>
      <c r="P299" s="1486"/>
      <c r="Q299" s="1486"/>
      <c r="R299" s="2014"/>
      <c r="S299" s="1486"/>
      <c r="T299" s="1486"/>
      <c r="U299" s="846"/>
      <c r="V299" s="1486"/>
      <c r="W299" s="1486"/>
      <c r="X299" s="1486"/>
      <c r="Y299" s="1486"/>
      <c r="Z299" s="1486"/>
      <c r="AA299" s="2010"/>
      <c r="AB299" s="868"/>
      <c r="AC299" s="868"/>
      <c r="AD299" s="868"/>
      <c r="AE299" s="868"/>
    </row>
    <row s="12407" customFormat="1" customHeight="1" ht="11.25">
      <c r="A300" s="1308"/>
      <c r="B300" s="2014"/>
      <c r="C300" s="2014"/>
      <c r="D300" s="637"/>
      <c r="K300" s="1486"/>
      <c r="L300" s="2014"/>
      <c r="M300" s="2014"/>
      <c r="N300" s="1486"/>
      <c r="O300" s="1486"/>
      <c r="P300" s="1486"/>
      <c r="Q300" s="1486"/>
      <c r="R300" s="2014"/>
      <c r="S300" s="1486"/>
      <c r="T300" s="1486"/>
      <c r="U300" s="846"/>
      <c r="V300" s="1486"/>
      <c r="W300" s="1486"/>
      <c r="X300" s="1486"/>
      <c r="Y300" s="1486"/>
      <c r="Z300" s="1486"/>
      <c r="AA300" s="2010"/>
      <c r="AB300" s="868"/>
      <c r="AC300" s="868"/>
      <c r="AD300" s="868"/>
      <c r="AE300" s="868"/>
    </row>
    <row s="12407" customFormat="1" customHeight="1" ht="11.25">
      <c r="A301" s="1308"/>
      <c r="B301" s="2014"/>
      <c r="C301" s="2014"/>
      <c r="D301" s="637"/>
      <c r="K301" s="1486"/>
      <c r="L301" s="2014"/>
      <c r="M301" s="2014"/>
      <c r="N301" s="1486"/>
      <c r="O301" s="1486"/>
      <c r="P301" s="1486"/>
      <c r="Q301" s="1486"/>
      <c r="R301" s="2014"/>
      <c r="S301" s="1486"/>
      <c r="T301" s="1486"/>
      <c r="U301" s="846"/>
      <c r="V301" s="1486"/>
      <c r="W301" s="1486"/>
      <c r="X301" s="1486"/>
      <c r="Y301" s="1486"/>
      <c r="Z301" s="1486"/>
      <c r="AA301" s="2010"/>
      <c r="AB301" s="868"/>
      <c r="AC301" s="868"/>
      <c r="AD301" s="868"/>
      <c r="AE301" s="868"/>
    </row>
    <row r="305" customHeight="1" ht="11.25">
      <c r="A305" s="1311"/>
      <c r="B305" s="2009"/>
      <c r="D305" s="2009"/>
      <c r="K305" s="2009"/>
      <c r="N305" s="2009"/>
      <c r="O305" s="2009"/>
      <c r="P305" s="2009"/>
      <c r="Q305" s="2009"/>
      <c r="S305" s="2009"/>
      <c r="T305" s="2009"/>
      <c r="U305" s="2009"/>
      <c r="V305" s="2009"/>
      <c r="W305" s="2009"/>
      <c r="X305" s="2009"/>
      <c r="Y305" s="2009"/>
      <c r="Z305" s="2009"/>
      <c r="AA305" s="2009"/>
      <c r="AB305" s="2009"/>
      <c r="AC305" s="2009"/>
      <c r="AD305" s="2009"/>
      <c r="AE305" s="2009"/>
    </row>
    <row customHeight="1" ht="11.25">
      <c r="A306" s="1311"/>
      <c r="B306" s="2009"/>
      <c r="D306" s="2009"/>
      <c r="K306" s="2009"/>
      <c r="N306" s="2009"/>
      <c r="O306" s="2009"/>
      <c r="P306" s="2009"/>
      <c r="Q306" s="2009"/>
      <c r="S306" s="2009"/>
      <c r="T306" s="2009"/>
      <c r="U306" s="2009"/>
      <c r="V306" s="2009"/>
      <c r="W306" s="2009"/>
      <c r="X306" s="2009"/>
      <c r="Y306" s="2009"/>
      <c r="Z306" s="2009"/>
      <c r="AA306" s="2009"/>
      <c r="AB306" s="2009"/>
      <c r="AC306" s="2009"/>
      <c r="AD306" s="2009"/>
      <c r="AE306" s="2009"/>
    </row>
    <row customHeight="1" ht="11.25">
      <c r="A307" s="1311"/>
      <c r="B307" s="2009"/>
      <c r="D307" s="2009"/>
      <c r="K307" s="2009"/>
      <c r="N307" s="2009"/>
      <c r="O307" s="2009"/>
      <c r="P307" s="2009"/>
      <c r="Q307" s="2009"/>
      <c r="S307" s="2009"/>
      <c r="T307" s="2009"/>
      <c r="U307" s="2009"/>
      <c r="V307" s="2009"/>
      <c r="W307" s="2009"/>
      <c r="X307" s="2009"/>
      <c r="Y307" s="2009"/>
      <c r="Z307" s="2009"/>
      <c r="AA307" s="2009"/>
      <c r="AB307" s="2009"/>
      <c r="AC307" s="2009"/>
      <c r="AD307" s="2009"/>
      <c r="AE307" s="2009"/>
    </row>
    <row customHeight="1" ht="11.25">
      <c r="A308" s="1311"/>
      <c r="B308" s="2009"/>
      <c r="D308" s="2009"/>
      <c r="K308" s="2009"/>
      <c r="N308" s="2009"/>
      <c r="O308" s="2009"/>
      <c r="P308" s="2009"/>
      <c r="Q308" s="2009"/>
      <c r="S308" s="2009"/>
      <c r="T308" s="2009"/>
      <c r="U308" s="2009"/>
      <c r="V308" s="2009"/>
      <c r="W308" s="2009"/>
      <c r="X308" s="2009"/>
      <c r="Y308" s="2009"/>
      <c r="Z308" s="2009"/>
      <c r="AA308" s="2009"/>
      <c r="AB308" s="2009"/>
      <c r="AC308" s="2009"/>
      <c r="AD308" s="2009"/>
      <c r="AE308" s="2009"/>
    </row>
    <row customHeight="1" ht="11.25">
      <c r="A309" s="1311"/>
      <c r="B309" s="2009"/>
      <c r="D309" s="2009"/>
      <c r="K309" s="2009"/>
      <c r="N309" s="2009"/>
      <c r="O309" s="2009"/>
      <c r="P309" s="2009"/>
      <c r="Q309" s="2009"/>
      <c r="S309" s="2009"/>
      <c r="T309" s="2009"/>
      <c r="U309" s="2009"/>
      <c r="V309" s="2009"/>
      <c r="W309" s="2009"/>
      <c r="X309" s="2009"/>
      <c r="Y309" s="2009"/>
      <c r="Z309" s="2009"/>
      <c r="AA309" s="2009"/>
      <c r="AB309" s="2009"/>
      <c r="AC309" s="2009"/>
      <c r="AD309" s="2009"/>
      <c r="AE309" s="2009"/>
    </row>
    <row customHeight="1" ht="11.25">
      <c r="A310" s="1311"/>
      <c r="B310" s="2009"/>
      <c r="D310" s="2009"/>
      <c r="K310" s="2009"/>
      <c r="N310" s="2009"/>
      <c r="O310" s="2009"/>
      <c r="P310" s="2009"/>
      <c r="Q310" s="2009"/>
      <c r="S310" s="2009"/>
      <c r="T310" s="2009"/>
      <c r="U310" s="2009"/>
      <c r="V310" s="2009"/>
      <c r="W310" s="2009"/>
      <c r="X310" s="2009"/>
      <c r="Y310" s="2009"/>
      <c r="Z310" s="2009"/>
      <c r="AA310" s="2009"/>
      <c r="AB310" s="2009"/>
      <c r="AC310" s="2009"/>
      <c r="AD310" s="2009"/>
      <c r="AE310" s="2009"/>
    </row>
    <row customHeight="1" ht="11.25">
      <c r="A311" s="1311"/>
      <c r="B311" s="2009"/>
      <c r="D311" s="2009"/>
      <c r="K311" s="2009"/>
      <c r="N311" s="2009"/>
      <c r="O311" s="2009"/>
      <c r="P311" s="2009"/>
      <c r="Q311" s="2009"/>
      <c r="S311" s="2009"/>
      <c r="T311" s="2009"/>
      <c r="U311" s="2009"/>
      <c r="V311" s="2009"/>
      <c r="W311" s="2009"/>
      <c r="X311" s="2009"/>
      <c r="Y311" s="2009"/>
      <c r="Z311" s="2009"/>
      <c r="AA311" s="2009"/>
      <c r="AB311" s="2009"/>
      <c r="AC311" s="2009"/>
      <c r="AD311" s="2009"/>
      <c r="AE311" s="2009"/>
    </row>
    <row customHeight="1" ht="11.25">
      <c r="A312" s="1311"/>
      <c r="B312" s="2009"/>
      <c r="D312" s="2009"/>
      <c r="K312" s="2009"/>
      <c r="N312" s="2009"/>
      <c r="O312" s="2009"/>
      <c r="P312" s="2009"/>
      <c r="Q312" s="2009"/>
      <c r="S312" s="2009"/>
      <c r="T312" s="2009"/>
      <c r="U312" s="2009"/>
      <c r="V312" s="2009"/>
      <c r="W312" s="2009"/>
      <c r="X312" s="2009"/>
      <c r="Y312" s="2009"/>
      <c r="Z312" s="2009"/>
      <c r="AA312" s="2009"/>
      <c r="AB312" s="2009"/>
      <c r="AC312" s="2009"/>
      <c r="AD312" s="2009"/>
      <c r="AE312" s="2009"/>
    </row>
    <row customHeight="1" ht="11.25">
      <c r="A313" s="1311"/>
      <c r="B313" s="2009"/>
      <c r="D313" s="2009"/>
      <c r="K313" s="2009"/>
      <c r="N313" s="2009"/>
      <c r="O313" s="2009"/>
      <c r="P313" s="2009"/>
      <c r="Q313" s="2009"/>
      <c r="S313" s="2009"/>
      <c r="T313" s="2009"/>
      <c r="U313" s="2009"/>
      <c r="V313" s="2009"/>
      <c r="W313" s="2009"/>
      <c r="X313" s="2009"/>
      <c r="Y313" s="2009"/>
      <c r="Z313" s="2009"/>
      <c r="AA313" s="2009"/>
      <c r="AB313" s="2009"/>
      <c r="AC313" s="2009"/>
      <c r="AD313" s="2009"/>
      <c r="AE313" s="2009"/>
    </row>
    <row customHeight="1" ht="11.25">
      <c r="A314" s="1311"/>
      <c r="B314" s="2009"/>
      <c r="D314" s="2009"/>
      <c r="K314" s="2009"/>
      <c r="N314" s="2009"/>
      <c r="O314" s="2009"/>
      <c r="P314" s="2009"/>
      <c r="Q314" s="2009"/>
      <c r="S314" s="2009"/>
      <c r="T314" s="2009"/>
      <c r="U314" s="2009"/>
      <c r="V314" s="2009"/>
      <c r="W314" s="2009"/>
      <c r="X314" s="2009"/>
      <c r="Y314" s="2009"/>
      <c r="Z314" s="2009"/>
      <c r="AA314" s="2009"/>
      <c r="AB314" s="2009"/>
      <c r="AC314" s="2009"/>
      <c r="AD314" s="2009"/>
      <c r="AE314" s="2009"/>
    </row>
    <row customHeight="1" ht="11.25">
      <c r="A315" s="1311"/>
      <c r="B315" s="2009"/>
      <c r="D315" s="2009"/>
      <c r="K315" s="2009"/>
      <c r="N315" s="2009"/>
      <c r="O315" s="2009"/>
      <c r="P315" s="2009"/>
      <c r="Q315" s="2009"/>
      <c r="S315" s="2009"/>
      <c r="T315" s="2009"/>
      <c r="U315" s="2009"/>
      <c r="V315" s="2009"/>
      <c r="W315" s="2009"/>
      <c r="X315" s="2009"/>
      <c r="Y315" s="2009"/>
      <c r="Z315" s="2009"/>
      <c r="AA315" s="2009"/>
      <c r="AB315" s="2009"/>
      <c r="AC315" s="2009"/>
      <c r="AD315" s="2009"/>
      <c r="AE315" s="2009"/>
    </row>
  </sheetData>
  <sheetProtection formatColumns="0" formatRows="0" autoFilter="0" sort="0" insertRows="0" insertColumns="1" deleteRows="0" deleteColumns="0"/>
  <mergeCells count="19">
    <mergeCell ref="A133:A143"/>
    <mergeCell ref="E21:I21"/>
    <mergeCell ref="E22:I22"/>
    <mergeCell ref="A33:A46"/>
    <mergeCell ref="B34:B39"/>
    <mergeCell ref="A47:A49"/>
    <mergeCell ref="A73:A74"/>
    <mergeCell ref="A95:A103"/>
    <mergeCell ref="A104:A108"/>
    <mergeCell ref="A109:A111"/>
    <mergeCell ref="A112:A124"/>
    <mergeCell ref="A128:A132"/>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104:I107 H140:I140 H30:I30 H32:I33 H35:I38 H46:I71 H95:I99 H17:I17 H9:I13 H15:I15 H109:I132 H87:I87 H101:I102 H4:I6 H42 I42 H43 I43 H44 I44 H77:H83 I77:I8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4:I94 H141:I143">
      <formula1>900</formula1>
    </dataValidation>
    <dataValidation type="decimal" allowBlank="1" showErrorMessage="1" errorTitle="Ошибка" error="Допускается ввод только действительных чисел!" sqref="H85:I86">
      <formula1>-9.99999999999999E+23</formula1>
      <formula2>9.99999999999999E+23</formula2>
    </dataValidation>
    <dataValidation type="decimal" allowBlank="1" showErrorMessage="1" errorTitle="Ошибка" error="Допускается ввод только действительных чисел!" sqref="H136:I136 H133:I133 H139:I139 H88:I93">
      <formula1>-9.99999999999999E+37</formula1>
      <formula2>9.99999999999999E+37</formula2>
    </dataValidation>
    <dataValidation type="decimal" allowBlank="1" showErrorMessage="1" errorTitle="Ошибка" error="Введите значение от 0 до 100%" sqref="H103:I103 H108:I10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F40B5-314B-E073-FC76-D2BCF1FDBC4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544" width="14.7109375" hidden="1" customWidth="1"/>
    <col min="2" max="2" style="11104" width="17.00390625" hidden="1" customWidth="1"/>
    <col min="3" max="3" style="11107" width="3.7109375" customWidth="1"/>
    <col min="4" max="4" style="11107" width="1.8515625" hidden="1" customWidth="1"/>
    <col min="5" max="6" style="11107" width="7.7109375" customWidth="1"/>
    <col min="7" max="7" style="11107" width="29.7109375" customWidth="1"/>
    <col min="8" max="8" style="11107" width="3.7109375" customWidth="1"/>
    <col min="9" max="9" style="11107" width="5.421875" customWidth="1"/>
    <col min="10" max="10" style="11107" width="24.57421875" customWidth="1"/>
    <col min="11" max="11" style="11107" width="24.421875" customWidth="1"/>
    <col min="12" max="12" style="11107" width="3.7109375" customWidth="1"/>
    <col min="13" max="13" style="11107" width="6.28125" customWidth="1"/>
    <col min="14" max="14" style="11107" width="25.8515625" customWidth="1"/>
    <col min="15" max="18" style="11107" width="18.7109375" customWidth="1"/>
    <col min="19" max="19" style="11107" width="93.421875" customWidth="1"/>
    <col min="20" max="20" style="11107" width="10.57421875" customWidth="1"/>
    <col min="21" max="21" style="12545" width="10.57421875" customWidth="1"/>
    <col min="22" max="22" style="12545" width="11.7109375" customWidth="1"/>
    <col min="23" max="23" style="12546" width="10.57421875" customWidth="1"/>
    <col min="24" max="27" style="11104" width="10.57421875" customWidth="1"/>
    <col min="28" max="83" style="11107"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3" t="str">
        <f>FHD20_NAME_FORM</f>
        <v>Форма 11. Информация о расходах на капитальный и текущий ремонт основных средств</v>
      </c>
      <c r="F5" s="2663"/>
      <c r="G5" s="2663"/>
      <c r="H5" s="2663"/>
      <c r="I5" s="2663"/>
      <c r="J5" s="2663"/>
      <c r="K5" s="2663"/>
      <c r="L5" s="915"/>
      <c r="M5" s="915"/>
    </row>
    <row s="10656" customFormat="1" customHeight="1" ht="16.5">
      <c r="A6" s="912"/>
      <c r="B6" s="1063"/>
      <c r="C6" s="811"/>
      <c r="D6" s="1383"/>
      <c r="E6" s="26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664"/>
      <c r="G6" s="2664"/>
      <c r="H6" s="2664"/>
      <c r="I6" s="2664"/>
      <c r="J6" s="2664"/>
      <c r="K6" s="2664"/>
      <c r="L6" s="915"/>
      <c r="M6" s="915"/>
      <c r="U6" s="913"/>
      <c r="V6" s="913"/>
      <c r="W6" s="914"/>
      <c r="X6" s="1063"/>
      <c r="Y6" s="1063"/>
      <c r="Z6" s="1063"/>
      <c r="AA6" s="1063"/>
    </row>
    <row customHeight="1" ht="11.25">
      <c r="C7" s="811"/>
      <c r="D7" s="811"/>
      <c r="E7" s="811"/>
      <c r="F7" s="811"/>
      <c r="G7" s="824"/>
      <c r="H7" s="824"/>
      <c r="I7" s="824"/>
      <c r="J7" s="824"/>
      <c r="K7" s="916"/>
      <c r="L7" s="916"/>
      <c r="M7" s="916"/>
      <c r="R7" s="1056"/>
    </row>
    <row s="11084"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1" t="s">
        <v>291</v>
      </c>
      <c r="F9" s="2202"/>
      <c r="G9" s="2202"/>
      <c r="H9" s="2202"/>
      <c r="I9" s="2202"/>
      <c r="J9" s="2202"/>
      <c r="K9" s="2202"/>
      <c r="L9" s="2202"/>
      <c r="M9" s="2202"/>
      <c r="N9" s="2202"/>
      <c r="O9" s="2202"/>
      <c r="P9" s="2202"/>
      <c r="Q9" s="2202"/>
      <c r="R9" s="2203"/>
      <c r="S9" s="2342" t="s">
        <v>292</v>
      </c>
      <c r="T9" s="620"/>
    </row>
    <row customHeight="1" ht="33.75">
      <c r="D10" s="853" t="s">
        <v>88</v>
      </c>
      <c r="E10" s="2342" t="s">
        <v>88</v>
      </c>
      <c r="F10" s="2342"/>
      <c r="G10" s="823" t="s">
        <v>293</v>
      </c>
      <c r="H10" s="2342" t="s">
        <v>88</v>
      </c>
      <c r="I10" s="2342"/>
      <c r="J10" s="823" t="s">
        <v>1767</v>
      </c>
      <c r="K10" s="823" t="s">
        <v>1768</v>
      </c>
      <c r="L10" s="2342" t="s">
        <v>88</v>
      </c>
      <c r="M10" s="2342"/>
      <c r="N10" s="823" t="s">
        <v>1769</v>
      </c>
      <c r="O10" s="823" t="s">
        <v>1770</v>
      </c>
      <c r="P10" s="823" t="s">
        <v>1771</v>
      </c>
      <c r="Q10" s="823" t="s">
        <v>1772</v>
      </c>
      <c r="R10" s="823" t="s">
        <v>1773</v>
      </c>
      <c r="S10" s="2342"/>
      <c r="T10" s="620"/>
    </row>
    <row s="11901" customFormat="1" customHeight="1" ht="15" hidden="1">
      <c r="A11" s="1376"/>
      <c r="D11" s="1348" t="s">
        <v>99</v>
      </c>
      <c r="E11" s="1348"/>
      <c r="F11" s="1348" t="s">
        <v>109</v>
      </c>
      <c r="G11" s="1348" t="s">
        <v>90</v>
      </c>
      <c r="H11" s="1348"/>
      <c r="I11" s="1348" t="s">
        <v>91</v>
      </c>
      <c r="J11" s="1348" t="s">
        <v>110</v>
      </c>
      <c r="K11" s="1348" t="s">
        <v>92</v>
      </c>
      <c r="L11" s="1348"/>
      <c r="M11" s="1348" t="s">
        <v>93</v>
      </c>
      <c r="N11" s="1348" t="s">
        <v>111</v>
      </c>
      <c r="O11" s="1348" t="s">
        <v>148</v>
      </c>
      <c r="P11" s="1348" t="s">
        <v>149</v>
      </c>
      <c r="Q11" s="1348" t="s">
        <v>150</v>
      </c>
      <c r="R11" s="1348" t="s">
        <v>151</v>
      </c>
      <c r="S11" s="1348" t="s">
        <v>152</v>
      </c>
      <c r="U11" s="913"/>
      <c r="V11" s="913"/>
      <c r="W11" s="913"/>
    </row>
    <row s="12198" customFormat="1" customHeight="1" ht="0.75">
      <c r="A12" s="917"/>
      <c r="B12" s="650"/>
      <c r="D12" s="850"/>
      <c r="E12" s="632"/>
      <c r="F12" s="632"/>
      <c r="Q12" s="918"/>
      <c r="R12" s="919"/>
      <c r="T12" s="920"/>
      <c r="U12" s="921"/>
      <c r="V12" s="921"/>
      <c r="W12" s="922"/>
      <c r="X12" s="650"/>
      <c r="Y12" s="650"/>
      <c r="Z12" s="650"/>
      <c r="AA12" s="650"/>
    </row>
    <row s="11084" customFormat="1" customHeight="1" ht="0.75">
      <c r="A13" s="923"/>
      <c r="B13" s="868"/>
      <c r="D13" s="850" t="s">
        <v>369</v>
      </c>
      <c r="E13" s="862"/>
      <c r="F13" s="862"/>
      <c r="G13" s="862"/>
      <c r="H13" s="862"/>
      <c r="I13" s="862"/>
      <c r="J13" s="862"/>
      <c r="K13" s="862"/>
      <c r="L13" s="862"/>
      <c r="M13" s="862"/>
      <c r="N13" s="862"/>
      <c r="O13" s="862"/>
      <c r="P13" s="862"/>
      <c r="Q13" s="862"/>
      <c r="R13" s="862"/>
      <c r="T13" s="620"/>
      <c r="U13" s="913"/>
      <c r="V13" s="913"/>
      <c r="W13" s="924"/>
      <c r="X13" s="868"/>
      <c r="Y13" s="868"/>
      <c r="Z13" s="868"/>
      <c r="AA13" s="868"/>
    </row>
    <row s="10950" customFormat="1" customHeight="1" ht="15" hidden="1">
      <c r="A14" s="925" t="s">
        <v>116</v>
      </c>
      <c r="B14" s="926"/>
      <c r="C14" s="926"/>
      <c r="D14" s="2659" t="s">
        <v>99</v>
      </c>
      <c r="E14" s="2439" t="s">
        <v>105</v>
      </c>
      <c r="F14" s="2440"/>
      <c r="G14" s="2441"/>
      <c r="H14" s="244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42"/>
      <c r="J14" s="2442"/>
      <c r="K14" s="2442"/>
      <c r="L14" s="2442"/>
      <c r="M14" s="2442"/>
      <c r="N14" s="2442"/>
      <c r="O14" s="2442"/>
      <c r="P14" s="2442"/>
      <c r="Q14" s="2442"/>
      <c r="R14" s="2442"/>
      <c r="S14" s="1021"/>
      <c r="T14" s="1018"/>
      <c r="U14" s="927"/>
      <c r="V14" s="927"/>
      <c r="W14" s="928"/>
      <c r="X14" s="928"/>
      <c r="Y14" s="928"/>
      <c r="Z14" s="928"/>
      <c r="AA14" s="929"/>
      <c r="AB14" s="930"/>
      <c r="AC14" s="2438"/>
      <c r="AD14" s="931"/>
      <c r="AE14" s="932" t="s">
        <v>17</v>
      </c>
      <c r="AF14" s="932"/>
      <c r="AG14" s="933" t="s">
        <v>1420</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0950" customFormat="1" customHeight="1" ht="15" hidden="1">
      <c r="A15" s="925"/>
      <c r="B15" s="926"/>
      <c r="C15" s="926"/>
      <c r="D15" s="2660"/>
      <c r="E15" s="2439" t="s">
        <v>1421</v>
      </c>
      <c r="F15" s="2440"/>
      <c r="G15" s="2441"/>
      <c r="H15" s="2442" t="str">
        <f>IF(A14="","",INDEX(DIFFERENTIATION_UNMERGE_AREA,MATCH(A14,DIFFERENTIATION_ID_DIFF,0)))</f>
        <v>Территория 1</v>
      </c>
      <c r="I15" s="2442"/>
      <c r="J15" s="2442"/>
      <c r="K15" s="2442"/>
      <c r="L15" s="2442"/>
      <c r="M15" s="2442"/>
      <c r="N15" s="2442"/>
      <c r="O15" s="2442"/>
      <c r="P15" s="2442"/>
      <c r="Q15" s="2442"/>
      <c r="R15" s="2442"/>
      <c r="S15" s="1021"/>
      <c r="T15" s="1018"/>
      <c r="U15" s="927"/>
      <c r="V15" s="927"/>
      <c r="W15" s="928"/>
      <c r="X15" s="928"/>
      <c r="Y15" s="928"/>
      <c r="Z15" s="928"/>
      <c r="AA15" s="929"/>
      <c r="AB15" s="930"/>
      <c r="AC15" s="2438"/>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0950" customFormat="1" customHeight="1" ht="15" hidden="1">
      <c r="A16" s="925"/>
      <c r="B16" s="926"/>
      <c r="C16" s="926"/>
      <c r="D16" s="2660"/>
      <c r="E16" s="2439" t="s">
        <v>1422</v>
      </c>
      <c r="F16" s="2440"/>
      <c r="G16" s="2441"/>
      <c r="H16" s="2442" t="str">
        <f>IF(A14="","",INDEX(DIFFERENTIATION_UNMERGE_SYSTEM,MATCH(A14,DIFFERENTIATION_ID_DIFF,0)))</f>
        <v>без дифференциации</v>
      </c>
      <c r="I16" s="2442"/>
      <c r="J16" s="2442"/>
      <c r="K16" s="2442"/>
      <c r="L16" s="2442"/>
      <c r="M16" s="2442"/>
      <c r="N16" s="2442"/>
      <c r="O16" s="2442"/>
      <c r="P16" s="2442"/>
      <c r="Q16" s="2442"/>
      <c r="R16" s="2442"/>
      <c r="S16" s="1021"/>
      <c r="T16" s="1018"/>
      <c r="U16" s="927"/>
      <c r="V16" s="927"/>
      <c r="W16" s="928"/>
      <c r="X16" s="928"/>
      <c r="Y16" s="928"/>
      <c r="Z16" s="928"/>
      <c r="AA16" s="929"/>
      <c r="AB16" s="930"/>
      <c r="AC16" s="2438"/>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0950" customFormat="1" customHeight="1" ht="22.5" hidden="1">
      <c r="A17" s="935"/>
      <c r="B17" s="718"/>
      <c r="C17" s="713"/>
      <c r="D17" s="2660"/>
      <c r="E17" s="2453" t="s">
        <v>1423</v>
      </c>
      <c r="F17" s="2453"/>
      <c r="G17" s="2453"/>
      <c r="H17" s="2453"/>
      <c r="I17" s="2453"/>
      <c r="J17" s="2453"/>
      <c r="K17" s="2453"/>
      <c r="L17" s="2453"/>
      <c r="M17" s="2453"/>
      <c r="N17" s="2453"/>
      <c r="O17" s="2453"/>
      <c r="P17" s="2453"/>
      <c r="Q17" s="860">
        <f>SUMIF(T18:T19,"i",Q18:Q19)</f>
        <v>0</v>
      </c>
      <c r="R17" s="1338"/>
      <c r="S17" s="1213" t="s">
        <v>1424</v>
      </c>
      <c r="T17" s="1019" t="s">
        <v>1425</v>
      </c>
      <c r="U17" s="2454">
        <v>1</v>
      </c>
      <c r="V17" s="2454" t="str">
        <f>INDEX(B_FHD_FLAG_INDEX_1,1,MATCH(A14,B_FHD_FLAG_DIFFERENTIATION,0))</f>
        <v>отсутствует</v>
      </c>
      <c r="W17" s="718"/>
      <c r="X17" s="718"/>
      <c r="Y17" s="718"/>
      <c r="Z17" s="718"/>
      <c r="AA17" s="813"/>
      <c r="AB17" s="718"/>
      <c r="AC17" s="2438"/>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0950" customFormat="1" customHeight="1" ht="11.25" hidden="1">
      <c r="A18" s="936"/>
      <c r="B18" s="813"/>
      <c r="C18" s="813"/>
      <c r="D18" s="2660"/>
      <c r="E18" s="937"/>
      <c r="F18" s="937">
        <v>0</v>
      </c>
      <c r="G18" s="937"/>
      <c r="H18" s="937"/>
      <c r="I18" s="937"/>
      <c r="J18" s="937"/>
      <c r="K18" s="937"/>
      <c r="L18" s="937"/>
      <c r="M18" s="937"/>
      <c r="N18" s="937"/>
      <c r="O18" s="937"/>
      <c r="P18" s="937"/>
      <c r="Q18" s="937"/>
      <c r="R18" s="937"/>
      <c r="S18" s="938"/>
      <c r="T18" s="1020"/>
      <c r="U18" s="2454"/>
      <c r="V18" s="2454"/>
      <c r="W18" s="813"/>
      <c r="X18" s="813"/>
      <c r="Y18" s="813"/>
      <c r="Z18" s="813"/>
      <c r="AA18" s="813"/>
      <c r="AB18" s="718"/>
      <c r="AC18" s="2438"/>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0950" customFormat="1" customHeight="1" ht="11.25" hidden="1">
      <c r="A19" s="935"/>
      <c r="B19" s="718"/>
      <c r="C19" s="713"/>
      <c r="D19" s="2660"/>
      <c r="E19" s="951" t="s">
        <v>17</v>
      </c>
      <c r="F19" s="952" t="s">
        <v>17</v>
      </c>
      <c r="G19" s="952" t="s">
        <v>17</v>
      </c>
      <c r="H19" s="953" t="s">
        <v>17</v>
      </c>
      <c r="I19" s="953"/>
      <c r="J19" s="953"/>
      <c r="K19" s="953"/>
      <c r="L19" s="953"/>
      <c r="M19" s="953"/>
      <c r="N19" s="953"/>
      <c r="O19" s="953"/>
      <c r="P19" s="953"/>
      <c r="Q19" s="953"/>
      <c r="R19" s="954"/>
      <c r="S19" s="1341"/>
      <c r="T19" s="1020"/>
      <c r="U19" s="2454"/>
      <c r="V19" s="2454"/>
      <c r="W19" s="718"/>
      <c r="X19" s="718"/>
      <c r="Y19" s="718"/>
      <c r="Z19" s="718"/>
      <c r="AA19" s="813"/>
      <c r="AB19" s="718"/>
      <c r="AC19" s="2438"/>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0950" customFormat="1" customHeight="1" ht="22.5" hidden="1">
      <c r="A20" s="935"/>
      <c r="B20" s="718"/>
      <c r="C20" s="713"/>
      <c r="D20" s="2660"/>
      <c r="E20" s="2453" t="s">
        <v>1428</v>
      </c>
      <c r="F20" s="2453"/>
      <c r="G20" s="2453"/>
      <c r="H20" s="2453"/>
      <c r="I20" s="2453"/>
      <c r="J20" s="2453"/>
      <c r="K20" s="2453"/>
      <c r="L20" s="2453"/>
      <c r="M20" s="2453"/>
      <c r="N20" s="2453"/>
      <c r="O20" s="2453"/>
      <c r="P20" s="2453"/>
      <c r="Q20" s="860">
        <f>SUMIF(T21:T22,"i",Q21:Q22)</f>
        <v>0</v>
      </c>
      <c r="R20" s="1338"/>
      <c r="S20" s="1011" t="s">
        <v>1429</v>
      </c>
      <c r="T20" s="1019" t="s">
        <v>1425</v>
      </c>
      <c r="U20" s="2454">
        <v>2</v>
      </c>
      <c r="V20" s="2454"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0950" customFormat="1" customHeight="1" ht="11.25" hidden="1">
      <c r="A21" s="1010"/>
      <c r="B21" s="813"/>
      <c r="C21" s="813"/>
      <c r="D21" s="2660"/>
      <c r="E21" s="937"/>
      <c r="F21" s="937">
        <v>0</v>
      </c>
      <c r="G21" s="937"/>
      <c r="H21" s="937"/>
      <c r="I21" s="937"/>
      <c r="J21" s="937"/>
      <c r="K21" s="937"/>
      <c r="L21" s="937"/>
      <c r="M21" s="937"/>
      <c r="N21" s="937"/>
      <c r="O21" s="937"/>
      <c r="P21" s="937"/>
      <c r="Q21" s="937"/>
      <c r="R21" s="937"/>
      <c r="S21" s="938"/>
      <c r="T21" s="1020"/>
      <c r="U21" s="2454"/>
      <c r="V21" s="2454"/>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0950" customFormat="1" customHeight="1" ht="11.25" hidden="1">
      <c r="A22" s="935"/>
      <c r="B22" s="718"/>
      <c r="C22" s="713"/>
      <c r="D22" s="2661"/>
      <c r="E22" s="951" t="s">
        <v>17</v>
      </c>
      <c r="F22" s="952" t="s">
        <v>17</v>
      </c>
      <c r="G22" s="952" t="s">
        <v>17</v>
      </c>
      <c r="H22" s="953" t="s">
        <v>17</v>
      </c>
      <c r="I22" s="953"/>
      <c r="J22" s="953"/>
      <c r="K22" s="953"/>
      <c r="L22" s="953"/>
      <c r="M22" s="953"/>
      <c r="N22" s="953"/>
      <c r="O22" s="953"/>
      <c r="P22" s="953"/>
      <c r="Q22" s="953"/>
      <c r="R22" s="954"/>
      <c r="S22" s="1341"/>
      <c r="T22" s="1020"/>
      <c r="U22" s="2454"/>
      <c r="V22" s="2454"/>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2"/>
      <c r="F27" s="2662"/>
      <c r="G27" s="2662"/>
      <c r="H27" s="2662"/>
      <c r="I27" s="2662"/>
      <c r="J27" s="2662"/>
      <c r="K27" s="2662"/>
      <c r="L27" s="2662"/>
      <c r="M27" s="2662"/>
      <c r="N27" s="2662"/>
      <c r="O27" s="2662"/>
      <c r="P27" s="2662"/>
      <c r="Q27" s="2662"/>
      <c r="R27" s="2662"/>
    </row>
    <row customHeight="1" ht="11.25">
      <c r="F28" s="1062"/>
      <c r="G28" s="106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D7AE7-F0DA-E147-5898-8FB72F4EAD3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6.14062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s="11832" customFormat="1" customHeight="1" ht="11.25" hidden="1">
      <c r="A1" s="1308"/>
      <c r="C1" s="2014"/>
      <c r="D1" s="839"/>
      <c r="H1" s="1486">
        <v>4</v>
      </c>
      <c r="I1" s="1486">
        <v>4</v>
      </c>
      <c r="L1" s="2014"/>
      <c r="M1" s="2014"/>
      <c r="R1" s="2014"/>
    </row>
    <row s="11832" customFormat="1" customHeight="1" ht="22.5" hidden="1">
      <c r="A2" s="1308"/>
      <c r="C2" s="2014"/>
      <c r="D2" s="840"/>
      <c r="E2" s="2015"/>
      <c r="F2" s="842"/>
      <c r="G2" s="2017" t="s">
        <v>1719</v>
      </c>
      <c r="H2" s="843"/>
      <c r="I2" s="843"/>
      <c r="J2" s="844" t="s">
        <v>1774</v>
      </c>
      <c r="K2" s="845"/>
      <c r="L2" s="2014"/>
      <c r="M2" s="2014"/>
      <c r="R2" s="2014"/>
      <c r="U2" s="846"/>
      <c r="AA2" s="2010"/>
      <c r="AB2" s="2010"/>
      <c r="AC2" s="2010"/>
      <c r="AD2" s="2010"/>
      <c r="AE2" s="2010"/>
    </row>
    <row customHeight="1" ht="11.25" hidden="1"/>
    <row s="1239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1775</v>
      </c>
      <c r="F6" s="2467"/>
      <c r="G6" s="2467"/>
      <c r="H6" s="2467"/>
      <c r="I6" s="2468"/>
      <c r="J6" s="858"/>
    </row>
    <row customHeight="1" ht="24">
      <c r="E7"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0"/>
      <c r="G7" s="2470"/>
      <c r="H7" s="2470"/>
      <c r="I7" s="2471"/>
    </row>
    <row customHeight="1" ht="11.25">
      <c r="E8" s="1461"/>
      <c r="F8" s="1461"/>
      <c r="G8" s="1461"/>
      <c r="H8" s="1461"/>
      <c r="I8" s="1461"/>
    </row>
    <row s="12378" customFormat="1" customHeight="1" ht="0.75">
      <c r="A9" s="1493"/>
      <c r="D9" s="2020"/>
      <c r="H9" s="1203"/>
      <c r="I9" s="1203" t="s">
        <v>116</v>
      </c>
    </row>
    <row customHeight="1" ht="11.25">
      <c r="E10" s="1013"/>
      <c r="F10" s="2610" t="s">
        <v>105</v>
      </c>
      <c r="G10" s="2611"/>
      <c r="H10" s="1928" t="str">
        <f>IF(H9="","",INDEX(DIFFERENTIATION_UNMERGE_VD,MATCH(H9,DIFFERENTIATION_ID_DIFF,0)))</f>
        <v/>
      </c>
      <c r="I10" s="192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42"/>
    </row>
    <row customHeight="1" ht="11.25">
      <c r="E11" s="1013"/>
      <c r="F11" s="2610" t="s">
        <v>1421</v>
      </c>
      <c r="G11" s="2611"/>
      <c r="H11" s="1928" t="str">
        <f>IF(H9="","",INDEX(DIFFERENTIATION_UNMERGE_AREA,MATCH(H9,DIFFERENTIATION_ID_DIFF,0)))</f>
        <v/>
      </c>
      <c r="I11" s="1928" t="str">
        <f>IF(I9="","",INDEX(DIFFERENTIATION_UNMERGE_AREA,MATCH(I9,DIFFERENTIATION_ID_DIFF,0)))</f>
        <v>Территория 1</v>
      </c>
      <c r="J11" s="2342"/>
    </row>
    <row customHeight="1" ht="11.25" hidden="1">
      <c r="E12" s="2040"/>
      <c r="F12" s="2665" t="s">
        <v>1422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291</v>
      </c>
      <c r="F13" s="2613"/>
      <c r="G13" s="2613"/>
      <c r="H13" s="1927"/>
      <c r="I13" s="1927"/>
      <c r="J13" s="2342"/>
    </row>
    <row customHeight="1" ht="22.5">
      <c r="E14" s="2017" t="s">
        <v>88</v>
      </c>
      <c r="F14" s="2012" t="s">
        <v>293</v>
      </c>
      <c r="G14" s="2012" t="s">
        <v>1600</v>
      </c>
      <c r="H14" s="2012" t="s">
        <v>294</v>
      </c>
      <c r="I14" s="2012" t="s">
        <v>294</v>
      </c>
      <c r="J14" s="2342"/>
    </row>
    <row customHeight="1" ht="18.75">
      <c r="D15" s="2016"/>
      <c r="E15" s="2008" t="s">
        <v>99</v>
      </c>
      <c r="F15" s="1009" t="s">
        <v>1776</v>
      </c>
      <c r="G15" s="2024" t="s">
        <v>1719</v>
      </c>
      <c r="H15" s="859"/>
      <c r="I15" s="859"/>
      <c r="J15" s="564" t="s">
        <v>1777</v>
      </c>
      <c r="K15" s="845" t="s">
        <v>1778</v>
      </c>
    </row>
    <row customHeight="1" ht="33.75">
      <c r="D16" s="2016"/>
      <c r="E16" s="2008" t="s">
        <v>109</v>
      </c>
      <c r="F16" s="1009" t="s">
        <v>1779</v>
      </c>
      <c r="G16" s="2024" t="s">
        <v>1719</v>
      </c>
      <c r="H16" s="860">
        <f>SUM(H17,H20:H32)</f>
        <v>0</v>
      </c>
      <c r="I16" s="860">
        <f>SUM(I17,I20:I32)</f>
        <v>0</v>
      </c>
      <c r="J16" s="564" t="s">
        <v>1780</v>
      </c>
      <c r="K16" s="845" t="s">
        <v>1778</v>
      </c>
    </row>
    <row customHeight="1" ht="18.75">
      <c r="D17" s="2016"/>
      <c r="E17" s="2042" t="s">
        <v>504</v>
      </c>
      <c r="F17" s="1275" t="s">
        <v>1781</v>
      </c>
      <c r="G17" s="2021" t="s">
        <v>1719</v>
      </c>
      <c r="H17" s="859"/>
      <c r="I17" s="859"/>
      <c r="J17" s="564" t="s">
        <v>1782</v>
      </c>
      <c r="K17" s="845"/>
    </row>
    <row customHeight="1" ht="22.5">
      <c r="D18" s="2016"/>
      <c r="E18" s="2042" t="s">
        <v>1458</v>
      </c>
      <c r="F18" s="2028" t="s">
        <v>1783</v>
      </c>
      <c r="G18" s="2021" t="s">
        <v>1719</v>
      </c>
      <c r="H18" s="859"/>
      <c r="I18" s="859"/>
      <c r="J18" s="564" t="s">
        <v>1784</v>
      </c>
      <c r="K18" s="845"/>
    </row>
    <row customHeight="1" ht="33.75">
      <c r="D19" s="2016"/>
      <c r="E19" s="2042" t="s">
        <v>1785</v>
      </c>
      <c r="F19" s="2028" t="s">
        <v>1786</v>
      </c>
      <c r="G19" s="2021" t="s">
        <v>1719</v>
      </c>
      <c r="H19" s="859"/>
      <c r="I19" s="859"/>
      <c r="J19" s="564"/>
      <c r="K19" s="845"/>
    </row>
    <row customHeight="1" ht="18.75">
      <c r="D20" s="2016"/>
      <c r="E20" s="2042" t="s">
        <v>298</v>
      </c>
      <c r="F20" s="1275" t="s">
        <v>1787</v>
      </c>
      <c r="G20" s="2021" t="s">
        <v>1719</v>
      </c>
      <c r="H20" s="859"/>
      <c r="I20" s="859"/>
      <c r="J20" s="564" t="s">
        <v>1788</v>
      </c>
      <c r="K20" s="845"/>
    </row>
    <row customHeight="1" ht="18.75">
      <c r="D21" s="2016"/>
      <c r="E21" s="2042" t="s">
        <v>519</v>
      </c>
      <c r="F21" s="2028" t="s">
        <v>1789</v>
      </c>
      <c r="G21" s="2021" t="s">
        <v>1719</v>
      </c>
      <c r="H21" s="859"/>
      <c r="I21" s="859"/>
      <c r="J21" s="564"/>
      <c r="K21" s="845"/>
    </row>
    <row customHeight="1" ht="18.75">
      <c r="D22" s="2016"/>
      <c r="E22" s="2042" t="s">
        <v>524</v>
      </c>
      <c r="F22" s="2028" t="s">
        <v>1790</v>
      </c>
      <c r="G22" s="2021" t="s">
        <v>1719</v>
      </c>
      <c r="H22" s="859"/>
      <c r="I22" s="859"/>
      <c r="J22" s="564"/>
      <c r="K22" s="845"/>
    </row>
    <row customHeight="1" ht="22.5">
      <c r="D23" s="2016"/>
      <c r="E23" s="2042" t="s">
        <v>301</v>
      </c>
      <c r="F23" s="1275" t="s">
        <v>1791</v>
      </c>
      <c r="G23" s="2021" t="s">
        <v>1719</v>
      </c>
      <c r="H23" s="859"/>
      <c r="I23" s="859"/>
      <c r="J23" s="564" t="s">
        <v>1792</v>
      </c>
      <c r="K23" s="845"/>
    </row>
    <row customHeight="1" ht="18.75">
      <c r="D24" s="2016"/>
      <c r="E24" s="2042" t="s">
        <v>518</v>
      </c>
      <c r="F24" s="2028" t="s">
        <v>1793</v>
      </c>
      <c r="G24" s="2021" t="s">
        <v>1719</v>
      </c>
      <c r="H24" s="859"/>
      <c r="I24" s="859"/>
      <c r="J24" s="564"/>
      <c r="K24" s="845"/>
    </row>
    <row customHeight="1" ht="33.75">
      <c r="D25" s="2016"/>
      <c r="E25" s="2042" t="s">
        <v>523</v>
      </c>
      <c r="F25" s="2028" t="s">
        <v>1794</v>
      </c>
      <c r="G25" s="2021" t="s">
        <v>1719</v>
      </c>
      <c r="H25" s="859"/>
      <c r="I25" s="859"/>
      <c r="J25" s="564"/>
      <c r="K25" s="845"/>
    </row>
    <row customHeight="1" ht="22.5">
      <c r="D26" s="2016"/>
      <c r="E26" s="2042" t="s">
        <v>513</v>
      </c>
      <c r="F26" s="1275" t="s">
        <v>1795</v>
      </c>
      <c r="G26" s="2021" t="s">
        <v>1719</v>
      </c>
      <c r="H26" s="859"/>
      <c r="I26" s="859"/>
      <c r="J26" s="564" t="s">
        <v>1796</v>
      </c>
      <c r="K26" s="845"/>
    </row>
    <row customHeight="1" ht="18.75">
      <c r="D27" s="2016"/>
      <c r="E27" s="2053" t="s">
        <v>534</v>
      </c>
      <c r="F27" s="2028" t="s">
        <v>1797</v>
      </c>
      <c r="G27" s="2032" t="s">
        <v>1719</v>
      </c>
      <c r="H27" s="2054"/>
      <c r="I27" s="2054"/>
      <c r="J27" s="564"/>
      <c r="K27" s="845"/>
    </row>
    <row customHeight="1" ht="18.75">
      <c r="D28" s="2016"/>
      <c r="E28" s="2053" t="s">
        <v>538</v>
      </c>
      <c r="F28" s="2028" t="s">
        <v>1798</v>
      </c>
      <c r="G28" s="2032" t="s">
        <v>1719</v>
      </c>
      <c r="H28" s="2054"/>
      <c r="I28" s="2054"/>
      <c r="J28" s="564"/>
      <c r="K28" s="845"/>
    </row>
    <row customHeight="1" ht="18.75">
      <c r="D29" s="2016"/>
      <c r="E29" s="2053" t="s">
        <v>515</v>
      </c>
      <c r="F29" s="1275" t="s">
        <v>1799</v>
      </c>
      <c r="G29" s="2032" t="s">
        <v>1719</v>
      </c>
      <c r="H29" s="2054"/>
      <c r="I29" s="2054"/>
      <c r="J29" s="564"/>
      <c r="K29" s="845"/>
    </row>
    <row customHeight="1" ht="18.75">
      <c r="D30" s="2016"/>
      <c r="E30" s="2053" t="s">
        <v>529</v>
      </c>
      <c r="F30" s="1275" t="s">
        <v>1800</v>
      </c>
      <c r="G30" s="2032" t="s">
        <v>1719</v>
      </c>
      <c r="H30" s="2054"/>
      <c r="I30" s="2054"/>
      <c r="J30" s="564"/>
      <c r="K30" s="845"/>
    </row>
    <row customHeight="1" ht="18.75">
      <c r="D31" s="2016"/>
      <c r="E31" s="2053" t="s">
        <v>540</v>
      </c>
      <c r="F31" s="1275" t="s">
        <v>1801</v>
      </c>
      <c r="G31" s="2032" t="s">
        <v>1719</v>
      </c>
      <c r="H31" s="2054"/>
      <c r="I31" s="2054"/>
      <c r="J31" s="564"/>
      <c r="K31" s="845"/>
    </row>
    <row s="11832" customFormat="1" customHeight="1" ht="22.5">
      <c r="A32" s="1308"/>
      <c r="C32" s="2014"/>
      <c r="D32" s="2016"/>
      <c r="E32" s="2053" t="s">
        <v>551</v>
      </c>
      <c r="F32" s="1275" t="s">
        <v>1802</v>
      </c>
      <c r="G32" s="2022" t="s">
        <v>1719</v>
      </c>
      <c r="H32" s="881">
        <f>SUM(H33:H34)</f>
        <v>0</v>
      </c>
      <c r="I32" s="881">
        <f>SUM(I33:I34)</f>
        <v>0</v>
      </c>
      <c r="J32" s="564" t="s">
        <v>1803</v>
      </c>
      <c r="K32" s="845"/>
      <c r="L32" s="2014"/>
      <c r="M32" s="2014"/>
      <c r="R32" s="2014"/>
      <c r="U32" s="846"/>
      <c r="AA32" s="2010"/>
      <c r="AB32" s="2010"/>
      <c r="AC32" s="2010"/>
      <c r="AD32" s="2010"/>
      <c r="AE32" s="2010"/>
    </row>
    <row s="12378" customFormat="1" customHeight="1" ht="0.75">
      <c r="A33" s="1493"/>
      <c r="D33" s="850"/>
      <c r="E33" s="1107" t="str">
        <f>E32&amp;".0"</f>
        <v>2.8.0</v>
      </c>
      <c r="F33" s="1312"/>
      <c r="G33" s="853"/>
      <c r="H33" s="1313"/>
      <c r="I33" s="1313"/>
      <c r="J33" s="1314"/>
    </row>
    <row s="11832" customFormat="1" customHeight="1" ht="18.75">
      <c r="A34" s="1308"/>
      <c r="C34" s="2014"/>
      <c r="D34" s="2011"/>
      <c r="E34" s="872"/>
      <c r="F34" s="2044" t="s">
        <v>1744</v>
      </c>
      <c r="G34" s="874"/>
      <c r="H34" s="875"/>
      <c r="I34" s="875"/>
      <c r="J34" s="576" t="s">
        <v>1804</v>
      </c>
      <c r="K34" s="845"/>
      <c r="L34" s="2014"/>
      <c r="M34" s="2014"/>
      <c r="R34" s="2014"/>
      <c r="U34" s="846"/>
      <c r="AA34" s="2010"/>
      <c r="AB34" s="2010"/>
      <c r="AC34" s="2010"/>
      <c r="AD34" s="2010"/>
      <c r="AE34" s="2010"/>
    </row>
    <row customHeight="1" ht="56.25">
      <c r="D35" s="2016"/>
      <c r="E35" s="2053" t="s">
        <v>559</v>
      </c>
      <c r="F35" s="1275" t="s">
        <v>1805</v>
      </c>
      <c r="G35" s="2032" t="s">
        <v>1719</v>
      </c>
      <c r="H35" s="2054"/>
      <c r="I35" s="2054"/>
      <c r="J35" s="564" t="s">
        <v>1806</v>
      </c>
      <c r="K35" s="845"/>
    </row>
    <row s="11832" customFormat="1" customHeight="1" ht="22.5">
      <c r="A36" s="1310" t="s">
        <v>1745</v>
      </c>
      <c r="C36" s="2014"/>
      <c r="D36" s="2016"/>
      <c r="E36" s="2042" t="s">
        <v>90</v>
      </c>
      <c r="F36" s="1009" t="s">
        <v>1807</v>
      </c>
      <c r="G36" s="2021" t="s">
        <v>1719</v>
      </c>
      <c r="H36" s="859"/>
      <c r="I36" s="859"/>
      <c r="J36" s="564" t="s">
        <v>611</v>
      </c>
      <c r="K36" s="845"/>
      <c r="L36" s="2014"/>
      <c r="M36" s="2014"/>
      <c r="R36" s="2014"/>
      <c r="U36" s="846"/>
      <c r="AA36" s="2010"/>
      <c r="AB36" s="2010"/>
      <c r="AC36" s="2010"/>
      <c r="AD36" s="2010"/>
      <c r="AE36" s="2010"/>
    </row>
    <row s="11832" customFormat="1" customHeight="1" ht="22.5">
      <c r="A37" s="1310"/>
      <c r="C37" s="2014"/>
      <c r="D37" s="2016"/>
      <c r="E37" s="2042" t="s">
        <v>317</v>
      </c>
      <c r="F37" s="1275" t="s">
        <v>1808</v>
      </c>
      <c r="G37" s="2032"/>
      <c r="H37" s="859"/>
      <c r="I37" s="859"/>
      <c r="J37" s="564"/>
      <c r="K37" s="845"/>
      <c r="L37" s="2014"/>
      <c r="M37" s="2014"/>
      <c r="R37" s="2014"/>
      <c r="U37" s="846"/>
      <c r="AA37" s="2010"/>
      <c r="AB37" s="2010"/>
      <c r="AC37" s="2010"/>
      <c r="AD37" s="2010"/>
      <c r="AE37" s="2010"/>
    </row>
    <row s="11832" customFormat="1" customHeight="1" ht="18.75">
      <c r="A38" s="1308"/>
      <c r="C38" s="2014"/>
      <c r="D38" s="877"/>
      <c r="E38" s="2042" t="s">
        <v>91</v>
      </c>
      <c r="F38" s="1009" t="s">
        <v>614</v>
      </c>
      <c r="G38" s="2021" t="s">
        <v>1719</v>
      </c>
      <c r="H38" s="859"/>
      <c r="I38" s="859"/>
      <c r="J38" s="564" t="s">
        <v>615</v>
      </c>
      <c r="K38" s="845"/>
      <c r="L38" s="2014"/>
      <c r="M38" s="2014"/>
      <c r="R38" s="2014"/>
      <c r="U38" s="846"/>
      <c r="AA38" s="2010"/>
      <c r="AB38" s="2010"/>
      <c r="AC38" s="2010"/>
      <c r="AD38" s="2010"/>
      <c r="AE38" s="2010"/>
    </row>
    <row s="11832" customFormat="1" customHeight="1" ht="22.5">
      <c r="A39" s="1308"/>
      <c r="C39" s="2014"/>
      <c r="D39" s="877"/>
      <c r="E39" s="2042" t="s">
        <v>612</v>
      </c>
      <c r="F39" s="1275" t="s">
        <v>1809</v>
      </c>
      <c r="G39" s="2032" t="s">
        <v>1719</v>
      </c>
      <c r="H39" s="859"/>
      <c r="I39" s="859"/>
      <c r="J39" s="564" t="s">
        <v>1810</v>
      </c>
      <c r="K39" s="845"/>
      <c r="L39" s="2014"/>
      <c r="M39" s="2014"/>
      <c r="R39" s="2014"/>
      <c r="U39" s="846"/>
      <c r="AA39" s="2010"/>
      <c r="AB39" s="2010"/>
      <c r="AC39" s="2010"/>
      <c r="AD39" s="2010"/>
      <c r="AE39" s="2010"/>
    </row>
    <row s="11832" customFormat="1" customHeight="1" ht="22.5">
      <c r="A40" s="1308"/>
      <c r="C40" s="2014"/>
      <c r="D40" s="2016"/>
      <c r="E40" s="2042" t="s">
        <v>621</v>
      </c>
      <c r="F40" s="2028" t="s">
        <v>1811</v>
      </c>
      <c r="G40" s="2021" t="s">
        <v>1719</v>
      </c>
      <c r="H40" s="859"/>
      <c r="I40" s="859"/>
      <c r="J40" s="564" t="s">
        <v>624</v>
      </c>
      <c r="K40" s="845"/>
      <c r="L40" s="2014"/>
      <c r="M40" s="2014"/>
      <c r="R40" s="2014"/>
      <c r="U40" s="846"/>
      <c r="AA40" s="2010"/>
      <c r="AB40" s="2010"/>
      <c r="AC40" s="2010"/>
      <c r="AD40" s="2010"/>
      <c r="AE40" s="2010"/>
    </row>
    <row s="11832" customFormat="1" customHeight="1" ht="22.5">
      <c r="A41" s="1308"/>
      <c r="C41" s="2014"/>
      <c r="D41" s="2016"/>
      <c r="E41" s="2042" t="s">
        <v>627</v>
      </c>
      <c r="F41" s="2028" t="s">
        <v>1812</v>
      </c>
      <c r="G41" s="2021" t="s">
        <v>1719</v>
      </c>
      <c r="H41" s="859"/>
      <c r="I41" s="859"/>
      <c r="J41" s="564" t="s">
        <v>630</v>
      </c>
      <c r="K41" s="845"/>
      <c r="L41" s="2014"/>
      <c r="M41" s="2014"/>
      <c r="R41" s="2014"/>
      <c r="U41" s="846"/>
      <c r="AA41" s="2010"/>
      <c r="AB41" s="2010"/>
      <c r="AC41" s="2010"/>
      <c r="AD41" s="2010"/>
      <c r="AE41" s="2010"/>
    </row>
    <row s="11832" customFormat="1" customHeight="1" ht="22.5">
      <c r="A42" s="1308"/>
      <c r="C42" s="2014"/>
      <c r="D42" s="2016"/>
      <c r="E42" s="2042" t="s">
        <v>1813</v>
      </c>
      <c r="F42" s="2028" t="s">
        <v>1814</v>
      </c>
      <c r="G42" s="2021" t="s">
        <v>1719</v>
      </c>
      <c r="H42" s="859"/>
      <c r="I42" s="859"/>
      <c r="J42" s="564" t="s">
        <v>1815</v>
      </c>
      <c r="K42" s="845"/>
      <c r="L42" s="2014"/>
      <c r="M42" s="2014"/>
      <c r="R42" s="2014"/>
      <c r="U42" s="846"/>
      <c r="AA42" s="2010"/>
      <c r="AB42" s="2010"/>
      <c r="AC42" s="2010"/>
      <c r="AD42" s="2010"/>
      <c r="AE42" s="2010"/>
    </row>
    <row s="11832" customFormat="1" customHeight="1" ht="33.75">
      <c r="A43" s="1308"/>
      <c r="C43" s="2014" t="s">
        <v>1753</v>
      </c>
      <c r="D43" s="2016"/>
      <c r="E43" s="2042" t="s">
        <v>110</v>
      </c>
      <c r="F43" s="1009" t="s">
        <v>637</v>
      </c>
      <c r="G43" s="2024" t="s">
        <v>1816</v>
      </c>
      <c r="H43" s="701"/>
      <c r="I43" s="701"/>
      <c r="J43" s="564" t="s">
        <v>1817</v>
      </c>
      <c r="K43" s="845"/>
      <c r="L43" s="2014"/>
      <c r="M43" s="2014"/>
      <c r="R43" s="2014"/>
      <c r="U43" s="846"/>
      <c r="AA43" s="2010"/>
      <c r="AB43" s="2010"/>
      <c r="AC43" s="2010"/>
      <c r="AD43" s="2010"/>
      <c r="AE43" s="2010"/>
    </row>
    <row s="11832" customFormat="1" customHeight="1" ht="22.5">
      <c r="A44" s="1308"/>
      <c r="C44" s="2014"/>
      <c r="D44" s="2016"/>
      <c r="E44" s="2042" t="s">
        <v>92</v>
      </c>
      <c r="F44" s="1009" t="s">
        <v>1818</v>
      </c>
      <c r="G44" s="2021" t="s">
        <v>1819</v>
      </c>
      <c r="H44" s="847"/>
      <c r="I44" s="847"/>
      <c r="J44" s="564" t="s">
        <v>1820</v>
      </c>
      <c r="K44" s="845"/>
      <c r="L44" s="2014"/>
      <c r="M44" s="2014"/>
      <c r="R44" s="2014"/>
      <c r="U44" s="846"/>
      <c r="AA44" s="2010"/>
      <c r="AB44" s="2010"/>
      <c r="AC44" s="2010"/>
      <c r="AD44" s="2010"/>
      <c r="AE44" s="2010"/>
    </row>
    <row s="11832" customFormat="1" customHeight="1" ht="22.5">
      <c r="A45" s="1308"/>
      <c r="C45" s="2014"/>
      <c r="D45" s="2016"/>
      <c r="E45" s="2042" t="s">
        <v>93</v>
      </c>
      <c r="F45" s="1009" t="s">
        <v>1821</v>
      </c>
      <c r="G45" s="2032" t="s">
        <v>1822</v>
      </c>
      <c r="H45" s="847"/>
      <c r="I45" s="847"/>
      <c r="J45" s="564" t="s">
        <v>1823</v>
      </c>
      <c r="K45" s="845"/>
      <c r="L45" s="2014"/>
      <c r="M45" s="2014"/>
      <c r="R45" s="2014"/>
      <c r="U45" s="846"/>
      <c r="AA45" s="2010"/>
      <c r="AB45" s="2010"/>
      <c r="AC45" s="2010"/>
      <c r="AD45" s="2010"/>
      <c r="AE45" s="2010"/>
    </row>
    <row s="11832" customFormat="1" customHeight="1" ht="18.75">
      <c r="A46" s="1308"/>
      <c r="C46" s="2014"/>
      <c r="D46" s="2016"/>
      <c r="E46" s="2042" t="s">
        <v>111</v>
      </c>
      <c r="F46" s="1009" t="s">
        <v>1824</v>
      </c>
      <c r="G46" s="2021" t="s">
        <v>1755</v>
      </c>
      <c r="H46" s="879"/>
      <c r="I46" s="879"/>
      <c r="J46" s="564"/>
      <c r="K46" s="845"/>
      <c r="L46" s="2014"/>
      <c r="M46" s="2014"/>
      <c r="R46" s="2014"/>
      <c r="U46" s="846"/>
      <c r="AA46" s="2010"/>
      <c r="AB46" s="2010"/>
      <c r="AC46" s="2010"/>
      <c r="AD46" s="2010"/>
      <c r="AE46" s="2010"/>
    </row>
    <row customHeight="1" ht="11.25">
      <c r="D47" s="2016"/>
    </row>
    <row customHeight="1" ht="26.25">
      <c r="D48" s="2016"/>
      <c r="E48" s="1598"/>
      <c r="F48" s="2517"/>
      <c r="G48" s="2517"/>
      <c r="H48" s="2517"/>
      <c r="I48" s="2517"/>
      <c r="J48" s="2517"/>
    </row>
    <row s="12407" customFormat="1" customHeight="1" ht="37.5">
      <c r="A49" s="1308"/>
      <c r="B49" s="2014"/>
      <c r="C49" s="2014"/>
      <c r="D49" s="637"/>
      <c r="F49" s="2517"/>
      <c r="G49" s="2517"/>
      <c r="H49" s="2517"/>
      <c r="I49" s="2517"/>
      <c r="J49" s="251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40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40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407"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40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40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40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40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40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40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40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40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40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40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40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40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40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40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40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40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40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40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40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40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40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40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40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40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40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40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40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40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40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40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40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40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40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40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40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40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40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40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40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40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40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40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40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40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40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40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40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40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40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40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40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40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40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40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40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40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40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40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40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40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40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40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40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40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40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40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40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40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40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40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40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40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40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40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40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40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40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40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40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40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40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40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40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40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40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40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40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40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40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40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40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40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40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40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40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40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40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40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40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40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40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40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40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40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40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9B9E4-0E17-4753-A54C-93C0CBDEDBF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4.5742187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s="11832" customFormat="1" customHeight="1" ht="11.25" hidden="1">
      <c r="A1" s="1308"/>
      <c r="C1" s="2014"/>
      <c r="D1" s="839"/>
      <c r="H1" s="1486">
        <v>4</v>
      </c>
      <c r="I1" s="1486">
        <v>4</v>
      </c>
      <c r="L1" s="2014"/>
      <c r="M1" s="2014"/>
      <c r="R1" s="2014"/>
    </row>
    <row s="11832" customFormat="1" customHeight="1" ht="22.5" hidden="1">
      <c r="A2" s="1308"/>
      <c r="C2" s="2014"/>
      <c r="D2" s="840"/>
      <c r="E2" s="2036"/>
      <c r="F2" s="842"/>
      <c r="G2" s="2035" t="s">
        <v>1719</v>
      </c>
      <c r="H2" s="843"/>
      <c r="I2" s="843"/>
      <c r="J2" s="844" t="s">
        <v>1722</v>
      </c>
      <c r="K2" s="845"/>
      <c r="L2" s="2014"/>
      <c r="M2" s="2014"/>
      <c r="R2" s="2014"/>
      <c r="U2" s="846"/>
      <c r="AA2" s="2010"/>
      <c r="AB2" s="2010"/>
      <c r="AC2" s="2010"/>
      <c r="AD2" s="2010"/>
      <c r="AE2" s="2010"/>
    </row>
    <row customHeight="1" ht="11.25" hidden="1"/>
    <row s="1239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1825</v>
      </c>
      <c r="F6" s="2467"/>
      <c r="G6" s="2467"/>
      <c r="H6" s="2467"/>
      <c r="I6" s="2468"/>
      <c r="J6" s="858"/>
    </row>
    <row customHeight="1" ht="24">
      <c r="E7"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0"/>
      <c r="G7" s="2470"/>
      <c r="H7" s="2470"/>
      <c r="I7" s="2471"/>
    </row>
    <row customHeight="1" ht="11.25">
      <c r="E8" s="1461"/>
      <c r="F8" s="1461"/>
      <c r="G8" s="1461"/>
      <c r="H8" s="1461"/>
      <c r="I8" s="1461"/>
    </row>
    <row s="12378" customFormat="1" customHeight="1" ht="0.75">
      <c r="A9" s="1493"/>
      <c r="D9" s="2020"/>
      <c r="H9" s="1203"/>
      <c r="I9" s="1203" t="s">
        <v>116</v>
      </c>
    </row>
    <row customHeight="1" ht="11.25">
      <c r="E10" s="1013"/>
      <c r="F10" s="2610" t="s">
        <v>105</v>
      </c>
      <c r="G10" s="2611"/>
      <c r="H10" s="2037" t="str">
        <f>IF(H9="","",INDEX(DIFFERENTIATION_UNMERGE_VD,MATCH(H9,DIFFERENTIATION_ID_DIFF,0)))</f>
        <v/>
      </c>
      <c r="I10" s="203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42"/>
    </row>
    <row customHeight="1" ht="11.25">
      <c r="E11" s="1013"/>
      <c r="F11" s="2610" t="s">
        <v>1421</v>
      </c>
      <c r="G11" s="2611"/>
      <c r="H11" s="2037" t="str">
        <f>IF(H9="","",INDEX(DIFFERENTIATION_UNMERGE_AREA,MATCH(H9,DIFFERENTIATION_ID_DIFF,0)))</f>
        <v/>
      </c>
      <c r="I11" s="2037" t="str">
        <f>IF(I9="","",INDEX(DIFFERENTIATION_UNMERGE_AREA,MATCH(I9,DIFFERENTIATION_ID_DIFF,0)))</f>
        <v>Территория 1</v>
      </c>
      <c r="J11" s="2342"/>
    </row>
    <row customHeight="1" ht="11.25" hidden="1">
      <c r="E12" s="2040"/>
      <c r="F12" s="2665" t="s">
        <v>1422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291</v>
      </c>
      <c r="F13" s="2613"/>
      <c r="G13" s="2613"/>
      <c r="H13" s="2034"/>
      <c r="I13" s="2034"/>
      <c r="J13" s="2342"/>
    </row>
    <row customHeight="1" ht="22.5">
      <c r="E14" s="2035" t="s">
        <v>88</v>
      </c>
      <c r="F14" s="2038" t="s">
        <v>293</v>
      </c>
      <c r="G14" s="2038" t="s">
        <v>1600</v>
      </c>
      <c r="H14" s="2038" t="s">
        <v>294</v>
      </c>
      <c r="I14" s="2038" t="s">
        <v>294</v>
      </c>
      <c r="J14" s="2342"/>
    </row>
    <row customHeight="1" ht="18.75">
      <c r="D15" s="2016"/>
      <c r="E15" s="2008" t="s">
        <v>99</v>
      </c>
      <c r="F15" s="1009" t="s">
        <v>1826</v>
      </c>
      <c r="G15" s="2035" t="s">
        <v>1719</v>
      </c>
      <c r="H15" s="859"/>
      <c r="I15" s="859"/>
      <c r="J15" s="564" t="s">
        <v>1827</v>
      </c>
      <c r="K15" s="845" t="s">
        <v>1778</v>
      </c>
    </row>
    <row customHeight="1" ht="22.5">
      <c r="D16" s="2016"/>
      <c r="E16" s="2008" t="s">
        <v>109</v>
      </c>
      <c r="F16" s="2043" t="s">
        <v>1828</v>
      </c>
      <c r="G16" s="2035" t="s">
        <v>1719</v>
      </c>
      <c r="H16" s="860">
        <f>SUM(H17,H20:H27)</f>
        <v>0</v>
      </c>
      <c r="I16" s="860">
        <f>SUM(I17,I20:I27)</f>
        <v>0</v>
      </c>
      <c r="J16" s="564" t="s">
        <v>1829</v>
      </c>
      <c r="K16" s="845" t="s">
        <v>1778</v>
      </c>
    </row>
    <row customHeight="1" ht="33.75">
      <c r="D17" s="2016"/>
      <c r="E17" s="2042" t="s">
        <v>504</v>
      </c>
      <c r="F17" s="2045" t="s">
        <v>1830</v>
      </c>
      <c r="G17" s="2032" t="s">
        <v>1719</v>
      </c>
      <c r="H17" s="859"/>
      <c r="I17" s="859"/>
      <c r="J17" s="564" t="s">
        <v>1831</v>
      </c>
      <c r="K17" s="845"/>
    </row>
    <row customHeight="1" ht="18.75">
      <c r="D18" s="2016"/>
      <c r="E18" s="2042" t="s">
        <v>1458</v>
      </c>
      <c r="F18" s="2046" t="s">
        <v>1832</v>
      </c>
      <c r="G18" s="2032" t="s">
        <v>1719</v>
      </c>
      <c r="H18" s="859"/>
      <c r="I18" s="859"/>
      <c r="J18" s="564"/>
      <c r="K18" s="845"/>
    </row>
    <row customHeight="1" ht="22.5">
      <c r="D19" s="2016"/>
      <c r="E19" s="2042" t="s">
        <v>1785</v>
      </c>
      <c r="F19" s="2046" t="s">
        <v>1833</v>
      </c>
      <c r="G19" s="2032" t="s">
        <v>1719</v>
      </c>
      <c r="H19" s="859"/>
      <c r="I19" s="859"/>
      <c r="J19" s="564"/>
      <c r="K19" s="845"/>
    </row>
    <row customHeight="1" ht="33.75">
      <c r="D20" s="2016"/>
      <c r="E20" s="2042" t="s">
        <v>298</v>
      </c>
      <c r="F20" s="2045" t="s">
        <v>1834</v>
      </c>
      <c r="G20" s="2032" t="s">
        <v>1719</v>
      </c>
      <c r="H20" s="859"/>
      <c r="I20" s="859"/>
      <c r="J20" s="564"/>
      <c r="K20" s="845"/>
    </row>
    <row customHeight="1" ht="33.75">
      <c r="D21" s="2016"/>
      <c r="E21" s="2042" t="s">
        <v>301</v>
      </c>
      <c r="F21" s="2045" t="s">
        <v>1835</v>
      </c>
      <c r="G21" s="2032" t="s">
        <v>1719</v>
      </c>
      <c r="H21" s="859"/>
      <c r="I21" s="859"/>
      <c r="J21" s="564"/>
      <c r="K21" s="845"/>
    </row>
    <row customHeight="1" ht="56.25">
      <c r="D22" s="2016"/>
      <c r="E22" s="2042" t="s">
        <v>513</v>
      </c>
      <c r="F22" s="2045" t="s">
        <v>1836</v>
      </c>
      <c r="G22" s="2032" t="s">
        <v>1719</v>
      </c>
      <c r="H22" s="859"/>
      <c r="I22" s="859"/>
      <c r="J22" s="564"/>
      <c r="K22" s="845"/>
    </row>
    <row customHeight="1" ht="33.75">
      <c r="D23" s="2016"/>
      <c r="E23" s="2042" t="s">
        <v>515</v>
      </c>
      <c r="F23" s="2045" t="s">
        <v>1837</v>
      </c>
      <c r="G23" s="2032" t="s">
        <v>1719</v>
      </c>
      <c r="H23" s="859"/>
      <c r="I23" s="859"/>
      <c r="J23" s="564"/>
      <c r="K23" s="845"/>
    </row>
    <row customHeight="1" ht="33.75">
      <c r="D24" s="2016"/>
      <c r="E24" s="2042" t="s">
        <v>529</v>
      </c>
      <c r="F24" s="2045" t="s">
        <v>1838</v>
      </c>
      <c r="G24" s="2032" t="s">
        <v>1719</v>
      </c>
      <c r="H24" s="859"/>
      <c r="I24" s="859"/>
      <c r="J24" s="564"/>
      <c r="K24" s="845"/>
    </row>
    <row customHeight="1" ht="22.5">
      <c r="D25" s="2016"/>
      <c r="E25" s="2042" t="s">
        <v>540</v>
      </c>
      <c r="F25" s="2045" t="s">
        <v>1839</v>
      </c>
      <c r="G25" s="2032" t="s">
        <v>1719</v>
      </c>
      <c r="H25" s="859"/>
      <c r="I25" s="859"/>
      <c r="J25" s="564"/>
      <c r="K25" s="845"/>
    </row>
    <row customHeight="1" ht="67.5">
      <c r="D26" s="2016"/>
      <c r="E26" s="2042" t="s">
        <v>551</v>
      </c>
      <c r="F26" s="2045" t="s">
        <v>1840</v>
      </c>
      <c r="G26" s="2032" t="s">
        <v>1719</v>
      </c>
      <c r="H26" s="859"/>
      <c r="I26" s="859"/>
      <c r="J26" s="564"/>
      <c r="K26" s="845"/>
    </row>
    <row s="11832" customFormat="1" customHeight="1" ht="22.5">
      <c r="A27" s="1308"/>
      <c r="C27" s="2014"/>
      <c r="D27" s="2016"/>
      <c r="E27" s="2007" t="s">
        <v>559</v>
      </c>
      <c r="F27" s="2006" t="s">
        <v>1841</v>
      </c>
      <c r="G27" s="2033" t="s">
        <v>1719</v>
      </c>
      <c r="H27" s="881">
        <f>SUM(H28:H29)</f>
        <v>0</v>
      </c>
      <c r="I27" s="881">
        <f>SUM(I28:I29)</f>
        <v>0</v>
      </c>
      <c r="J27" s="564" t="s">
        <v>1803</v>
      </c>
      <c r="K27" s="845"/>
      <c r="L27" s="2014"/>
      <c r="M27" s="2014"/>
      <c r="R27" s="2014"/>
      <c r="U27" s="846"/>
      <c r="AA27" s="2010"/>
      <c r="AB27" s="2010"/>
      <c r="AC27" s="2010"/>
      <c r="AD27" s="2010"/>
      <c r="AE27" s="2010"/>
    </row>
    <row s="12378" customFormat="1" customHeight="1" ht="0.75">
      <c r="A28" s="1493"/>
      <c r="D28" s="850"/>
      <c r="E28" s="1107" t="str">
        <f>E27&amp;".0"</f>
        <v>2.9.0</v>
      </c>
      <c r="F28" s="1312"/>
      <c r="G28" s="853"/>
      <c r="H28" s="1313"/>
      <c r="I28" s="1313"/>
      <c r="J28" s="1314"/>
    </row>
    <row s="11832" customFormat="1" customHeight="1" ht="18.75">
      <c r="A29" s="1308"/>
      <c r="C29" s="2014"/>
      <c r="D29" s="2011"/>
      <c r="E29" s="872"/>
      <c r="F29" s="2044" t="s">
        <v>1744</v>
      </c>
      <c r="G29" s="874"/>
      <c r="H29" s="875"/>
      <c r="I29" s="875"/>
      <c r="J29" s="576" t="s">
        <v>1804</v>
      </c>
      <c r="K29" s="845"/>
      <c r="L29" s="2014"/>
      <c r="M29" s="2014"/>
      <c r="R29" s="2014"/>
      <c r="U29" s="846"/>
      <c r="AA29" s="2010"/>
      <c r="AB29" s="2010"/>
      <c r="AC29" s="2010"/>
      <c r="AD29" s="2010"/>
      <c r="AE29" s="2010"/>
    </row>
    <row s="11832" customFormat="1" customHeight="1" ht="22.5">
      <c r="A30" s="1308"/>
      <c r="C30" s="2014"/>
      <c r="D30" s="2016"/>
      <c r="E30" s="2042" t="s">
        <v>90</v>
      </c>
      <c r="F30" s="2039" t="s">
        <v>1842</v>
      </c>
      <c r="G30" s="2032" t="s">
        <v>1719</v>
      </c>
      <c r="H30" s="859"/>
      <c r="I30" s="859"/>
      <c r="J30" s="564"/>
      <c r="K30" s="845"/>
      <c r="L30" s="2014"/>
      <c r="M30" s="2014"/>
      <c r="R30" s="2014"/>
      <c r="U30" s="846"/>
      <c r="AA30" s="2010"/>
      <c r="AB30" s="2010"/>
      <c r="AC30" s="2010"/>
      <c r="AD30" s="2010"/>
      <c r="AE30" s="2010"/>
    </row>
    <row s="11832" customFormat="1" customHeight="1" ht="33.75">
      <c r="A31" s="1308"/>
      <c r="C31" s="2014"/>
      <c r="D31" s="877"/>
      <c r="E31" s="2042" t="s">
        <v>91</v>
      </c>
      <c r="F31" s="2039" t="s">
        <v>1843</v>
      </c>
      <c r="G31" s="2032" t="s">
        <v>1719</v>
      </c>
      <c r="H31" s="859"/>
      <c r="I31" s="859"/>
      <c r="J31" s="564" t="s">
        <v>1844</v>
      </c>
      <c r="K31" s="845"/>
      <c r="L31" s="2014"/>
      <c r="M31" s="2014"/>
      <c r="R31" s="2014"/>
      <c r="U31" s="846"/>
      <c r="AA31" s="2010"/>
      <c r="AB31" s="2010"/>
      <c r="AC31" s="2010"/>
      <c r="AD31" s="2010"/>
      <c r="AE31" s="2010"/>
    </row>
    <row s="11832" customFormat="1" customHeight="1" ht="22.5">
      <c r="A32" s="1308"/>
      <c r="C32" s="2014"/>
      <c r="D32" s="2016"/>
      <c r="E32" s="2042" t="s">
        <v>612</v>
      </c>
      <c r="F32" s="992" t="s">
        <v>1811</v>
      </c>
      <c r="G32" s="2032" t="s">
        <v>1719</v>
      </c>
      <c r="H32" s="859"/>
      <c r="I32" s="859"/>
      <c r="J32" s="564" t="s">
        <v>1845</v>
      </c>
      <c r="K32" s="845"/>
      <c r="L32" s="2014"/>
      <c r="M32" s="2014"/>
      <c r="R32" s="2014"/>
      <c r="U32" s="846"/>
      <c r="AA32" s="2010"/>
      <c r="AB32" s="2010"/>
      <c r="AC32" s="2010"/>
      <c r="AD32" s="2010"/>
      <c r="AE32" s="2010"/>
    </row>
    <row s="11832" customFormat="1" customHeight="1" ht="22.5">
      <c r="A33" s="1308"/>
      <c r="C33" s="2014"/>
      <c r="D33" s="2016"/>
      <c r="E33" s="2042" t="s">
        <v>631</v>
      </c>
      <c r="F33" s="992" t="s">
        <v>1846</v>
      </c>
      <c r="G33" s="2032" t="s">
        <v>1719</v>
      </c>
      <c r="H33" s="859"/>
      <c r="I33" s="859"/>
      <c r="J33" s="564" t="s">
        <v>1847</v>
      </c>
      <c r="K33" s="845"/>
      <c r="L33" s="2014"/>
      <c r="M33" s="2014"/>
      <c r="R33" s="2014"/>
      <c r="U33" s="846"/>
      <c r="AA33" s="2010"/>
      <c r="AB33" s="2010"/>
      <c r="AC33" s="2010"/>
      <c r="AD33" s="2010"/>
      <c r="AE33" s="2010"/>
    </row>
    <row s="11832" customFormat="1" customHeight="1" ht="22.5">
      <c r="A34" s="1308"/>
      <c r="C34" s="2014"/>
      <c r="D34" s="2016"/>
      <c r="E34" s="2042" t="s">
        <v>1615</v>
      </c>
      <c r="F34" s="992" t="s">
        <v>1814</v>
      </c>
      <c r="G34" s="2032" t="s">
        <v>1719</v>
      </c>
      <c r="H34" s="859"/>
      <c r="I34" s="859"/>
      <c r="J34" s="564" t="s">
        <v>1848</v>
      </c>
      <c r="K34" s="845"/>
      <c r="L34" s="2014"/>
      <c r="M34" s="2014"/>
      <c r="R34" s="2014"/>
      <c r="U34" s="846"/>
      <c r="AA34" s="2010"/>
      <c r="AB34" s="2010"/>
      <c r="AC34" s="2010"/>
      <c r="AD34" s="2010"/>
      <c r="AE34" s="2010"/>
    </row>
    <row s="11832" customFormat="1" customHeight="1" ht="33.75">
      <c r="A35" s="1308"/>
      <c r="C35" s="2014" t="s">
        <v>1753</v>
      </c>
      <c r="D35" s="2016"/>
      <c r="E35" s="2042" t="s">
        <v>110</v>
      </c>
      <c r="F35" s="2039" t="s">
        <v>637</v>
      </c>
      <c r="G35" s="2035" t="s">
        <v>297</v>
      </c>
      <c r="H35" s="701"/>
      <c r="I35" s="701"/>
      <c r="J35" s="564" t="s">
        <v>1849</v>
      </c>
      <c r="K35" s="845"/>
      <c r="L35" s="2014"/>
      <c r="M35" s="2014"/>
      <c r="R35" s="2014"/>
      <c r="U35" s="846"/>
      <c r="AA35" s="2010"/>
      <c r="AB35" s="2010"/>
      <c r="AC35" s="2010"/>
      <c r="AD35" s="2010"/>
      <c r="AE35" s="2010"/>
    </row>
    <row s="11832" customFormat="1" customHeight="1" ht="22.5">
      <c r="A36" s="1308"/>
      <c r="C36" s="2014"/>
      <c r="D36" s="2016"/>
      <c r="E36" s="2042" t="s">
        <v>92</v>
      </c>
      <c r="F36" s="2039" t="s">
        <v>1850</v>
      </c>
      <c r="G36" s="2032" t="s">
        <v>1819</v>
      </c>
      <c r="H36" s="847"/>
      <c r="I36" s="847"/>
      <c r="J36" s="564" t="s">
        <v>1820</v>
      </c>
      <c r="K36" s="845"/>
      <c r="L36" s="2014"/>
      <c r="M36" s="2014"/>
      <c r="R36" s="2014"/>
      <c r="U36" s="846"/>
      <c r="AA36" s="2010"/>
      <c r="AB36" s="2010"/>
      <c r="AC36" s="2010"/>
      <c r="AD36" s="2010"/>
      <c r="AE36" s="2010"/>
    </row>
    <row s="11832" customFormat="1" customHeight="1" ht="22.5">
      <c r="A37" s="1308"/>
      <c r="C37" s="2014"/>
      <c r="D37" s="2016"/>
      <c r="E37" s="2042" t="s">
        <v>93</v>
      </c>
      <c r="F37" s="2039" t="s">
        <v>1851</v>
      </c>
      <c r="G37" s="2032" t="s">
        <v>1822</v>
      </c>
      <c r="H37" s="847"/>
      <c r="I37" s="847"/>
      <c r="J37" s="564" t="s">
        <v>1823</v>
      </c>
      <c r="K37" s="845"/>
      <c r="L37" s="2014"/>
      <c r="M37" s="2014"/>
      <c r="R37" s="2014"/>
      <c r="U37" s="846"/>
      <c r="AA37" s="2010"/>
      <c r="AB37" s="2010"/>
      <c r="AC37" s="2010"/>
      <c r="AD37" s="2010"/>
      <c r="AE37" s="2010"/>
    </row>
    <row customHeight="1" ht="11.25">
      <c r="D38" s="2016"/>
    </row>
    <row customHeight="1" ht="26.25">
      <c r="D39" s="2016"/>
      <c r="E39" s="1598" t="s">
        <v>1510</v>
      </c>
      <c r="F39" s="2517" t="s">
        <v>1852</v>
      </c>
      <c r="G39" s="2517"/>
      <c r="H39" s="2517"/>
      <c r="I39" s="2517"/>
      <c r="J39" s="2517"/>
    </row>
    <row s="12407" customFormat="1" customHeight="1" ht="37.5">
      <c r="A40" s="1308"/>
      <c r="B40" s="2014"/>
      <c r="C40" s="2014"/>
      <c r="D40" s="637"/>
      <c r="F40" s="2517" t="s">
        <v>1853</v>
      </c>
      <c r="G40" s="2517"/>
      <c r="H40" s="2517"/>
      <c r="I40" s="2517"/>
      <c r="J40" s="2517"/>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407"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407"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407"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407"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407"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407"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407"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407"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407"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40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40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407"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40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40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40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40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40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40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40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40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40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40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40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40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40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40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40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40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40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40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40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40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40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40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40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40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40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40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40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40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40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40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40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40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40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40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40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40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40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40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40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40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40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40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40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40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40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40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40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40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40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40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40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40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40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40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40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40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40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40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40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40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40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40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40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40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40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40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40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40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40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40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40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40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40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40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40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40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40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40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40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40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40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40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40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40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40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40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40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40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40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40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40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40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40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40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40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40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A4E0C-D428-7B2A-C689-CC8A91897015}" mc:Ignorable="x14ac xr xr2 xr3">
  <sheetPr>
    <tabColor theme="9" tint="-0.25"/>
  </sheetPr>
  <dimension ref="A1:W101"/>
  <sheetViews>
    <sheetView topLeftCell="A1" showGridLines="0" zoomScale="90" workbookViewId="0">
      <selection activeCell="I33" sqref="I33"/>
    </sheetView>
  </sheetViews>
  <sheetFormatPr defaultColWidth="10.57421875" customHeight="1" defaultRowHeight="11.25"/>
  <cols>
    <col min="1" max="1" style="12640" width="9.140625" hidden="1" customWidth="1"/>
    <col min="2" max="2" style="11901" width="3.57421875" hidden="1" customWidth="1"/>
    <col min="3" max="3" style="11107" width="3.7109375" customWidth="1"/>
    <col min="4" max="4" style="11107" width="7.7109375" customWidth="1"/>
    <col min="5" max="5" style="11107" width="69.8515625" customWidth="1"/>
    <col min="6" max="6" style="11107" width="11.140625" customWidth="1"/>
    <col min="7" max="8" style="11107" width="44.00390625" hidden="1" customWidth="1"/>
    <col min="9" max="10" style="10656" width="44.00390625" customWidth="1"/>
    <col min="11" max="11" style="11107" width="74.00390625" customWidth="1"/>
    <col min="12" max="12" style="11107" width="3.7109375" customWidth="1"/>
    <col min="13" max="23" style="11107" width="10.57421875"/>
  </cols>
  <sheetData>
    <row s="10657"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656" customFormat="1" customHeight="1" ht="20.25">
      <c r="A4" s="1272"/>
      <c r="B4" s="813"/>
      <c r="D4" s="26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678"/>
      <c r="F4" s="2679"/>
    </row>
    <row customHeight="1" ht="11.25">
      <c r="C5" s="811"/>
      <c r="D5" s="890"/>
      <c r="E5" s="890"/>
      <c r="F5" s="890"/>
      <c r="G5" s="890"/>
      <c r="H5" s="1056"/>
      <c r="I5" s="890"/>
      <c r="J5" s="1056"/>
      <c r="K5" s="890"/>
    </row>
    <row customHeight="1" ht="0.75">
      <c r="C6" s="811"/>
      <c r="D6" s="811"/>
      <c r="E6" s="824"/>
      <c r="F6" s="916"/>
      <c r="G6" s="1345"/>
      <c r="H6" s="1345"/>
      <c r="I6" s="1345" t="s">
        <v>116</v>
      </c>
      <c r="J6" s="1345"/>
    </row>
    <row customHeight="1" ht="11.25">
      <c r="D7" s="1013"/>
      <c r="E7" s="2610" t="s">
        <v>105</v>
      </c>
      <c r="F7" s="2611"/>
      <c r="G7" s="2675" t="str">
        <f>IF(G6="","",INDEX(DIFFERENTIATION_UNMERGE_VD,MATCH(G6,DIFFERENTIATION_ID_DIFF,0)))</f>
        <v/>
      </c>
      <c r="H7" s="2676"/>
      <c r="I7" s="267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676"/>
      <c r="K7" s="2672"/>
      <c r="L7" s="811"/>
    </row>
    <row customHeight="1" ht="11.25">
      <c r="A8" s="1006"/>
      <c r="D8" s="1013"/>
      <c r="E8" s="2610" t="s">
        <v>1421</v>
      </c>
      <c r="F8" s="2611"/>
      <c r="G8" s="2675" t="str">
        <f>IF(G6="","",INDEX(DIFFERENTIATION_UNMERGE_AREA,MATCH(G6,DIFFERENTIATION_ID_DIFF,0)))</f>
        <v/>
      </c>
      <c r="H8" s="2676"/>
      <c r="I8" s="2675" t="str">
        <f>IF(I6="","",INDEX(DIFFERENTIATION_UNMERGE_AREA,MATCH(I6,DIFFERENTIATION_ID_DIFF,0)))</f>
        <v>Территория 1</v>
      </c>
      <c r="J8" s="2676"/>
      <c r="K8" s="2673"/>
      <c r="L8" s="811"/>
    </row>
    <row customHeight="1" ht="11.25">
      <c r="A9" s="1006"/>
      <c r="D9" s="1013"/>
      <c r="E9" s="2610" t="s">
        <v>1422</v>
      </c>
      <c r="F9" s="2611"/>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656" customFormat="1" customHeight="1" ht="11.25">
      <c r="A10" s="1344"/>
      <c r="B10" s="813"/>
      <c r="D10" s="2201" t="s">
        <v>291</v>
      </c>
      <c r="E10" s="2202"/>
      <c r="F10" s="2202"/>
      <c r="G10" s="2202"/>
      <c r="H10" s="2202"/>
      <c r="I10" s="2202"/>
      <c r="J10" s="2203"/>
      <c r="K10" s="2673"/>
      <c r="L10" s="811"/>
    </row>
    <row s="12198" customFormat="1" customHeight="1" ht="22.5">
      <c r="A11" s="2668"/>
      <c r="B11" s="2668"/>
      <c r="C11" s="959"/>
      <c r="D11" s="1005" t="s">
        <v>88</v>
      </c>
      <c r="E11" s="1007" t="s">
        <v>1854</v>
      </c>
      <c r="F11" s="1007" t="s">
        <v>1600</v>
      </c>
      <c r="G11" s="767" t="s">
        <v>294</v>
      </c>
      <c r="H11" s="767" t="s">
        <v>383</v>
      </c>
      <c r="I11" s="1115" t="s">
        <v>294</v>
      </c>
      <c r="J11" s="1116" t="s">
        <v>383</v>
      </c>
      <c r="K11" s="2674"/>
      <c r="L11" s="960"/>
    </row>
    <row s="11901" customFormat="1" customHeight="1" ht="10.5">
      <c r="A12" s="1273"/>
      <c r="D12" s="1348" t="s">
        <v>99</v>
      </c>
      <c r="E12" s="1348" t="s">
        <v>109</v>
      </c>
      <c r="F12" s="1348" t="s">
        <v>90</v>
      </c>
      <c r="G12" s="1349" t="str">
        <f>G1&amp;".1"</f>
        <v>4.1</v>
      </c>
      <c r="H12" s="1349" t="str">
        <f>G1&amp;".2"</f>
        <v>4.2</v>
      </c>
      <c r="I12" s="1349" t="str">
        <f>I1&amp;".1"</f>
        <v>4.1</v>
      </c>
      <c r="J12" s="1349" t="str">
        <f>I1&amp;".2"</f>
        <v>4.2</v>
      </c>
      <c r="K12" s="1349"/>
    </row>
    <row customHeight="1" ht="22.5">
      <c r="A13" s="2667" t="s">
        <v>391</v>
      </c>
      <c r="D13" s="1274" t="s">
        <v>99</v>
      </c>
      <c r="E13" s="554" t="s">
        <v>1601</v>
      </c>
      <c r="F13" s="962" t="s">
        <v>1602</v>
      </c>
      <c r="G13" s="859"/>
      <c r="H13" s="963"/>
      <c r="I13" s="859">
        <v>0</v>
      </c>
      <c r="J13" s="963"/>
      <c r="K13" s="564" t="s">
        <v>1603</v>
      </c>
      <c r="L13" s="1022"/>
    </row>
    <row customHeight="1" ht="22.5">
      <c r="A14" s="2667"/>
      <c r="D14" s="841" t="s">
        <v>109</v>
      </c>
      <c r="E14" s="554" t="s">
        <v>1604</v>
      </c>
      <c r="F14" s="962" t="s">
        <v>1605</v>
      </c>
      <c r="G14" s="859"/>
      <c r="H14" s="964"/>
      <c r="I14" s="859">
        <v>0</v>
      </c>
      <c r="J14" s="964"/>
      <c r="K14" s="564" t="s">
        <v>1606</v>
      </c>
      <c r="L14" s="1022"/>
    </row>
    <row s="10656" customFormat="1" customHeight="1" ht="78.75">
      <c r="A15" s="2667"/>
      <c r="B15" s="813"/>
      <c r="D15" s="1274" t="s">
        <v>90</v>
      </c>
      <c r="E15" s="1009" t="s">
        <v>1609</v>
      </c>
      <c r="F15" s="1271" t="s">
        <v>297</v>
      </c>
      <c r="G15" s="1271" t="s">
        <v>297</v>
      </c>
      <c r="H15" s="376"/>
      <c r="I15" s="1271" t="s">
        <v>297</v>
      </c>
      <c r="J15" s="376"/>
      <c r="K15" s="564" t="s">
        <v>1855</v>
      </c>
      <c r="L15" s="1022"/>
    </row>
    <row s="10656" customFormat="1" customHeight="1" ht="22.5">
      <c r="A16" s="2667"/>
      <c r="B16" s="813"/>
      <c r="D16" s="1274" t="s">
        <v>317</v>
      </c>
      <c r="E16" s="1275" t="s">
        <v>1611</v>
      </c>
      <c r="F16" s="1271" t="s">
        <v>1612</v>
      </c>
      <c r="G16" s="1125"/>
      <c r="H16" s="376"/>
      <c r="I16" s="1125"/>
      <c r="J16" s="376"/>
      <c r="K16" s="564"/>
      <c r="L16" s="1022"/>
    </row>
    <row s="10656" customFormat="1" customHeight="1" ht="22.5">
      <c r="A17" s="2667"/>
      <c r="B17" s="813"/>
      <c r="D17" s="1274" t="s">
        <v>325</v>
      </c>
      <c r="E17" s="1275" t="s">
        <v>1613</v>
      </c>
      <c r="F17" s="1271" t="s">
        <v>1614</v>
      </c>
      <c r="G17" s="1125"/>
      <c r="H17" s="376"/>
      <c r="I17" s="1125"/>
      <c r="J17" s="376"/>
      <c r="K17" s="564"/>
      <c r="L17" s="1022"/>
    </row>
    <row s="10656" customFormat="1" customHeight="1" ht="33.75">
      <c r="A18" s="2667"/>
      <c r="B18" s="813"/>
      <c r="D18" s="1274" t="s">
        <v>327</v>
      </c>
      <c r="E18" s="1275" t="s">
        <v>1616</v>
      </c>
      <c r="F18" s="1271" t="s">
        <v>1617</v>
      </c>
      <c r="G18" s="982"/>
      <c r="H18" s="376"/>
      <c r="I18" s="982"/>
      <c r="J18" s="376"/>
      <c r="K18" s="564"/>
      <c r="L18" s="1022"/>
    </row>
    <row customHeight="1" ht="101.25">
      <c r="A19" s="2667"/>
      <c r="D19" s="1274" t="s">
        <v>91</v>
      </c>
      <c r="E19" s="554" t="s">
        <v>1856</v>
      </c>
      <c r="F19" s="962" t="s">
        <v>1433</v>
      </c>
      <c r="G19" s="965"/>
      <c r="H19" s="964"/>
      <c r="I19" s="10012" t="s">
        <v>1857</v>
      </c>
      <c r="J19" s="964"/>
      <c r="K19" s="564" t="s">
        <v>1858</v>
      </c>
      <c r="L19" s="1022"/>
    </row>
    <row s="10656" customFormat="1" customHeight="1" ht="18.75">
      <c r="A20" s="2667"/>
      <c r="C20" s="1277"/>
      <c r="D20" s="1274" t="s">
        <v>612</v>
      </c>
      <c r="E20" s="1275" t="s">
        <v>1859</v>
      </c>
      <c r="F20" s="1271" t="s">
        <v>297</v>
      </c>
      <c r="G20" s="1271" t="s">
        <v>297</v>
      </c>
      <c r="H20" s="1270" t="s">
        <v>297</v>
      </c>
      <c r="I20" s="1271" t="s">
        <v>297</v>
      </c>
      <c r="J20" s="1270" t="s">
        <v>297</v>
      </c>
      <c r="K20" s="1269"/>
      <c r="L20" s="1022"/>
      <c r="W20" s="977"/>
    </row>
    <row s="10656" customFormat="1" customHeight="1" ht="33.75">
      <c r="A21" s="2667"/>
      <c r="C21" s="1277"/>
      <c r="D21" s="1274" t="s">
        <v>621</v>
      </c>
      <c r="E21" s="878" t="s">
        <v>1860</v>
      </c>
      <c r="F21" s="1271" t="s">
        <v>1861</v>
      </c>
      <c r="G21" s="1263"/>
      <c r="H21" s="376"/>
      <c r="I21" s="1263"/>
      <c r="J21" s="376"/>
      <c r="K21" s="1269"/>
      <c r="L21" s="1022"/>
      <c r="W21" s="977"/>
    </row>
    <row s="10656" customFormat="1" customHeight="1" ht="33.75">
      <c r="A22" s="2667"/>
      <c r="C22" s="1277"/>
      <c r="D22" s="1274" t="s">
        <v>627</v>
      </c>
      <c r="E22" s="878" t="s">
        <v>1862</v>
      </c>
      <c r="F22" s="1271" t="s">
        <v>1863</v>
      </c>
      <c r="G22" s="1263"/>
      <c r="H22" s="376"/>
      <c r="I22" s="1263"/>
      <c r="J22" s="376"/>
      <c r="K22" s="1269"/>
      <c r="L22" s="1022"/>
      <c r="W22" s="977"/>
    </row>
    <row s="10656" customFormat="1" customHeight="1" ht="22.5">
      <c r="A23" s="2667"/>
      <c r="C23" s="1277"/>
      <c r="D23" s="1274" t="s">
        <v>631</v>
      </c>
      <c r="E23" s="1275" t="s">
        <v>1864</v>
      </c>
      <c r="F23" s="1271" t="s">
        <v>297</v>
      </c>
      <c r="G23" s="1271" t="s">
        <v>297</v>
      </c>
      <c r="H23" s="1270" t="s">
        <v>297</v>
      </c>
      <c r="I23" s="1271" t="s">
        <v>297</v>
      </c>
      <c r="J23" s="1270" t="s">
        <v>297</v>
      </c>
      <c r="K23" s="1269"/>
      <c r="L23" s="1022"/>
      <c r="W23" s="977"/>
    </row>
    <row s="10656" customFormat="1" customHeight="1" ht="22.5">
      <c r="A24" s="2667"/>
      <c r="C24" s="1277"/>
      <c r="D24" s="1274" t="s">
        <v>1865</v>
      </c>
      <c r="E24" s="878" t="s">
        <v>1866</v>
      </c>
      <c r="F24" s="1271" t="s">
        <v>1867</v>
      </c>
      <c r="G24" s="1263"/>
      <c r="H24" s="988"/>
      <c r="I24" s="1263"/>
      <c r="J24" s="988"/>
      <c r="K24" s="1269"/>
      <c r="L24" s="1022"/>
      <c r="W24" s="977"/>
    </row>
    <row s="10656" customFormat="1" customHeight="1" ht="22.5">
      <c r="A25" s="2667"/>
      <c r="C25" s="1277"/>
      <c r="D25" s="1274" t="s">
        <v>1868</v>
      </c>
      <c r="E25" s="878" t="s">
        <v>1869</v>
      </c>
      <c r="F25" s="1271" t="s">
        <v>297</v>
      </c>
      <c r="G25" s="1271" t="s">
        <v>297</v>
      </c>
      <c r="H25" s="1270" t="s">
        <v>297</v>
      </c>
      <c r="I25" s="1271" t="s">
        <v>297</v>
      </c>
      <c r="J25" s="1270" t="s">
        <v>297</v>
      </c>
      <c r="K25" s="1269"/>
      <c r="L25" s="1022"/>
      <c r="W25" s="977"/>
    </row>
    <row s="10656" customFormat="1" customHeight="1" ht="18.75">
      <c r="A26" s="2667"/>
      <c r="C26" s="1277"/>
      <c r="D26" s="1274" t="s">
        <v>1870</v>
      </c>
      <c r="E26" s="855" t="s">
        <v>1871</v>
      </c>
      <c r="F26" s="1271" t="s">
        <v>1872</v>
      </c>
      <c r="G26" s="982"/>
      <c r="H26" s="988"/>
      <c r="I26" s="982"/>
      <c r="J26" s="988"/>
      <c r="K26" s="1269"/>
      <c r="L26" s="1022"/>
      <c r="W26" s="977"/>
    </row>
    <row s="10656" customFormat="1" customHeight="1" ht="18.75">
      <c r="A27" s="2667"/>
      <c r="C27" s="1277"/>
      <c r="D27" s="1274" t="s">
        <v>1873</v>
      </c>
      <c r="E27" s="855" t="s">
        <v>1874</v>
      </c>
      <c r="F27" s="1271" t="s">
        <v>1875</v>
      </c>
      <c r="G27" s="982"/>
      <c r="H27" s="988"/>
      <c r="I27" s="982"/>
      <c r="J27" s="988"/>
      <c r="K27" s="1269"/>
      <c r="L27" s="1022"/>
      <c r="W27" s="977"/>
    </row>
    <row s="10656" customFormat="1" customHeight="1" ht="18.75">
      <c r="A28" s="2667"/>
      <c r="C28" s="1277"/>
      <c r="D28" s="1274" t="s">
        <v>1876</v>
      </c>
      <c r="E28" s="878" t="s">
        <v>1877</v>
      </c>
      <c r="F28" s="1271" t="s">
        <v>297</v>
      </c>
      <c r="G28" s="1271" t="s">
        <v>297</v>
      </c>
      <c r="H28" s="1270" t="s">
        <v>297</v>
      </c>
      <c r="I28" s="1271" t="s">
        <v>297</v>
      </c>
      <c r="J28" s="1270" t="s">
        <v>297</v>
      </c>
      <c r="K28" s="1269"/>
      <c r="L28" s="1022"/>
      <c r="W28" s="977"/>
    </row>
    <row s="10656" customFormat="1" customHeight="1" ht="18.75">
      <c r="A29" s="2667"/>
      <c r="C29" s="1277"/>
      <c r="D29" s="1274" t="s">
        <v>1878</v>
      </c>
      <c r="E29" s="855" t="s">
        <v>1871</v>
      </c>
      <c r="F29" s="1271" t="s">
        <v>1879</v>
      </c>
      <c r="G29" s="982"/>
      <c r="H29" s="988"/>
      <c r="I29" s="982"/>
      <c r="J29" s="988"/>
      <c r="K29" s="1269"/>
      <c r="L29" s="1022"/>
      <c r="W29" s="977"/>
    </row>
    <row s="10656" customFormat="1" customHeight="1" ht="18.75">
      <c r="A30" s="2667"/>
      <c r="C30" s="1277"/>
      <c r="D30" s="1274" t="s">
        <v>1880</v>
      </c>
      <c r="E30" s="855" t="s">
        <v>1881</v>
      </c>
      <c r="F30" s="1271" t="s">
        <v>1882</v>
      </c>
      <c r="G30" s="982"/>
      <c r="H30" s="988"/>
      <c r="I30" s="982"/>
      <c r="J30" s="988"/>
      <c r="K30" s="1269"/>
      <c r="L30" s="1022"/>
      <c r="W30" s="977"/>
    </row>
    <row customHeight="1" ht="126.75">
      <c r="A31" s="2667"/>
      <c r="D31" s="1274" t="s">
        <v>110</v>
      </c>
      <c r="E31" s="554" t="s">
        <v>1883</v>
      </c>
      <c r="F31" s="962" t="s">
        <v>1619</v>
      </c>
      <c r="G31" s="859"/>
      <c r="H31" s="964"/>
      <c r="I31" s="859">
        <v>0</v>
      </c>
      <c r="J31" s="964"/>
      <c r="K31" s="564" t="s">
        <v>1884</v>
      </c>
      <c r="L31" s="1022"/>
    </row>
    <row customHeight="1" ht="56.25">
      <c r="A32" s="2667"/>
      <c r="D32" s="1274" t="s">
        <v>92</v>
      </c>
      <c r="E32" s="554" t="s">
        <v>1885</v>
      </c>
      <c r="F32" s="841" t="s">
        <v>1614</v>
      </c>
      <c r="G32" s="859"/>
      <c r="H32" s="964"/>
      <c r="I32" s="859">
        <v>0</v>
      </c>
      <c r="J32" s="964"/>
      <c r="K32" s="564" t="s">
        <v>1886</v>
      </c>
      <c r="L32" s="1022"/>
    </row>
    <row customHeight="1" ht="11.25">
      <c r="A33" s="2667"/>
      <c r="E33" s="966"/>
      <c r="F33" s="454"/>
      <c r="G33" s="454"/>
      <c r="H33" s="454"/>
      <c r="I33" s="454"/>
      <c r="J33" s="454"/>
      <c r="K33" s="454"/>
    </row>
    <row customHeight="1" ht="12.75">
      <c r="A34" s="2667"/>
      <c r="D34" s="331">
        <v>1</v>
      </c>
      <c r="E34" s="621" t="s">
        <v>1887</v>
      </c>
    </row>
    <row customHeight="1" ht="11.25">
      <c r="A35" s="2667"/>
      <c r="D35" s="659"/>
      <c r="E35" s="621" t="s">
        <v>1888</v>
      </c>
    </row>
    <row s="12198" customFormat="1" customHeight="1" ht="11.25">
      <c r="A36" s="1356"/>
      <c r="B36" s="820"/>
      <c r="D36" s="1357"/>
      <c r="E36" s="1358"/>
    </row>
    <row s="10656" customFormat="1" customHeight="1" ht="22.5" hidden="1">
      <c r="A37" s="2667" t="s">
        <v>392</v>
      </c>
      <c r="B37" s="813"/>
      <c r="D37" s="1274">
        <v>1</v>
      </c>
      <c r="E37" s="1009" t="s">
        <v>1889</v>
      </c>
      <c r="F37" s="962" t="s">
        <v>1602</v>
      </c>
      <c r="G37" s="859"/>
      <c r="H37" s="821"/>
      <c r="I37" s="859"/>
      <c r="J37" s="821"/>
      <c r="K37" s="564" t="s">
        <v>1890</v>
      </c>
    </row>
    <row s="10656" customFormat="1" customHeight="1" ht="22.5" hidden="1">
      <c r="A38" s="2667"/>
      <c r="B38" s="813"/>
      <c r="D38" s="971" t="s">
        <v>109</v>
      </c>
      <c r="E38" s="1355" t="s">
        <v>1891</v>
      </c>
      <c r="F38" s="1359" t="s">
        <v>1433</v>
      </c>
      <c r="G38" s="1359" t="s">
        <v>1433</v>
      </c>
      <c r="H38" s="1353"/>
      <c r="I38" s="1359" t="s">
        <v>1433</v>
      </c>
      <c r="J38" s="1353"/>
      <c r="K38" s="1354"/>
    </row>
    <row s="10656" customFormat="1" customHeight="1" ht="33.75" hidden="1">
      <c r="A39" s="2667"/>
      <c r="B39" s="813"/>
      <c r="D39" s="967" t="s">
        <v>1458</v>
      </c>
      <c r="E39" s="1026" t="s">
        <v>1892</v>
      </c>
      <c r="F39" s="962" t="s">
        <v>1893</v>
      </c>
      <c r="G39" s="970"/>
      <c r="H39" s="1346"/>
      <c r="I39" s="970"/>
      <c r="J39" s="1346"/>
      <c r="K39" s="564" t="s">
        <v>1894</v>
      </c>
    </row>
    <row s="10656" customFormat="1" customHeight="1" ht="33.75" hidden="1">
      <c r="A40" s="2667"/>
      <c r="B40" s="813"/>
      <c r="D40" s="967" t="s">
        <v>1785</v>
      </c>
      <c r="E40" s="1026" t="s">
        <v>1895</v>
      </c>
      <c r="F40" s="1350" t="s">
        <v>1896</v>
      </c>
      <c r="G40" s="1044"/>
      <c r="H40" s="1346"/>
      <c r="I40" s="1044"/>
      <c r="J40" s="1346"/>
      <c r="K40" s="564" t="s">
        <v>1897</v>
      </c>
    </row>
    <row s="10656" customFormat="1" customHeight="1" ht="22.5" hidden="1">
      <c r="A41" s="2667"/>
      <c r="B41" s="813"/>
      <c r="D41" s="967" t="s">
        <v>90</v>
      </c>
      <c r="E41" s="1025" t="s">
        <v>1898</v>
      </c>
      <c r="F41" s="962" t="s">
        <v>1433</v>
      </c>
      <c r="G41" s="962" t="s">
        <v>1433</v>
      </c>
      <c r="H41" s="1347"/>
      <c r="I41" s="962" t="s">
        <v>1433</v>
      </c>
      <c r="J41" s="1347"/>
      <c r="K41" s="577"/>
    </row>
    <row s="10656" customFormat="1" customHeight="1" ht="45" hidden="1">
      <c r="A42" s="2667"/>
      <c r="B42" s="813"/>
      <c r="D42" s="967" t="s">
        <v>317</v>
      </c>
      <c r="E42" s="1026" t="s">
        <v>1899</v>
      </c>
      <c r="F42" s="962" t="s">
        <v>1619</v>
      </c>
      <c r="G42" s="859"/>
      <c r="H42" s="1347"/>
      <c r="I42" s="859"/>
      <c r="J42" s="1347"/>
      <c r="K42" s="577" t="s">
        <v>1900</v>
      </c>
    </row>
    <row s="10656" customFormat="1" customHeight="1" ht="45" hidden="1">
      <c r="A43" s="2667"/>
      <c r="B43" s="813"/>
      <c r="D43" s="967" t="s">
        <v>325</v>
      </c>
      <c r="E43" s="969" t="s">
        <v>1901</v>
      </c>
      <c r="F43" s="1351" t="s">
        <v>1619</v>
      </c>
      <c r="G43" s="1045"/>
      <c r="H43" s="1346"/>
      <c r="I43" s="1045"/>
      <c r="J43" s="1346"/>
      <c r="K43" s="577" t="s">
        <v>1902</v>
      </c>
    </row>
    <row s="10656" customFormat="1" customHeight="1" ht="11.25" hidden="1">
      <c r="A44" s="2667"/>
      <c r="B44" s="813"/>
      <c r="D44" s="967" t="s">
        <v>91</v>
      </c>
      <c r="E44" s="968" t="s">
        <v>1903</v>
      </c>
      <c r="F44" s="962" t="s">
        <v>1893</v>
      </c>
      <c r="G44" s="970"/>
      <c r="H44" s="1346"/>
      <c r="I44" s="970"/>
      <c r="J44" s="1346"/>
      <c r="K44" s="564"/>
    </row>
    <row s="10656" customFormat="1" customHeight="1" ht="11.25" hidden="1">
      <c r="A45" s="2667"/>
      <c r="B45" s="813"/>
      <c r="D45" s="967" t="s">
        <v>612</v>
      </c>
      <c r="E45" s="969" t="s">
        <v>1904</v>
      </c>
      <c r="F45" s="962" t="s">
        <v>1893</v>
      </c>
      <c r="G45" s="970"/>
      <c r="H45" s="1346"/>
      <c r="I45" s="970"/>
      <c r="J45" s="1346"/>
      <c r="K45" s="564"/>
    </row>
    <row s="10656" customFormat="1" customHeight="1" ht="11.25" hidden="1">
      <c r="A46" s="2667"/>
      <c r="B46" s="813"/>
      <c r="D46" s="967" t="s">
        <v>631</v>
      </c>
      <c r="E46" s="969" t="s">
        <v>1905</v>
      </c>
      <c r="F46" s="962" t="s">
        <v>1893</v>
      </c>
      <c r="G46" s="970"/>
      <c r="H46" s="1346"/>
      <c r="I46" s="970"/>
      <c r="J46" s="1346"/>
      <c r="K46" s="564"/>
    </row>
    <row s="10656" customFormat="1" customHeight="1" ht="11.25" hidden="1">
      <c r="A47" s="2667"/>
      <c r="B47" s="813"/>
      <c r="D47" s="967" t="s">
        <v>1615</v>
      </c>
      <c r="E47" s="969" t="s">
        <v>1906</v>
      </c>
      <c r="F47" s="962" t="s">
        <v>1893</v>
      </c>
      <c r="G47" s="970"/>
      <c r="H47" s="1346"/>
      <c r="I47" s="970"/>
      <c r="J47" s="1346"/>
      <c r="K47" s="564"/>
    </row>
    <row s="10656" customFormat="1" customHeight="1" ht="11.25" hidden="1">
      <c r="A48" s="2667"/>
      <c r="B48" s="813"/>
      <c r="D48" s="967" t="s">
        <v>1907</v>
      </c>
      <c r="E48" s="973" t="s">
        <v>1908</v>
      </c>
      <c r="F48" s="962" t="s">
        <v>1893</v>
      </c>
      <c r="G48" s="970"/>
      <c r="H48" s="1346"/>
      <c r="I48" s="970"/>
      <c r="J48" s="1346"/>
      <c r="K48" s="564"/>
    </row>
    <row s="10656" customFormat="1" customHeight="1" ht="11.25" hidden="1">
      <c r="A49" s="2667"/>
      <c r="B49" s="813"/>
      <c r="D49" s="967" t="s">
        <v>1909</v>
      </c>
      <c r="E49" s="973" t="s">
        <v>1910</v>
      </c>
      <c r="F49" s="962" t="s">
        <v>1893</v>
      </c>
      <c r="G49" s="970"/>
      <c r="H49" s="1346"/>
      <c r="I49" s="970"/>
      <c r="J49" s="1346"/>
      <c r="K49" s="564"/>
    </row>
    <row s="10656" customFormat="1" customHeight="1" ht="11.25" hidden="1">
      <c r="A50" s="2667"/>
      <c r="B50" s="813"/>
      <c r="D50" s="967" t="s">
        <v>1911</v>
      </c>
      <c r="E50" s="969" t="s">
        <v>1912</v>
      </c>
      <c r="F50" s="962" t="s">
        <v>1893</v>
      </c>
      <c r="G50" s="970"/>
      <c r="H50" s="1346"/>
      <c r="I50" s="970"/>
      <c r="J50" s="1346"/>
      <c r="K50" s="564"/>
    </row>
    <row s="10656" customFormat="1" customHeight="1" ht="11.25" hidden="1">
      <c r="A51" s="2667"/>
      <c r="B51" s="813"/>
      <c r="D51" s="967" t="s">
        <v>1913</v>
      </c>
      <c r="E51" s="969" t="s">
        <v>1914</v>
      </c>
      <c r="F51" s="962" t="s">
        <v>1893</v>
      </c>
      <c r="G51" s="970"/>
      <c r="H51" s="1346"/>
      <c r="I51" s="970"/>
      <c r="J51" s="1346"/>
      <c r="K51" s="564"/>
    </row>
    <row s="10656" customFormat="1" customHeight="1" ht="45" hidden="1">
      <c r="A52" s="2667"/>
      <c r="B52" s="813"/>
      <c r="D52" s="967" t="s">
        <v>110</v>
      </c>
      <c r="E52" s="968" t="s">
        <v>1915</v>
      </c>
      <c r="F52" s="962" t="s">
        <v>1893</v>
      </c>
      <c r="G52" s="970"/>
      <c r="H52" s="1346"/>
      <c r="I52" s="970"/>
      <c r="J52" s="1346"/>
      <c r="K52" s="564"/>
    </row>
    <row s="10656" customFormat="1" customHeight="1" ht="11.25" hidden="1">
      <c r="A53" s="2667"/>
      <c r="B53" s="813"/>
      <c r="D53" s="967" t="s">
        <v>306</v>
      </c>
      <c r="E53" s="969" t="s">
        <v>1904</v>
      </c>
      <c r="F53" s="962" t="s">
        <v>1893</v>
      </c>
      <c r="G53" s="970"/>
      <c r="H53" s="1346"/>
      <c r="I53" s="970"/>
      <c r="J53" s="1346"/>
      <c r="K53" s="564"/>
    </row>
    <row s="10656" customFormat="1" customHeight="1" ht="11.25" hidden="1">
      <c r="A54" s="2667"/>
      <c r="B54" s="813"/>
      <c r="D54" s="967" t="s">
        <v>308</v>
      </c>
      <c r="E54" s="969" t="s">
        <v>1905</v>
      </c>
      <c r="F54" s="962" t="s">
        <v>1893</v>
      </c>
      <c r="G54" s="970"/>
      <c r="H54" s="1346"/>
      <c r="I54" s="970"/>
      <c r="J54" s="1346"/>
      <c r="K54" s="564"/>
    </row>
    <row s="10656" customFormat="1" customHeight="1" ht="11.25" hidden="1">
      <c r="A55" s="2667"/>
      <c r="B55" s="813"/>
      <c r="D55" s="967" t="s">
        <v>311</v>
      </c>
      <c r="E55" s="969" t="s">
        <v>1906</v>
      </c>
      <c r="F55" s="962" t="s">
        <v>1893</v>
      </c>
      <c r="G55" s="970"/>
      <c r="H55" s="1346"/>
      <c r="I55" s="970"/>
      <c r="J55" s="1346"/>
      <c r="K55" s="564"/>
    </row>
    <row s="10656" customFormat="1" customHeight="1" ht="11.25" hidden="1">
      <c r="A56" s="2667"/>
      <c r="B56" s="813"/>
      <c r="D56" s="967" t="s">
        <v>1595</v>
      </c>
      <c r="E56" s="973" t="s">
        <v>1908</v>
      </c>
      <c r="F56" s="962" t="s">
        <v>1893</v>
      </c>
      <c r="G56" s="970"/>
      <c r="H56" s="1346"/>
      <c r="I56" s="970"/>
      <c r="J56" s="1346"/>
      <c r="K56" s="564"/>
    </row>
    <row s="10656" customFormat="1" customHeight="1" ht="11.25" hidden="1">
      <c r="A57" s="2667"/>
      <c r="B57" s="813"/>
      <c r="D57" s="967" t="s">
        <v>1916</v>
      </c>
      <c r="E57" s="973" t="s">
        <v>1910</v>
      </c>
      <c r="F57" s="962" t="s">
        <v>1893</v>
      </c>
      <c r="G57" s="970"/>
      <c r="H57" s="1346"/>
      <c r="I57" s="970"/>
      <c r="J57" s="1346"/>
      <c r="K57" s="564"/>
    </row>
    <row s="10656" customFormat="1" customHeight="1" ht="11.25" hidden="1">
      <c r="A58" s="2667"/>
      <c r="B58" s="813"/>
      <c r="D58" s="967" t="s">
        <v>313</v>
      </c>
      <c r="E58" s="969" t="s">
        <v>1912</v>
      </c>
      <c r="F58" s="962" t="s">
        <v>1893</v>
      </c>
      <c r="G58" s="970"/>
      <c r="H58" s="1346"/>
      <c r="I58" s="970"/>
      <c r="J58" s="1346"/>
      <c r="K58" s="564"/>
    </row>
    <row s="10656" customFormat="1" customHeight="1" ht="11.25" hidden="1">
      <c r="A59" s="2667"/>
      <c r="B59" s="813"/>
      <c r="D59" s="967" t="s">
        <v>1917</v>
      </c>
      <c r="E59" s="969" t="s">
        <v>1914</v>
      </c>
      <c r="F59" s="962" t="s">
        <v>1893</v>
      </c>
      <c r="G59" s="970"/>
      <c r="H59" s="1346"/>
      <c r="I59" s="970"/>
      <c r="J59" s="1346"/>
      <c r="K59" s="564"/>
    </row>
    <row s="10656" customFormat="1" customHeight="1" ht="33.75" hidden="1">
      <c r="A60" s="2667"/>
      <c r="B60" s="813"/>
      <c r="D60" s="967" t="s">
        <v>92</v>
      </c>
      <c r="E60" s="968" t="s">
        <v>1918</v>
      </c>
      <c r="F60" s="1024" t="s">
        <v>1619</v>
      </c>
      <c r="G60" s="1045"/>
      <c r="H60" s="1346"/>
      <c r="I60" s="1045"/>
      <c r="J60" s="1346"/>
      <c r="K60" s="577" t="s">
        <v>1919</v>
      </c>
    </row>
    <row s="10656" customFormat="1" customHeight="1" ht="33.75" hidden="1">
      <c r="A61" s="2667"/>
      <c r="B61" s="813"/>
      <c r="D61" s="967" t="s">
        <v>93</v>
      </c>
      <c r="E61" s="968" t="s">
        <v>1920</v>
      </c>
      <c r="F61" s="1029" t="s">
        <v>1614</v>
      </c>
      <c r="G61" s="970"/>
      <c r="H61" s="1346"/>
      <c r="I61" s="970"/>
      <c r="J61" s="1346"/>
      <c r="K61" s="564"/>
    </row>
    <row s="10656" customFormat="1" customHeight="1" ht="22.5" hidden="1">
      <c r="A62" s="2667"/>
      <c r="B62" s="813" t="s">
        <v>1753</v>
      </c>
      <c r="D62" s="967" t="s">
        <v>111</v>
      </c>
      <c r="E62" s="968" t="s">
        <v>1921</v>
      </c>
      <c r="F62" s="1029" t="s">
        <v>297</v>
      </c>
      <c r="G62" s="678"/>
      <c r="H62" s="1346"/>
      <c r="I62" s="678"/>
      <c r="J62" s="1346"/>
      <c r="K62" s="564" t="s">
        <v>712</v>
      </c>
    </row>
    <row s="10656" customFormat="1" customHeight="1" ht="45" hidden="1">
      <c r="A63" s="2667"/>
      <c r="B63" s="813" t="s">
        <v>1753</v>
      </c>
      <c r="D63" s="967" t="s">
        <v>1922</v>
      </c>
      <c r="E63" s="969" t="s">
        <v>1923</v>
      </c>
      <c r="F63" s="1024" t="s">
        <v>297</v>
      </c>
      <c r="G63" s="678"/>
      <c r="H63" s="1346"/>
      <c r="I63" s="678"/>
      <c r="J63" s="1346"/>
      <c r="K63" s="564" t="s">
        <v>712</v>
      </c>
    </row>
    <row s="12198" customFormat="1" customHeight="1" ht="11.25">
      <c r="A64" s="1356"/>
      <c r="B64" s="820"/>
      <c r="D64" s="1357"/>
      <c r="E64" s="1358"/>
    </row>
    <row s="10656" customFormat="1" customHeight="1" ht="22.5" hidden="1">
      <c r="A65" s="2667" t="s">
        <v>394</v>
      </c>
      <c r="B65" s="813"/>
      <c r="D65" s="967">
        <v>1</v>
      </c>
      <c r="E65" s="1047" t="s">
        <v>1924</v>
      </c>
      <c r="F65" s="1043" t="s">
        <v>1602</v>
      </c>
      <c r="G65" s="1044"/>
      <c r="H65" s="1352"/>
      <c r="I65" s="1044"/>
      <c r="J65" s="1352"/>
      <c r="K65" s="576" t="s">
        <v>1925</v>
      </c>
    </row>
    <row s="10656" customFormat="1" customHeight="1" ht="56.25" hidden="1">
      <c r="A66" s="2667"/>
      <c r="B66" s="813"/>
      <c r="D66" s="1046" t="s">
        <v>109</v>
      </c>
      <c r="E66" s="1009" t="s">
        <v>1926</v>
      </c>
      <c r="F66" s="962" t="s">
        <v>1433</v>
      </c>
      <c r="G66" s="962" t="s">
        <v>1433</v>
      </c>
      <c r="H66" s="821"/>
      <c r="I66" s="962" t="s">
        <v>1433</v>
      </c>
      <c r="J66" s="821"/>
      <c r="K66" s="564"/>
    </row>
    <row s="10656" customFormat="1" customHeight="1" ht="33.75" hidden="1">
      <c r="A67" s="2667"/>
      <c r="B67" s="813"/>
      <c r="D67" s="1046" t="s">
        <v>504</v>
      </c>
      <c r="E67" s="1275" t="s">
        <v>1927</v>
      </c>
      <c r="F67" s="962" t="s">
        <v>1896</v>
      </c>
      <c r="G67" s="1030"/>
      <c r="H67" s="821"/>
      <c r="I67" s="1030"/>
      <c r="J67" s="821"/>
      <c r="K67" s="564"/>
    </row>
    <row s="10656" customFormat="1" customHeight="1" ht="22.5" hidden="1">
      <c r="A68" s="2667"/>
      <c r="B68" s="813"/>
      <c r="D68" s="1046" t="s">
        <v>298</v>
      </c>
      <c r="E68" s="1275" t="s">
        <v>1928</v>
      </c>
      <c r="F68" s="962" t="s">
        <v>1896</v>
      </c>
      <c r="G68" s="1030"/>
      <c r="H68" s="821"/>
      <c r="I68" s="1030"/>
      <c r="J68" s="821"/>
      <c r="K68" s="564"/>
    </row>
    <row s="10656" customFormat="1" customHeight="1" ht="22.5" hidden="1">
      <c r="A69" s="2667"/>
      <c r="B69" s="813"/>
      <c r="D69" s="1046" t="s">
        <v>301</v>
      </c>
      <c r="E69" s="1275" t="s">
        <v>1929</v>
      </c>
      <c r="F69" s="1024" t="s">
        <v>1619</v>
      </c>
      <c r="G69" s="1045"/>
      <c r="H69" s="821"/>
      <c r="I69" s="1045"/>
      <c r="J69" s="821"/>
      <c r="K69" s="564"/>
    </row>
    <row s="10656" customFormat="1" customHeight="1" ht="22.5" hidden="1">
      <c r="A70" s="2667"/>
      <c r="B70" s="813"/>
      <c r="D70" s="1046" t="s">
        <v>513</v>
      </c>
      <c r="E70" s="1275" t="s">
        <v>1930</v>
      </c>
      <c r="F70" s="1024" t="s">
        <v>1619</v>
      </c>
      <c r="G70" s="1045"/>
      <c r="H70" s="821"/>
      <c r="I70" s="1045"/>
      <c r="J70" s="821"/>
      <c r="K70" s="564"/>
    </row>
    <row s="10656" customFormat="1" customHeight="1" ht="22.5" hidden="1">
      <c r="A71" s="2667"/>
      <c r="B71" s="813"/>
      <c r="D71" s="967" t="s">
        <v>90</v>
      </c>
      <c r="E71" s="968" t="s">
        <v>1931</v>
      </c>
      <c r="F71" s="962" t="s">
        <v>1896</v>
      </c>
      <c r="G71" s="859"/>
      <c r="H71" s="1353"/>
      <c r="I71" s="859"/>
      <c r="J71" s="1353"/>
      <c r="K71" s="577"/>
    </row>
    <row s="10656" customFormat="1" customHeight="1" ht="56.25" hidden="1">
      <c r="A72" s="2667"/>
      <c r="B72" s="813"/>
      <c r="D72" s="967" t="s">
        <v>91</v>
      </c>
      <c r="E72" s="968" t="s">
        <v>1932</v>
      </c>
      <c r="F72" s="1024" t="s">
        <v>1619</v>
      </c>
      <c r="G72" s="1045"/>
      <c r="H72" s="1346"/>
      <c r="I72" s="1045"/>
      <c r="J72" s="1346"/>
      <c r="K72" s="577"/>
    </row>
    <row s="10656" customFormat="1" customHeight="1" ht="33.75" hidden="1">
      <c r="A73" s="2667"/>
      <c r="B73" s="813"/>
      <c r="D73" s="967" t="s">
        <v>110</v>
      </c>
      <c r="E73" s="968" t="s">
        <v>1933</v>
      </c>
      <c r="F73" s="1029" t="s">
        <v>1614</v>
      </c>
      <c r="G73" s="970"/>
      <c r="H73" s="1346"/>
      <c r="I73" s="970"/>
      <c r="J73" s="1346"/>
      <c r="K73" s="564"/>
    </row>
    <row s="10656" customFormat="1" customHeight="1" ht="22.5" hidden="1">
      <c r="A74" s="2667"/>
      <c r="B74" s="813" t="s">
        <v>1753</v>
      </c>
      <c r="D74" s="967" t="s">
        <v>92</v>
      </c>
      <c r="E74" s="968" t="s">
        <v>1934</v>
      </c>
      <c r="F74" s="1029" t="s">
        <v>297</v>
      </c>
      <c r="G74" s="678"/>
      <c r="H74" s="1346"/>
      <c r="I74" s="678"/>
      <c r="J74" s="1346"/>
      <c r="K74" s="564" t="s">
        <v>712</v>
      </c>
    </row>
    <row s="10656" customFormat="1" customHeight="1" ht="45" hidden="1">
      <c r="A75" s="2667"/>
      <c r="B75" s="813" t="s">
        <v>1753</v>
      </c>
      <c r="D75" s="967" t="s">
        <v>517</v>
      </c>
      <c r="E75" s="969" t="s">
        <v>1935</v>
      </c>
      <c r="F75" s="1024" t="s">
        <v>297</v>
      </c>
      <c r="G75" s="678"/>
      <c r="H75" s="1346"/>
      <c r="I75" s="678"/>
      <c r="J75" s="1346"/>
      <c r="K75" s="564" t="s">
        <v>712</v>
      </c>
    </row>
    <row s="12198" customFormat="1" customHeight="1" ht="11.25">
      <c r="A76" s="1356"/>
      <c r="B76" s="820"/>
      <c r="D76" s="1357"/>
      <c r="E76" s="1358"/>
    </row>
    <row s="10656" customFormat="1" customHeight="1" ht="11.25" hidden="1">
      <c r="A77" s="2667" t="s">
        <v>393</v>
      </c>
      <c r="B77" s="813"/>
      <c r="D77" s="967">
        <v>1</v>
      </c>
      <c r="E77" s="968" t="s">
        <v>1936</v>
      </c>
      <c r="F77" s="1024" t="s">
        <v>1602</v>
      </c>
      <c r="G77" s="1027"/>
      <c r="H77" s="1346"/>
      <c r="I77" s="1027"/>
      <c r="J77" s="1346"/>
      <c r="K77" s="564" t="s">
        <v>1937</v>
      </c>
    </row>
    <row s="10656" customFormat="1" customHeight="1" ht="11.25" hidden="1">
      <c r="A78" s="2667"/>
      <c r="B78" s="813"/>
      <c r="D78" s="967" t="s">
        <v>109</v>
      </c>
      <c r="E78" s="968" t="s">
        <v>1938</v>
      </c>
      <c r="F78" s="1024" t="s">
        <v>1602</v>
      </c>
      <c r="G78" s="1027"/>
      <c r="H78" s="1346"/>
      <c r="I78" s="1027"/>
      <c r="J78" s="1346"/>
      <c r="K78" s="564" t="s">
        <v>1939</v>
      </c>
    </row>
    <row s="10656" customFormat="1" customHeight="1" ht="22.5" hidden="1">
      <c r="A79" s="2667"/>
      <c r="B79" s="813"/>
      <c r="D79" s="967" t="s">
        <v>90</v>
      </c>
      <c r="E79" s="1025" t="s">
        <v>1940</v>
      </c>
      <c r="F79" s="962" t="s">
        <v>1893</v>
      </c>
      <c r="G79" s="1027"/>
      <c r="H79" s="1346"/>
      <c r="I79" s="1027"/>
      <c r="J79" s="1346"/>
      <c r="K79" s="564" t="s">
        <v>1941</v>
      </c>
    </row>
    <row s="10656" customFormat="1" customHeight="1" ht="11.25" hidden="1">
      <c r="A80" s="2667"/>
      <c r="B80" s="813"/>
      <c r="D80" s="967" t="s">
        <v>317</v>
      </c>
      <c r="E80" s="1026" t="s">
        <v>1942</v>
      </c>
      <c r="F80" s="962" t="s">
        <v>1893</v>
      </c>
      <c r="G80" s="1027"/>
      <c r="H80" s="1346"/>
      <c r="I80" s="1027"/>
      <c r="J80" s="1346"/>
      <c r="K80" s="564"/>
    </row>
    <row s="10656" customFormat="1" customHeight="1" ht="11.25" hidden="1">
      <c r="A81" s="2667"/>
      <c r="B81" s="813"/>
      <c r="D81" s="967" t="s">
        <v>325</v>
      </c>
      <c r="E81" s="1026" t="s">
        <v>1943</v>
      </c>
      <c r="F81" s="962" t="s">
        <v>1893</v>
      </c>
      <c r="G81" s="1027"/>
      <c r="H81" s="1346"/>
      <c r="I81" s="1027"/>
      <c r="J81" s="1346"/>
      <c r="K81" s="564"/>
    </row>
    <row s="10656" customFormat="1" customHeight="1" ht="11.25" hidden="1">
      <c r="A82" s="2667"/>
      <c r="B82" s="813"/>
      <c r="D82" s="967" t="s">
        <v>327</v>
      </c>
      <c r="E82" s="1026" t="s">
        <v>1944</v>
      </c>
      <c r="F82" s="962" t="s">
        <v>1893</v>
      </c>
      <c r="G82" s="1027"/>
      <c r="H82" s="1346"/>
      <c r="I82" s="1027"/>
      <c r="J82" s="1346"/>
      <c r="K82" s="564"/>
    </row>
    <row s="10656" customFormat="1" customHeight="1" ht="11.25" hidden="1">
      <c r="A83" s="2667"/>
      <c r="B83" s="813"/>
      <c r="D83" s="967" t="s">
        <v>329</v>
      </c>
      <c r="E83" s="1026" t="s">
        <v>1945</v>
      </c>
      <c r="F83" s="962" t="s">
        <v>1893</v>
      </c>
      <c r="G83" s="1027"/>
      <c r="H83" s="1346"/>
      <c r="I83" s="1027"/>
      <c r="J83" s="1346"/>
      <c r="K83" s="564"/>
    </row>
    <row s="10656" customFormat="1" customHeight="1" ht="11.25" hidden="1">
      <c r="A84" s="2667"/>
      <c r="B84" s="813"/>
      <c r="D84" s="967" t="s">
        <v>1946</v>
      </c>
      <c r="E84" s="1026" t="s">
        <v>1947</v>
      </c>
      <c r="F84" s="962" t="s">
        <v>1893</v>
      </c>
      <c r="G84" s="1027"/>
      <c r="H84" s="1346"/>
      <c r="I84" s="1027"/>
      <c r="J84" s="1346"/>
      <c r="K84" s="564"/>
    </row>
    <row s="10656" customFormat="1" customHeight="1" ht="11.25" hidden="1">
      <c r="A85" s="2667"/>
      <c r="B85" s="813"/>
      <c r="D85" s="967" t="s">
        <v>1948</v>
      </c>
      <c r="E85" s="1026" t="s">
        <v>1949</v>
      </c>
      <c r="F85" s="962" t="s">
        <v>1893</v>
      </c>
      <c r="G85" s="1027"/>
      <c r="H85" s="1346"/>
      <c r="I85" s="1027"/>
      <c r="J85" s="1346"/>
      <c r="K85" s="564"/>
    </row>
    <row s="10656" customFormat="1" customHeight="1" ht="11.25" hidden="1">
      <c r="A86" s="2667"/>
      <c r="B86" s="813"/>
      <c r="D86" s="967" t="s">
        <v>1950</v>
      </c>
      <c r="E86" s="1026" t="s">
        <v>1951</v>
      </c>
      <c r="F86" s="962" t="s">
        <v>1893</v>
      </c>
      <c r="G86" s="1027"/>
      <c r="H86" s="1346"/>
      <c r="I86" s="1027"/>
      <c r="J86" s="1346"/>
      <c r="K86" s="564"/>
    </row>
    <row s="10656" customFormat="1" customHeight="1" ht="45" hidden="1">
      <c r="A87" s="2667"/>
      <c r="B87" s="813"/>
      <c r="D87" s="967" t="s">
        <v>91</v>
      </c>
      <c r="E87" s="968" t="s">
        <v>1952</v>
      </c>
      <c r="F87" s="962" t="s">
        <v>1893</v>
      </c>
      <c r="G87" s="1027"/>
      <c r="H87" s="1346"/>
      <c r="I87" s="1027"/>
      <c r="J87" s="1346"/>
      <c r="K87" s="564" t="s">
        <v>1953</v>
      </c>
    </row>
    <row s="10656" customFormat="1" customHeight="1" ht="11.25" hidden="1">
      <c r="A88" s="2667"/>
      <c r="B88" s="813"/>
      <c r="D88" s="967" t="s">
        <v>612</v>
      </c>
      <c r="E88" s="1026" t="s">
        <v>1942</v>
      </c>
      <c r="F88" s="962" t="s">
        <v>1893</v>
      </c>
      <c r="G88" s="1027"/>
      <c r="H88" s="1346"/>
      <c r="I88" s="1027"/>
      <c r="J88" s="1346"/>
      <c r="K88" s="564"/>
    </row>
    <row s="10656" customFormat="1" customHeight="1" ht="11.25" hidden="1">
      <c r="A89" s="2667"/>
      <c r="B89" s="813"/>
      <c r="D89" s="967" t="s">
        <v>631</v>
      </c>
      <c r="E89" s="1026" t="s">
        <v>1943</v>
      </c>
      <c r="F89" s="962" t="s">
        <v>1893</v>
      </c>
      <c r="G89" s="1027"/>
      <c r="H89" s="1346"/>
      <c r="I89" s="1027"/>
      <c r="J89" s="1346"/>
      <c r="K89" s="564"/>
    </row>
    <row s="10656" customFormat="1" customHeight="1" ht="11.25" hidden="1">
      <c r="A90" s="2667"/>
      <c r="B90" s="813"/>
      <c r="D90" s="967" t="s">
        <v>1615</v>
      </c>
      <c r="E90" s="1026" t="s">
        <v>1944</v>
      </c>
      <c r="F90" s="962" t="s">
        <v>1893</v>
      </c>
      <c r="G90" s="1027"/>
      <c r="H90" s="1346"/>
      <c r="I90" s="1027"/>
      <c r="J90" s="1346"/>
      <c r="K90" s="564"/>
    </row>
    <row s="10656" customFormat="1" customHeight="1" ht="11.25" hidden="1">
      <c r="A91" s="2667"/>
      <c r="B91" s="813"/>
      <c r="D91" s="967" t="s">
        <v>1911</v>
      </c>
      <c r="E91" s="1026" t="s">
        <v>1945</v>
      </c>
      <c r="F91" s="962" t="s">
        <v>1893</v>
      </c>
      <c r="G91" s="1027"/>
      <c r="H91" s="1346"/>
      <c r="I91" s="1027"/>
      <c r="J91" s="1346"/>
      <c r="K91" s="564"/>
    </row>
    <row s="10656" customFormat="1" customHeight="1" ht="11.25" hidden="1">
      <c r="A92" s="2667"/>
      <c r="B92" s="813"/>
      <c r="D92" s="967" t="s">
        <v>1913</v>
      </c>
      <c r="E92" s="1026" t="s">
        <v>1947</v>
      </c>
      <c r="F92" s="962" t="s">
        <v>1893</v>
      </c>
      <c r="G92" s="1027"/>
      <c r="H92" s="1346"/>
      <c r="I92" s="1027"/>
      <c r="J92" s="1346"/>
      <c r="K92" s="564"/>
    </row>
    <row s="10656" customFormat="1" customHeight="1" ht="11.25" hidden="1">
      <c r="A93" s="2667"/>
      <c r="B93" s="813"/>
      <c r="D93" s="967" t="s">
        <v>1954</v>
      </c>
      <c r="E93" s="1026" t="s">
        <v>1949</v>
      </c>
      <c r="F93" s="962" t="s">
        <v>1893</v>
      </c>
      <c r="G93" s="1027"/>
      <c r="H93" s="1346"/>
      <c r="I93" s="1027"/>
      <c r="J93" s="1346"/>
      <c r="K93" s="564"/>
    </row>
    <row s="10656" customFormat="1" customHeight="1" ht="11.25" hidden="1">
      <c r="A94" s="2667"/>
      <c r="B94" s="813"/>
      <c r="D94" s="967" t="s">
        <v>1955</v>
      </c>
      <c r="E94" s="1026" t="s">
        <v>1951</v>
      </c>
      <c r="F94" s="962" t="s">
        <v>1893</v>
      </c>
      <c r="G94" s="1027"/>
      <c r="H94" s="1346"/>
      <c r="I94" s="1027"/>
      <c r="J94" s="1346"/>
      <c r="K94" s="564"/>
    </row>
    <row s="10656" customFormat="1" customHeight="1" ht="24.75" hidden="1">
      <c r="A95" s="2667"/>
      <c r="B95" s="813"/>
      <c r="D95" s="967" t="s">
        <v>110</v>
      </c>
      <c r="E95" s="968" t="s">
        <v>1956</v>
      </c>
      <c r="F95" s="1028" t="s">
        <v>1619</v>
      </c>
      <c r="G95" s="1030"/>
      <c r="H95" s="1346"/>
      <c r="I95" s="1030"/>
      <c r="J95" s="1346"/>
      <c r="K95" s="564" t="s">
        <v>1957</v>
      </c>
    </row>
    <row s="10656" customFormat="1" customHeight="1" ht="33.75" hidden="1">
      <c r="A96" s="2667"/>
      <c r="B96" s="813"/>
      <c r="D96" s="967" t="s">
        <v>92</v>
      </c>
      <c r="E96" s="968" t="s">
        <v>1958</v>
      </c>
      <c r="F96" s="1029" t="s">
        <v>1614</v>
      </c>
      <c r="G96" s="1031"/>
      <c r="H96" s="1346"/>
      <c r="I96" s="1031"/>
      <c r="J96" s="1346"/>
      <c r="K96" s="564"/>
    </row>
    <row s="10656" customFormat="1" customHeight="1" ht="22.5" hidden="1">
      <c r="A97" s="2667"/>
      <c r="B97" s="813" t="s">
        <v>1753</v>
      </c>
      <c r="D97" s="967" t="s">
        <v>93</v>
      </c>
      <c r="E97" s="968" t="s">
        <v>1959</v>
      </c>
      <c r="F97" s="1029" t="s">
        <v>297</v>
      </c>
      <c r="G97" s="681"/>
      <c r="H97" s="1346"/>
      <c r="I97" s="681"/>
      <c r="J97" s="1346"/>
      <c r="K97" s="564" t="s">
        <v>712</v>
      </c>
    </row>
    <row s="10656" customFormat="1" customHeight="1" ht="45" hidden="1">
      <c r="A98" s="2667"/>
      <c r="B98" s="813" t="s">
        <v>1753</v>
      </c>
      <c r="D98" s="967" t="s">
        <v>1674</v>
      </c>
      <c r="E98" s="969" t="s">
        <v>1960</v>
      </c>
      <c r="F98" s="1024" t="s">
        <v>297</v>
      </c>
      <c r="G98" s="681"/>
      <c r="H98" s="1346"/>
      <c r="I98" s="681"/>
      <c r="J98" s="1346"/>
      <c r="K98" s="564" t="s">
        <v>712</v>
      </c>
    </row>
    <row s="10656" customFormat="1" customHeight="1" ht="95.25" hidden="1">
      <c r="A99" s="2667"/>
      <c r="B99" s="813" t="s">
        <v>1753</v>
      </c>
      <c r="D99" s="967" t="s">
        <v>111</v>
      </c>
      <c r="E99" s="968" t="s">
        <v>1961</v>
      </c>
      <c r="F99" s="1024" t="s">
        <v>297</v>
      </c>
      <c r="G99" s="681"/>
      <c r="H99" s="1346"/>
      <c r="I99" s="681"/>
      <c r="J99" s="1346"/>
      <c r="K99" s="564" t="s">
        <v>712</v>
      </c>
    </row>
    <row s="10656" customFormat="1" customHeight="1" ht="22.5" hidden="1">
      <c r="A100" s="2667"/>
      <c r="B100" s="813" t="s">
        <v>1753</v>
      </c>
      <c r="D100" s="967" t="s">
        <v>148</v>
      </c>
      <c r="E100" s="968" t="s">
        <v>1962</v>
      </c>
      <c r="F100" s="1024" t="s">
        <v>297</v>
      </c>
      <c r="G100" s="681"/>
      <c r="H100" s="1346"/>
      <c r="I100" s="681"/>
      <c r="J100" s="1346"/>
      <c r="K100" s="564" t="s">
        <v>712</v>
      </c>
    </row>
    <row s="12198" customFormat="1" customHeight="1" ht="11.25">
      <c r="A101" s="1356"/>
      <c r="B101" s="820"/>
      <c r="D101" s="1357"/>
      <c r="E101" s="135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5C43-1DA9-8825-030C-2407BBAB0BB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670" width="6.7109375" hidden="1" customWidth="1"/>
    <col min="4" max="4" style="10657" width="6.7109375" hidden="1" customWidth="1"/>
    <col min="5" max="5" style="12198" width="3.7109375" customWidth="1"/>
    <col min="6" max="6" style="10656" width="6.28125" customWidth="1"/>
    <col min="7" max="7" style="10656" width="37.7109375" customWidth="1"/>
    <col min="8" max="8" style="11396" width="16.57421875" customWidth="1"/>
    <col min="9" max="10" style="10656" width="19.7109375" customWidth="1"/>
    <col min="11" max="11" style="10656" width="25.00390625" customWidth="1"/>
    <col min="12" max="13" style="10656" width="25.7109375" customWidth="1"/>
    <col min="14" max="16" style="10656" width="17.7109375" customWidth="1"/>
    <col min="17" max="24" style="10656" width="19.7109375" customWidth="1"/>
    <col min="25" max="25" style="10656" width="8.00390625" customWidth="1"/>
    <col min="26" max="26" style="10656" width="3.28125" customWidth="1"/>
    <col min="27" max="27" style="10656" width="6.28125" customWidth="1"/>
    <col min="28" max="28" style="10656" width="34.140625" customWidth="1"/>
    <col min="29" max="30" style="10656" width="9.140625"/>
  </cols>
  <sheetData>
    <row s="10657" customFormat="1" customHeight="1" ht="10.5" hidden="1">
      <c r="A1" s="1210"/>
      <c r="B1" s="1210"/>
      <c r="C1" s="1210"/>
      <c r="E1" s="839"/>
      <c r="H1" s="1486"/>
    </row>
    <row customHeight="1" ht="10.5" hidden="1"/>
    <row s="12642" customFormat="1" customHeight="1" ht="10.5" hidden="1">
      <c r="A3" s="1210"/>
      <c r="B3" s="1210"/>
      <c r="C3" s="1210"/>
      <c r="D3" s="718"/>
      <c r="E3" s="650"/>
      <c r="H3" s="1482"/>
    </row>
    <row customHeight="1" ht="3"/>
    <row customHeight="1" ht="30">
      <c r="F5" s="2689" t="s">
        <v>1963</v>
      </c>
      <c r="G5" s="2689"/>
      <c r="H5" s="2689"/>
      <c r="I5" s="2689"/>
      <c r="J5" s="2689"/>
      <c r="K5" s="2689"/>
      <c r="M5" s="884"/>
      <c r="AB5" s="1226"/>
    </row>
    <row s="11422" customFormat="1" customHeight="1" ht="15.75">
      <c r="A6" s="1492"/>
      <c r="B6" s="1492"/>
      <c r="C6" s="1492"/>
      <c r="D6" s="1486"/>
      <c r="E6" s="2013"/>
      <c r="F6" s="26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80"/>
      <c r="H6" s="2680"/>
      <c r="I6" s="2680"/>
      <c r="J6" s="2680"/>
      <c r="K6" s="2680"/>
      <c r="M6" s="884"/>
      <c r="AB6" s="1474"/>
    </row>
    <row r="8" customHeight="1" ht="10.5">
      <c r="A8" s="1375"/>
      <c r="B8" s="1375"/>
      <c r="C8" s="1375"/>
      <c r="F8" s="2201" t="s">
        <v>291</v>
      </c>
      <c r="G8" s="2202"/>
      <c r="H8" s="2202"/>
      <c r="I8" s="2202"/>
      <c r="J8" s="2202"/>
      <c r="K8" s="2202"/>
      <c r="L8" s="2202"/>
      <c r="M8" s="2202"/>
      <c r="N8" s="2202"/>
      <c r="O8" s="2202"/>
      <c r="P8" s="2202"/>
      <c r="Q8" s="2202"/>
      <c r="R8" s="2202"/>
      <c r="S8" s="2202"/>
      <c r="T8" s="2202"/>
      <c r="U8" s="2202"/>
      <c r="V8" s="2202"/>
      <c r="W8" s="2202"/>
      <c r="X8" s="2202"/>
      <c r="Y8" s="2202"/>
      <c r="Z8" s="2202"/>
      <c r="AA8" s="2202"/>
      <c r="AB8" s="2203"/>
    </row>
    <row customHeight="1" ht="41.25">
      <c r="A9" s="1225"/>
      <c r="B9" s="1225"/>
      <c r="C9" s="1225"/>
      <c r="F9" s="2342" t="s">
        <v>88</v>
      </c>
      <c r="G9" s="2342" t="s">
        <v>1964</v>
      </c>
      <c r="H9" s="2359" t="s">
        <v>1965</v>
      </c>
      <c r="I9" s="2342" t="s">
        <v>1966</v>
      </c>
      <c r="J9" s="2342" t="s">
        <v>1967</v>
      </c>
      <c r="K9" s="2342" t="s">
        <v>1968</v>
      </c>
      <c r="L9" s="2342" t="s">
        <v>1969</v>
      </c>
      <c r="M9" s="2342" t="s">
        <v>1970</v>
      </c>
      <c r="N9" s="2690" t="s">
        <v>1971</v>
      </c>
      <c r="O9" s="2690"/>
      <c r="P9" s="2690"/>
      <c r="Q9" s="2681" t="s">
        <v>1972</v>
      </c>
      <c r="R9" s="2682"/>
      <c r="S9" s="2682"/>
      <c r="T9" s="2683"/>
      <c r="U9" s="2681" t="s">
        <v>1973</v>
      </c>
      <c r="V9" s="2682"/>
      <c r="W9" s="2682"/>
      <c r="X9" s="2683"/>
      <c r="Y9" s="2201" t="s">
        <v>1974</v>
      </c>
      <c r="Z9" s="2202"/>
      <c r="AA9" s="2202"/>
      <c r="AB9" s="2203"/>
    </row>
    <row customHeight="1" ht="41.25">
      <c r="A10" s="1225"/>
      <c r="B10" s="1225"/>
      <c r="C10" s="1225"/>
      <c r="F10" s="2359"/>
      <c r="G10" s="2359"/>
      <c r="H10" s="2360"/>
      <c r="I10" s="2359"/>
      <c r="J10" s="2359"/>
      <c r="K10" s="2359"/>
      <c r="L10" s="2359"/>
      <c r="M10" s="2359"/>
      <c r="N10" s="1223" t="s">
        <v>1975</v>
      </c>
      <c r="O10" s="1223" t="s">
        <v>1976</v>
      </c>
      <c r="P10" s="1224" t="s">
        <v>1977</v>
      </c>
      <c r="Q10" s="1235" t="s">
        <v>89</v>
      </c>
      <c r="R10" s="1235" t="s">
        <v>1978</v>
      </c>
      <c r="S10" s="1235" t="s">
        <v>1979</v>
      </c>
      <c r="T10" s="1236" t="s">
        <v>1980</v>
      </c>
      <c r="U10" s="1235" t="s">
        <v>89</v>
      </c>
      <c r="V10" s="1235" t="s">
        <v>1981</v>
      </c>
      <c r="W10" s="1235" t="s">
        <v>1979</v>
      </c>
      <c r="X10" s="1236" t="s">
        <v>1980</v>
      </c>
      <c r="Y10" s="576" t="s">
        <v>1982</v>
      </c>
      <c r="Z10" s="2201" t="s">
        <v>88</v>
      </c>
      <c r="AA10" s="2203"/>
      <c r="AB10" s="1373" t="s">
        <v>1983</v>
      </c>
    </row>
    <row s="11901" customFormat="1" customHeight="1" ht="5.25" hidden="1">
      <c r="A11" s="1376"/>
      <c r="B11" s="1376"/>
      <c r="C11" s="1376"/>
      <c r="E11" s="1374"/>
      <c r="F11" s="2691" t="s">
        <v>369</v>
      </c>
      <c r="G11" s="2685"/>
      <c r="H11" s="2684"/>
      <c r="I11" s="2684"/>
      <c r="J11" s="2684"/>
      <c r="K11" s="2686"/>
      <c r="L11" s="2692"/>
      <c r="M11" s="2692"/>
      <c r="N11" s="2684"/>
      <c r="O11" s="2684"/>
      <c r="P11" s="2534"/>
      <c r="Q11" s="2449"/>
      <c r="R11" s="2449"/>
      <c r="S11" s="2449"/>
      <c r="T11" s="2684"/>
      <c r="U11" s="2449"/>
      <c r="V11" s="2449"/>
      <c r="W11" s="2449"/>
      <c r="X11" s="2684"/>
      <c r="Y11" s="2687"/>
      <c r="Z11" s="2687"/>
      <c r="AA11" s="2687"/>
      <c r="AB11" s="2687"/>
      <c r="AD11" s="813" t="s">
        <v>1984</v>
      </c>
    </row>
    <row s="11901" customFormat="1" customHeight="1" ht="5.25" hidden="1">
      <c r="A12" s="1211"/>
      <c r="B12" s="1211"/>
      <c r="C12" s="1211"/>
      <c r="E12" s="820"/>
      <c r="F12" s="2691"/>
      <c r="G12" s="2685"/>
      <c r="H12" s="2684"/>
      <c r="I12" s="2684"/>
      <c r="J12" s="2684"/>
      <c r="K12" s="2686"/>
      <c r="L12" s="2692"/>
      <c r="M12" s="2692"/>
      <c r="N12" s="2684"/>
      <c r="O12" s="2684"/>
      <c r="P12" s="2534"/>
      <c r="Q12" s="2449"/>
      <c r="R12" s="2449"/>
      <c r="S12" s="2449"/>
      <c r="T12" s="2684"/>
      <c r="U12" s="2449"/>
      <c r="V12" s="2449"/>
      <c r="W12" s="2449"/>
      <c r="X12" s="2684"/>
      <c r="Y12" s="2688"/>
      <c r="Z12" s="2688"/>
      <c r="AA12" s="2688"/>
      <c r="AB12" s="2688"/>
    </row>
    <row customHeight="1" ht="10.5">
      <c r="F13" s="1222"/>
      <c r="G13" s="952" t="s">
        <v>1985</v>
      </c>
      <c r="H13" s="1494"/>
      <c r="I13" s="874"/>
      <c r="J13" s="874"/>
      <c r="K13" s="874"/>
      <c r="L13" s="874"/>
      <c r="M13" s="874"/>
      <c r="N13" s="874"/>
      <c r="O13" s="874"/>
      <c r="P13" s="874"/>
      <c r="Q13" s="874"/>
      <c r="R13" s="874"/>
      <c r="S13" s="874"/>
      <c r="T13" s="874"/>
      <c r="U13" s="874"/>
      <c r="V13" s="874"/>
      <c r="W13" s="874"/>
      <c r="X13" s="874"/>
      <c r="Y13" s="874"/>
      <c r="Z13" s="998"/>
      <c r="AA13" s="998"/>
      <c r="AB13" s="1237"/>
    </row>
    <row r="15" s="11901"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33001-DDDA-697C-6C54-9ABD7A8A4BE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670" width="4.140625" hidden="1" customWidth="1"/>
    <col min="4" max="4" style="10657" width="4.140625" hidden="1" customWidth="1"/>
    <col min="5" max="5" style="12198" width="3.7109375" customWidth="1"/>
    <col min="6" max="6" style="10656" width="14.421875" customWidth="1"/>
    <col min="7" max="7" style="10656" width="3.7109375" customWidth="1"/>
    <col min="8" max="8" style="11396" width="7.7109375" customWidth="1"/>
    <col min="9" max="10" style="10656" width="16.7109375" customWidth="1"/>
    <col min="11" max="11" style="10656" width="25.7109375" customWidth="1"/>
    <col min="12" max="12" style="12703" width="8.00390625" customWidth="1"/>
    <col min="13" max="13" style="12703" width="15.57421875" customWidth="1"/>
    <col min="14" max="14" style="10656" width="3.28125" customWidth="1"/>
    <col min="15" max="15" style="10656" width="4.7109375" customWidth="1"/>
    <col min="16" max="16" style="10656" width="9.00390625" customWidth="1"/>
    <col min="17" max="17" style="10656" width="21.7109375" customWidth="1"/>
    <col min="18" max="18" style="10656" width="14.7109375" customWidth="1"/>
    <col min="19" max="20" style="10656" width="17.7109375" customWidth="1"/>
    <col min="21" max="21" style="10656" width="9.7109375" customWidth="1"/>
    <col min="22" max="22" style="10656" width="12.7109375" customWidth="1"/>
    <col min="23" max="23" style="10656" width="9.7109375" customWidth="1"/>
    <col min="24" max="24" style="10656" width="21.7109375" customWidth="1"/>
    <col min="25" max="25" style="10656" width="12.7109375" customWidth="1"/>
    <col min="26" max="26" style="10656" width="3.28125" customWidth="1"/>
    <col min="27" max="27" style="10656" width="7.140625" customWidth="1"/>
    <col min="28" max="28" style="10656" width="38.421875" customWidth="1"/>
    <col min="29" max="29" style="10656" width="15.7109375" customWidth="1"/>
    <col min="30" max="30" style="12703" width="37.57421875" customWidth="1"/>
    <col min="31" max="31" style="10656" width="15.7109375" customWidth="1"/>
    <col min="32" max="33" style="10656" width="16.7109375" customWidth="1"/>
    <col min="34" max="34" style="12724" width="16.7109375" customWidth="1"/>
    <col min="35" max="35" style="12725" width="16.7109375" customWidth="1"/>
    <col min="36" max="37" style="10656" width="16.7109375" customWidth="1"/>
    <col min="38" max="58" style="10656" width="9.140625"/>
  </cols>
  <sheetData>
    <row s="10657" customFormat="1" customHeight="1" ht="10.5" hidden="1">
      <c r="A1" s="1210"/>
      <c r="B1" s="1210"/>
      <c r="C1" s="1210"/>
      <c r="E1" s="839"/>
      <c r="H1" s="1486"/>
      <c r="L1" s="1454"/>
      <c r="M1" s="1454"/>
      <c r="AD1" s="1454"/>
      <c r="AH1" s="1473"/>
      <c r="AI1" s="1466"/>
    </row>
    <row customHeight="1" ht="10.5" hidden="1"/>
    <row s="12642" customFormat="1" customHeight="1" ht="10.5" hidden="1">
      <c r="A3" s="1210"/>
      <c r="B3" s="1210"/>
      <c r="C3" s="1210"/>
      <c r="D3" s="718"/>
      <c r="E3" s="650"/>
      <c r="H3" s="1482"/>
      <c r="L3" s="1452"/>
      <c r="M3" s="1452"/>
      <c r="AD3" s="1452"/>
      <c r="AH3" s="1471"/>
      <c r="AI3" s="1464"/>
    </row>
    <row customHeight="1" ht="3"/>
    <row customHeight="1" ht="30">
      <c r="F5" s="2689" t="s">
        <v>1963</v>
      </c>
      <c r="G5" s="2689"/>
      <c r="H5" s="2689"/>
      <c r="I5" s="2689"/>
      <c r="J5" s="2689"/>
      <c r="K5" s="2689"/>
      <c r="L5" s="1461"/>
      <c r="M5" s="1461"/>
      <c r="AG5" s="1226"/>
      <c r="AH5" s="1474"/>
    </row>
    <row customHeight="1" ht="10.5">
      <c r="F6" s="270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01"/>
      <c r="H6" s="2701"/>
      <c r="I6" s="2701"/>
      <c r="J6" s="2701"/>
      <c r="K6" s="2701"/>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2" t="s">
        <v>291</v>
      </c>
      <c r="G8" s="2703"/>
      <c r="H8" s="2703"/>
      <c r="I8" s="2703"/>
      <c r="J8" s="2703"/>
      <c r="K8" s="2703"/>
      <c r="L8" s="2703"/>
      <c r="M8" s="2703"/>
      <c r="N8" s="2703"/>
      <c r="O8" s="2703"/>
      <c r="P8" s="2703"/>
      <c r="Q8" s="2703"/>
      <c r="R8" s="2703"/>
      <c r="S8" s="2703"/>
      <c r="T8" s="2703"/>
      <c r="U8" s="2703"/>
      <c r="V8" s="2703"/>
      <c r="W8" s="2703"/>
      <c r="X8" s="2703"/>
      <c r="Y8" s="2703"/>
      <c r="Z8" s="2703"/>
      <c r="AA8" s="2703"/>
      <c r="AB8" s="2703"/>
      <c r="AC8" s="2703"/>
      <c r="AD8" s="2703"/>
      <c r="AE8" s="2703"/>
      <c r="AF8" s="2703"/>
      <c r="AG8" s="2703"/>
      <c r="AH8" s="2703"/>
      <c r="AI8" s="2703"/>
      <c r="AJ8" s="2703"/>
      <c r="AK8" s="2704"/>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4" t="s">
        <v>1986</v>
      </c>
      <c r="G9" s="2695" t="s">
        <v>1987</v>
      </c>
      <c r="H9" s="2696"/>
      <c r="I9" s="2342" t="s">
        <v>1988</v>
      </c>
      <c r="J9" s="2342"/>
      <c r="K9" s="2342" t="s">
        <v>1989</v>
      </c>
      <c r="L9" s="2342"/>
      <c r="M9" s="2342"/>
      <c r="N9" s="2342"/>
      <c r="O9" s="2342"/>
      <c r="P9" s="2342"/>
      <c r="Q9" s="2342"/>
      <c r="R9" s="2342"/>
      <c r="S9" s="2342"/>
      <c r="T9" s="2342"/>
      <c r="U9" s="2342"/>
      <c r="V9" s="2342"/>
      <c r="W9" s="2342"/>
      <c r="X9" s="2342"/>
      <c r="Y9" s="2342"/>
      <c r="Z9" s="2355" t="s">
        <v>1990</v>
      </c>
      <c r="AA9" s="2356"/>
      <c r="AB9" s="2342" t="s">
        <v>1991</v>
      </c>
      <c r="AC9" s="2342"/>
      <c r="AD9" s="2342"/>
      <c r="AE9" s="2342"/>
      <c r="AF9" s="2672" t="s">
        <v>1992</v>
      </c>
      <c r="AG9" s="2707" t="s">
        <v>1993</v>
      </c>
      <c r="AH9" s="2707"/>
      <c r="AI9" s="2672" t="s">
        <v>1994</v>
      </c>
      <c r="AJ9" s="2707" t="s">
        <v>1995</v>
      </c>
      <c r="AK9" s="2707"/>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4"/>
      <c r="G10" s="2697"/>
      <c r="H10" s="2698"/>
      <c r="I10" s="2342"/>
      <c r="J10" s="2342"/>
      <c r="K10" s="2342" t="s">
        <v>1996</v>
      </c>
      <c r="L10" s="2201" t="s">
        <v>1997</v>
      </c>
      <c r="M10" s="2203"/>
      <c r="N10" s="2342" t="s">
        <v>1998</v>
      </c>
      <c r="O10" s="2342"/>
      <c r="P10" s="2342"/>
      <c r="Q10" s="2342"/>
      <c r="R10" s="2342"/>
      <c r="S10" s="2342"/>
      <c r="T10" s="2342"/>
      <c r="U10" s="2342"/>
      <c r="V10" s="2342"/>
      <c r="W10" s="2342"/>
      <c r="X10" s="2342"/>
      <c r="Y10" s="2342"/>
      <c r="Z10" s="2706"/>
      <c r="AA10" s="2618"/>
      <c r="AB10" s="2342"/>
      <c r="AC10" s="2342"/>
      <c r="AD10" s="2342"/>
      <c r="AE10" s="2342"/>
      <c r="AF10" s="2673"/>
      <c r="AG10" s="2707"/>
      <c r="AH10" s="2707"/>
      <c r="AI10" s="2673"/>
      <c r="AJ10" s="2707"/>
      <c r="AK10" s="2707"/>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703" customFormat="1" customHeight="1" ht="23.25">
      <c r="A11" s="1455"/>
      <c r="B11" s="1455"/>
      <c r="C11" s="1455"/>
      <c r="D11" s="1454"/>
      <c r="E11" s="1456"/>
      <c r="F11" s="2694"/>
      <c r="G11" s="2697"/>
      <c r="H11" s="2698"/>
      <c r="I11" s="2342"/>
      <c r="J11" s="2342"/>
      <c r="K11" s="2342"/>
      <c r="L11" s="2359" t="s">
        <v>1999</v>
      </c>
      <c r="M11" s="2359" t="s">
        <v>2000</v>
      </c>
      <c r="N11" s="2342" t="s">
        <v>2001</v>
      </c>
      <c r="O11" s="2342"/>
      <c r="P11" s="2705" t="s">
        <v>1982</v>
      </c>
      <c r="Q11" s="2705" t="s">
        <v>2002</v>
      </c>
      <c r="R11" s="2705" t="s">
        <v>2003</v>
      </c>
      <c r="S11" s="2705" t="s">
        <v>2004</v>
      </c>
      <c r="T11" s="2705"/>
      <c r="U11" s="2705"/>
      <c r="V11" s="2705"/>
      <c r="W11" s="2705"/>
      <c r="X11" s="2705"/>
      <c r="Y11" s="2705"/>
      <c r="Z11" s="2706"/>
      <c r="AA11" s="2618"/>
      <c r="AB11" s="2342" t="s">
        <v>2005</v>
      </c>
      <c r="AC11" s="2342"/>
      <c r="AD11" s="2201" t="s">
        <v>2006</v>
      </c>
      <c r="AE11" s="2203"/>
      <c r="AF11" s="2673"/>
      <c r="AG11" s="2707"/>
      <c r="AH11" s="2707"/>
      <c r="AI11" s="2673"/>
      <c r="AJ11" s="2707"/>
      <c r="AK11" s="2707"/>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4"/>
      <c r="G12" s="2699"/>
      <c r="H12" s="2700"/>
      <c r="I12" s="1479" t="s">
        <v>89</v>
      </c>
      <c r="J12" s="1479" t="s">
        <v>2007</v>
      </c>
      <c r="K12" s="2342"/>
      <c r="L12" s="2360"/>
      <c r="M12" s="2360"/>
      <c r="N12" s="2342"/>
      <c r="O12" s="2342"/>
      <c r="P12" s="2705"/>
      <c r="Q12" s="2705"/>
      <c r="R12" s="2705"/>
      <c r="S12" s="1460" t="s">
        <v>86</v>
      </c>
      <c r="T12" s="1460" t="s">
        <v>87</v>
      </c>
      <c r="U12" s="1460" t="s">
        <v>85</v>
      </c>
      <c r="V12" s="1460" t="s">
        <v>2008</v>
      </c>
      <c r="W12" s="1460" t="s">
        <v>85</v>
      </c>
      <c r="X12" s="1460" t="s">
        <v>2009</v>
      </c>
      <c r="Y12" s="1460" t="s">
        <v>2010</v>
      </c>
      <c r="Z12" s="2357"/>
      <c r="AA12" s="2358"/>
      <c r="AB12" s="1467" t="s">
        <v>2011</v>
      </c>
      <c r="AC12" s="1467" t="s">
        <v>2012</v>
      </c>
      <c r="AD12" s="1467" t="s">
        <v>2011</v>
      </c>
      <c r="AE12" s="1467" t="s">
        <v>2012</v>
      </c>
      <c r="AF12" s="2674"/>
      <c r="AG12" s="1480" t="s">
        <v>2013</v>
      </c>
      <c r="AH12" s="1480" t="s">
        <v>2014</v>
      </c>
      <c r="AI12" s="2674"/>
      <c r="AJ12" s="1480" t="s">
        <v>2013</v>
      </c>
      <c r="AK12" s="1480" t="s">
        <v>2014</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2015</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3"/>
      <c r="G17" s="2693"/>
      <c r="H17" s="2693"/>
      <c r="I17" s="2693"/>
      <c r="J17" s="2693"/>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3"/>
      <c r="G18" s="2693"/>
      <c r="H18" s="2693"/>
      <c r="I18" s="2693"/>
      <c r="J18" s="2693"/>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3"/>
      <c r="G19" s="2693"/>
      <c r="H19" s="2693"/>
      <c r="I19" s="2693"/>
      <c r="J19" s="2693"/>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7F2C-CF6F-6B04-75CF-A79EB176764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753" width="4.140625" hidden="1" customWidth="1"/>
    <col min="4" max="4" style="11832" width="4.140625" hidden="1" customWidth="1"/>
    <col min="5" max="5" style="12198" width="3.7109375" customWidth="1"/>
    <col min="6" max="6" style="11396" width="6.28125" customWidth="1"/>
    <col min="7" max="7" style="11396" width="60.140625" customWidth="1"/>
    <col min="8" max="9" style="11396" width="21.7109375" hidden="1" customWidth="1"/>
    <col min="10" max="10" style="11396" width="0.140625" customWidth="1"/>
    <col min="11" max="11" style="11396" width="1.7109375" customWidth="1"/>
    <col min="12" max="22" style="11396" width="9.140625"/>
  </cols>
  <sheetData>
    <row s="11832" customFormat="1" customHeight="1" ht="10.5" hidden="1">
      <c r="A1" s="1492"/>
      <c r="B1" s="1492"/>
      <c r="C1" s="1492"/>
      <c r="E1" s="839"/>
    </row>
    <row customHeight="1" ht="10.5" hidden="1"/>
    <row s="12726" customFormat="1" customHeight="1" ht="10.5" hidden="1">
      <c r="A3" s="1492"/>
      <c r="B3" s="1492"/>
      <c r="C3" s="1492"/>
      <c r="D3" s="1486"/>
      <c r="E3" s="650"/>
    </row>
    <row customHeight="1" ht="3"/>
    <row customHeight="1" ht="30">
      <c r="F5" s="2689" t="s">
        <v>2016</v>
      </c>
      <c r="G5" s="2689"/>
      <c r="H5" s="2689"/>
      <c r="I5" s="2689"/>
      <c r="J5" s="2689"/>
    </row>
    <row customHeight="1" ht="10.5">
      <c r="F6" s="270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01"/>
      <c r="H6" s="2701"/>
      <c r="I6" s="2701"/>
      <c r="J6" s="2701"/>
    </row>
    <row customHeight="1" ht="11.25">
      <c r="E7" s="1496"/>
      <c r="F7" s="1570"/>
      <c r="G7" s="1570"/>
      <c r="H7" s="1570"/>
      <c r="I7" s="1570"/>
      <c r="J7" s="1570"/>
      <c r="K7" s="1483"/>
      <c r="L7" s="1483"/>
      <c r="M7" s="1483"/>
      <c r="N7" s="1483"/>
      <c r="O7" s="1483"/>
      <c r="P7" s="1483"/>
      <c r="Q7" s="1483"/>
      <c r="R7" s="1483"/>
      <c r="S7" s="1483"/>
      <c r="T7" s="1483"/>
      <c r="U7" s="1483"/>
      <c r="V7" s="1483"/>
    </row>
    <row s="11901"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08" t="s">
        <v>291</v>
      </c>
      <c r="G9" s="2709"/>
      <c r="H9" s="2709"/>
      <c r="I9" s="2709"/>
      <c r="J9" s="2709"/>
      <c r="K9" s="1583"/>
      <c r="L9" s="1483"/>
      <c r="M9" s="1483"/>
      <c r="N9" s="1483"/>
      <c r="O9" s="1483"/>
      <c r="P9" s="1483"/>
      <c r="Q9" s="1483"/>
      <c r="R9" s="1483"/>
      <c r="S9" s="1483"/>
      <c r="T9" s="1483"/>
      <c r="U9" s="1483"/>
      <c r="V9" s="1483"/>
    </row>
    <row customHeight="1" ht="24">
      <c r="E10" s="1483"/>
      <c r="F10" s="2712" t="s">
        <v>88</v>
      </c>
      <c r="G10" s="2717" t="s">
        <v>2017</v>
      </c>
      <c r="H10" s="2715" t="s">
        <v>2018</v>
      </c>
      <c r="I10" s="2715"/>
      <c r="J10" s="2715"/>
      <c r="K10" s="1576"/>
      <c r="L10" s="1483"/>
      <c r="M10" s="1483"/>
      <c r="N10" s="1483"/>
      <c r="O10" s="1483"/>
      <c r="P10" s="1483"/>
      <c r="Q10" s="1483"/>
      <c r="R10" s="1483"/>
      <c r="S10" s="1483"/>
      <c r="T10" s="1483"/>
      <c r="U10" s="1483"/>
      <c r="V10" s="1483"/>
    </row>
    <row customHeight="1" ht="24">
      <c r="E11" s="1483"/>
      <c r="F11" s="2713"/>
      <c r="G11" s="2717"/>
      <c r="H11" s="2716">
        <f>INDEX(IP_MAIN_LIST_NAME_IP,MATCH(H8,IP_MAIN_LIST_IP_ID,0))&amp;" ("&amp;INDEX(IP_MAIN_START_DATE,MATCH(H8,IP_MAIN_LIST_IP_ID,0))&amp;"-"&amp;INDEX(IP_MAIN_END_DATE,MATCH(H8,IP_MAIN_LIST_IP_ID,0))&amp;")"</f>
      </c>
      <c r="I11" s="2716"/>
      <c r="J11" s="2716"/>
      <c r="K11" s="1576"/>
      <c r="L11" s="1483"/>
      <c r="M11" s="1483"/>
      <c r="N11" s="1483"/>
      <c r="O11" s="1483"/>
      <c r="P11" s="1483"/>
      <c r="Q11" s="1483"/>
      <c r="R11" s="1483"/>
      <c r="S11" s="1483"/>
      <c r="T11" s="1483"/>
      <c r="U11" s="1483"/>
      <c r="V11" s="1483"/>
    </row>
    <row customHeight="1" ht="10.5">
      <c r="F12" s="2714"/>
      <c r="G12" s="2717"/>
      <c r="H12" s="1569" t="s">
        <v>2019</v>
      </c>
      <c r="I12" s="1575"/>
      <c r="J12" s="1569"/>
      <c r="K12" s="1577"/>
    </row>
    <row customHeight="1" ht="10.5" hidden="1">
      <c r="F13" s="1569">
        <v>1</v>
      </c>
      <c r="G13" s="1569">
        <v>2</v>
      </c>
      <c r="H13" s="1569">
        <v>3</v>
      </c>
      <c r="I13" s="1569">
        <v>4</v>
      </c>
      <c r="J13" s="1569">
        <v>5</v>
      </c>
      <c r="K13" s="1577"/>
    </row>
    <row customHeight="1" ht="11.25">
      <c r="F14" s="1568" t="s">
        <v>1221</v>
      </c>
      <c r="G14" s="2710" t="s">
        <v>2020</v>
      </c>
      <c r="H14" s="2710"/>
      <c r="I14" s="2710"/>
      <c r="J14" s="2710"/>
      <c r="K14" s="1577"/>
    </row>
    <row customHeight="1" ht="11.25">
      <c r="F15" s="1573">
        <v>1</v>
      </c>
      <c r="G15" s="992" t="s">
        <v>2021</v>
      </c>
      <c r="H15" s="1579">
        <f>SUM(I15:J15)</f>
        <v>0</v>
      </c>
      <c r="I15" s="1579">
        <f>SUM(I16:I27)</f>
        <v>0</v>
      </c>
      <c r="J15" s="1568"/>
      <c r="K15" s="1577"/>
    </row>
    <row customHeight="1" ht="22.5">
      <c r="F16" s="1573" t="s">
        <v>619</v>
      </c>
      <c r="G16" s="1580" t="s">
        <v>1174</v>
      </c>
      <c r="H16" s="1579">
        <f>SUM(I16:J16)</f>
        <v>0</v>
      </c>
      <c r="I16" s="1578"/>
      <c r="J16" s="1568"/>
      <c r="K16" s="1577"/>
    </row>
    <row customHeight="1" ht="22.5">
      <c r="F17" s="1573" t="s">
        <v>625</v>
      </c>
      <c r="G17" s="1580" t="s">
        <v>1179</v>
      </c>
      <c r="H17" s="1579">
        <f>SUM(I17:J17)</f>
        <v>0</v>
      </c>
      <c r="I17" s="1578"/>
      <c r="J17" s="1568"/>
      <c r="K17" s="1577"/>
    </row>
    <row customHeight="1" ht="33.75">
      <c r="F18" s="1573" t="s">
        <v>1450</v>
      </c>
      <c r="G18" s="1580" t="s">
        <v>1167</v>
      </c>
      <c r="H18" s="1579">
        <f>SUM(I18:J18)</f>
        <v>0</v>
      </c>
      <c r="I18" s="1578"/>
      <c r="J18" s="1568"/>
      <c r="K18" s="1577"/>
    </row>
    <row customHeight="1" ht="33.75">
      <c r="F19" s="1573" t="s">
        <v>2022</v>
      </c>
      <c r="G19" s="1580" t="s">
        <v>1205</v>
      </c>
      <c r="H19" s="1579">
        <f>SUM(I19:J19)</f>
        <v>0</v>
      </c>
      <c r="I19" s="1578"/>
      <c r="J19" s="1568"/>
      <c r="K19" s="1577"/>
    </row>
    <row customHeight="1" ht="45">
      <c r="F20" s="1573" t="s">
        <v>2023</v>
      </c>
      <c r="G20" s="1580" t="s">
        <v>1209</v>
      </c>
      <c r="H20" s="1579">
        <f>SUM(I20:J20)</f>
        <v>0</v>
      </c>
      <c r="I20" s="1578"/>
      <c r="J20" s="1568"/>
      <c r="K20" s="1577"/>
    </row>
    <row customHeight="1" ht="33.75">
      <c r="F21" s="1573" t="s">
        <v>2024</v>
      </c>
      <c r="G21" s="1580" t="s">
        <v>1214</v>
      </c>
      <c r="H21" s="1579">
        <f>SUM(I21:J21)</f>
        <v>0</v>
      </c>
      <c r="I21" s="1578"/>
      <c r="J21" s="1568"/>
      <c r="K21" s="1577"/>
    </row>
    <row customHeight="1" ht="33.75">
      <c r="F22" s="1573" t="s">
        <v>2025</v>
      </c>
      <c r="G22" s="1580" t="s">
        <v>1219</v>
      </c>
      <c r="H22" s="1579">
        <f>SUM(I22:J22)</f>
        <v>0</v>
      </c>
      <c r="I22" s="1578"/>
      <c r="J22" s="1568"/>
      <c r="K22" s="1577"/>
    </row>
    <row customHeight="1" ht="22.5">
      <c r="F23" s="1573" t="s">
        <v>2026</v>
      </c>
      <c r="G23" s="1580" t="s">
        <v>1223</v>
      </c>
      <c r="H23" s="1579">
        <f>SUM(I23:J23)</f>
        <v>0</v>
      </c>
      <c r="I23" s="1578"/>
      <c r="J23" s="1568"/>
      <c r="K23" s="1577"/>
    </row>
    <row customHeight="1" ht="22.5">
      <c r="F24" s="1573" t="s">
        <v>2027</v>
      </c>
      <c r="G24" s="1580" t="s">
        <v>1200</v>
      </c>
      <c r="H24" s="1579">
        <f>SUM(I24:J24)</f>
        <v>0</v>
      </c>
      <c r="I24" s="1578"/>
      <c r="J24" s="1568"/>
      <c r="K24" s="1577"/>
    </row>
    <row customHeight="1" ht="33.75">
      <c r="F25" s="1573" t="s">
        <v>2028</v>
      </c>
      <c r="G25" s="1580" t="s">
        <v>1259</v>
      </c>
      <c r="H25" s="1579">
        <f>SUM(I25:J25)</f>
        <v>0</v>
      </c>
      <c r="I25" s="1578"/>
      <c r="J25" s="1568"/>
      <c r="K25" s="1577"/>
    </row>
    <row customHeight="1" ht="33.75">
      <c r="F26" s="1573" t="s">
        <v>2029</v>
      </c>
      <c r="G26" s="1580" t="s">
        <v>1261</v>
      </c>
      <c r="H26" s="1579">
        <f>SUM(I26:J26)</f>
        <v>0</v>
      </c>
      <c r="I26" s="1578"/>
      <c r="J26" s="1568"/>
      <c r="K26" s="1577"/>
    </row>
    <row customHeight="1" ht="11.25">
      <c r="F27" s="1573" t="s">
        <v>2030</v>
      </c>
      <c r="G27" s="1580" t="s">
        <v>1178</v>
      </c>
      <c r="H27" s="1579">
        <f>SUM(I27:J27)</f>
        <v>0</v>
      </c>
      <c r="I27" s="1578"/>
      <c r="J27" s="1568"/>
      <c r="K27" s="1577"/>
    </row>
    <row customHeight="1" ht="11.25">
      <c r="F28" s="1573">
        <v>2</v>
      </c>
      <c r="G28" s="992" t="s">
        <v>2031</v>
      </c>
      <c r="H28" s="1579">
        <f>SUM(I28:J28)</f>
        <v>0</v>
      </c>
      <c r="I28" s="1579">
        <f>SUM(I29:I31)</f>
        <v>0</v>
      </c>
      <c r="J28" s="1568"/>
      <c r="K28" s="1577"/>
    </row>
    <row customHeight="1" ht="11.25">
      <c r="F29" s="1573" t="s">
        <v>504</v>
      </c>
      <c r="G29" s="1580" t="s">
        <v>2032</v>
      </c>
      <c r="H29" s="1579">
        <f>SUM(I29:J29)</f>
        <v>0</v>
      </c>
      <c r="I29" s="1578"/>
      <c r="J29" s="1568"/>
      <c r="K29" s="1577"/>
    </row>
    <row customHeight="1" ht="11.25">
      <c r="F30" s="1573" t="s">
        <v>298</v>
      </c>
      <c r="G30" s="1580" t="s">
        <v>1175</v>
      </c>
      <c r="H30" s="1579">
        <f>SUM(I30:J30)</f>
        <v>0</v>
      </c>
      <c r="I30" s="1578"/>
      <c r="J30" s="1568"/>
      <c r="K30" s="1577"/>
    </row>
    <row customHeight="1" ht="11.25">
      <c r="F31" s="1573" t="s">
        <v>301</v>
      </c>
      <c r="G31" s="1580" t="s">
        <v>1218</v>
      </c>
      <c r="H31" s="1579">
        <f>SUM(I31:J31)</f>
        <v>0</v>
      </c>
      <c r="I31" s="1578"/>
      <c r="J31" s="1568"/>
      <c r="K31" s="1577"/>
    </row>
    <row customHeight="1" ht="11.25">
      <c r="F32" s="1573">
        <v>3</v>
      </c>
      <c r="G32" s="992" t="s">
        <v>2033</v>
      </c>
      <c r="H32" s="1579">
        <f>SUM(I32:J32)</f>
        <v>0</v>
      </c>
      <c r="I32" s="1579">
        <f>SUM(I33:I34)</f>
        <v>0</v>
      </c>
      <c r="J32" s="1568"/>
      <c r="K32" s="1577"/>
    </row>
    <row customHeight="1" ht="33.75">
      <c r="F33" s="1573" t="s">
        <v>317</v>
      </c>
      <c r="G33" s="1580" t="s">
        <v>2034</v>
      </c>
      <c r="H33" s="1579">
        <f>SUM(I33:J33)</f>
        <v>0</v>
      </c>
      <c r="I33" s="1578"/>
      <c r="J33" s="1568"/>
      <c r="K33" s="1577"/>
    </row>
    <row customHeight="1" ht="11.25">
      <c r="F34" s="1573" t="s">
        <v>325</v>
      </c>
      <c r="G34" s="1580" t="s">
        <v>2035</v>
      </c>
      <c r="H34" s="1579">
        <f>SUM(I34:J34)</f>
        <v>0</v>
      </c>
      <c r="I34" s="1578"/>
      <c r="J34" s="1568"/>
      <c r="K34" s="1577"/>
    </row>
    <row customHeight="1" ht="11.25">
      <c r="F35" s="1573">
        <v>4</v>
      </c>
      <c r="G35" s="992" t="s">
        <v>2036</v>
      </c>
      <c r="H35" s="1579">
        <f>SUM(I35:J35)</f>
        <v>0</v>
      </c>
      <c r="I35" s="1578"/>
      <c r="J35" s="1568"/>
      <c r="K35" s="1577"/>
    </row>
    <row customHeight="1" ht="11.25">
      <c r="F36" s="1573"/>
      <c r="G36" s="995" t="s">
        <v>2037</v>
      </c>
      <c r="H36" s="1579">
        <f>SUM(I36:J36)</f>
        <v>0</v>
      </c>
      <c r="I36" s="1579">
        <f>SUM(I15,I28,I32,I35)</f>
        <v>0</v>
      </c>
      <c r="J36" s="1568"/>
      <c r="K36" s="1577"/>
    </row>
    <row customHeight="1" ht="27.75">
      <c r="F37" s="1574" t="s">
        <v>1350</v>
      </c>
      <c r="G37" s="2711" t="s">
        <v>2038</v>
      </c>
      <c r="H37" s="2711"/>
      <c r="I37" s="2711"/>
      <c r="J37" s="2711"/>
      <c r="K37" s="1577"/>
    </row>
    <row customHeight="1" ht="22.5">
      <c r="F38" s="1573" t="s">
        <v>99</v>
      </c>
      <c r="G38" s="992" t="s">
        <v>2039</v>
      </c>
      <c r="H38" s="1579">
        <f>SUM(I38:J38)</f>
        <v>0</v>
      </c>
      <c r="I38" s="1579">
        <f>SUM(I39,I44,I47)</f>
        <v>0</v>
      </c>
      <c r="J38" s="1568"/>
      <c r="K38" s="1577"/>
    </row>
    <row customHeight="1" ht="11.25">
      <c r="F39" s="1573" t="s">
        <v>619</v>
      </c>
      <c r="G39" s="1580" t="s">
        <v>2021</v>
      </c>
      <c r="H39" s="1579">
        <f>SUM(I39:J39)</f>
        <v>0</v>
      </c>
      <c r="I39" s="1579">
        <f>SUM(I40:I43)</f>
        <v>0</v>
      </c>
      <c r="J39" s="1568"/>
      <c r="K39" s="1577"/>
    </row>
    <row customHeight="1" ht="22.5">
      <c r="F40" s="1573" t="s">
        <v>1446</v>
      </c>
      <c r="G40" s="1581" t="s">
        <v>2040</v>
      </c>
      <c r="H40" s="1579">
        <f>SUM(I40:J40)</f>
        <v>0</v>
      </c>
      <c r="I40" s="1578"/>
      <c r="J40" s="1568"/>
      <c r="K40" s="1577"/>
    </row>
    <row customHeight="1" ht="11.25">
      <c r="F41" s="1573" t="s">
        <v>2041</v>
      </c>
      <c r="G41" s="1581" t="s">
        <v>1168</v>
      </c>
      <c r="H41" s="1579">
        <f>SUM(I41:J41)</f>
        <v>0</v>
      </c>
      <c r="I41" s="1578"/>
      <c r="J41" s="1568"/>
      <c r="K41" s="1577"/>
    </row>
    <row customHeight="1" ht="11.25">
      <c r="F42" s="1573" t="s">
        <v>2042</v>
      </c>
      <c r="G42" s="1581" t="s">
        <v>2043</v>
      </c>
      <c r="H42" s="1579">
        <f>SUM(I42:J42)</f>
        <v>0</v>
      </c>
      <c r="I42" s="1578"/>
      <c r="J42" s="1568"/>
      <c r="K42" s="1577"/>
    </row>
    <row customHeight="1" ht="33.75">
      <c r="F43" s="1573" t="s">
        <v>2044</v>
      </c>
      <c r="G43" s="1581" t="s">
        <v>2045</v>
      </c>
      <c r="H43" s="1579">
        <f>SUM(I43:J43)</f>
        <v>0</v>
      </c>
      <c r="I43" s="1578"/>
      <c r="J43" s="1568"/>
      <c r="K43" s="1577"/>
    </row>
    <row customHeight="1" ht="11.25">
      <c r="F44" s="1573" t="s">
        <v>625</v>
      </c>
      <c r="G44" s="1580" t="s">
        <v>2033</v>
      </c>
      <c r="H44" s="1579">
        <f>SUM(I44:J44)</f>
        <v>0</v>
      </c>
      <c r="I44" s="1579">
        <f>SUM(I45:I46)</f>
        <v>0</v>
      </c>
      <c r="J44" s="1568"/>
      <c r="K44" s="1577"/>
    </row>
    <row customHeight="1" ht="45">
      <c r="F45" s="1573" t="s">
        <v>1448</v>
      </c>
      <c r="G45" s="1581" t="s">
        <v>2034</v>
      </c>
      <c r="H45" s="1579">
        <f>SUM(I45:J45)</f>
        <v>0</v>
      </c>
      <c r="I45" s="1578"/>
      <c r="J45" s="1568"/>
      <c r="K45" s="1577"/>
    </row>
    <row customHeight="1" ht="11.25">
      <c r="F46" s="1573" t="s">
        <v>2046</v>
      </c>
      <c r="G46" s="1581" t="s">
        <v>2035</v>
      </c>
      <c r="H46" s="1579">
        <f>SUM(I46:J46)</f>
        <v>0</v>
      </c>
      <c r="I46" s="1578"/>
      <c r="J46" s="1568"/>
      <c r="K46" s="1577"/>
    </row>
    <row customHeight="1" ht="11.25">
      <c r="F47" s="1573" t="s">
        <v>1450</v>
      </c>
      <c r="G47" s="1580" t="s">
        <v>2047</v>
      </c>
      <c r="H47" s="1579">
        <f>SUM(I47:J47)</f>
        <v>0</v>
      </c>
      <c r="I47" s="1578"/>
      <c r="J47" s="1568"/>
      <c r="K47" s="1577"/>
    </row>
    <row customHeight="1" ht="22.5">
      <c r="F48" s="1573" t="s">
        <v>109</v>
      </c>
      <c r="G48" s="992" t="s">
        <v>2048</v>
      </c>
      <c r="H48" s="1579">
        <f>SUM(I48:J48)</f>
        <v>0</v>
      </c>
      <c r="I48" s="1579">
        <f>SUM(I49,I54,I57)</f>
        <v>0</v>
      </c>
      <c r="J48" s="1568"/>
      <c r="K48" s="1577"/>
    </row>
    <row customHeight="1" ht="11.25">
      <c r="F49" s="1573" t="s">
        <v>504</v>
      </c>
      <c r="G49" s="1580" t="s">
        <v>2021</v>
      </c>
      <c r="H49" s="1579">
        <f>SUM(I49:J49)</f>
        <v>0</v>
      </c>
      <c r="I49" s="1579">
        <f>SUM(I50:I53)</f>
        <v>0</v>
      </c>
      <c r="J49" s="1568"/>
      <c r="K49" s="1577"/>
    </row>
    <row customHeight="1" ht="22.5">
      <c r="F50" s="1573" t="s">
        <v>1458</v>
      </c>
      <c r="G50" s="1581" t="s">
        <v>2040</v>
      </c>
      <c r="H50" s="1579">
        <f>SUM(I50:J50)</f>
        <v>0</v>
      </c>
      <c r="I50" s="1578"/>
      <c r="J50" s="1568"/>
      <c r="K50" s="1577"/>
    </row>
    <row customHeight="1" ht="11.25">
      <c r="F51" s="1573" t="s">
        <v>1785</v>
      </c>
      <c r="G51" s="1581" t="s">
        <v>1168</v>
      </c>
      <c r="H51" s="1579">
        <f>SUM(I51:J51)</f>
        <v>0</v>
      </c>
      <c r="I51" s="1578"/>
      <c r="J51" s="1568"/>
      <c r="K51" s="1577"/>
    </row>
    <row customHeight="1" ht="11.25">
      <c r="F52" s="1573" t="s">
        <v>2049</v>
      </c>
      <c r="G52" s="1581" t="s">
        <v>2043</v>
      </c>
      <c r="H52" s="1579">
        <f>SUM(I52:J52)</f>
        <v>0</v>
      </c>
      <c r="I52" s="1578"/>
      <c r="J52" s="1568"/>
      <c r="K52" s="1577"/>
    </row>
    <row customHeight="1" ht="33.75">
      <c r="F53" s="1573" t="s">
        <v>2050</v>
      </c>
      <c r="G53" s="1581" t="s">
        <v>2045</v>
      </c>
      <c r="H53" s="1579">
        <f>SUM(I53:J53)</f>
        <v>0</v>
      </c>
      <c r="I53" s="1578"/>
      <c r="J53" s="1568"/>
      <c r="K53" s="1577"/>
    </row>
    <row customHeight="1" ht="11.25">
      <c r="F54" s="1573" t="s">
        <v>298</v>
      </c>
      <c r="G54" s="1580" t="s">
        <v>2033</v>
      </c>
      <c r="H54" s="1579">
        <f>SUM(I54:J54)</f>
        <v>0</v>
      </c>
      <c r="I54" s="1579">
        <f>SUM(I55:I56)</f>
        <v>0</v>
      </c>
      <c r="J54" s="1568"/>
      <c r="K54" s="1577"/>
    </row>
    <row customHeight="1" ht="45">
      <c r="F55" s="1573" t="s">
        <v>519</v>
      </c>
      <c r="G55" s="1581" t="s">
        <v>2034</v>
      </c>
      <c r="H55" s="1579">
        <f>SUM(I55:J55)</f>
        <v>0</v>
      </c>
      <c r="I55" s="1578"/>
      <c r="J55" s="1568"/>
      <c r="K55" s="1577"/>
    </row>
    <row customHeight="1" ht="11.25">
      <c r="F56" s="1573" t="s">
        <v>524</v>
      </c>
      <c r="G56" s="1581" t="s">
        <v>2035</v>
      </c>
      <c r="H56" s="1579">
        <f>SUM(I56:J56)</f>
        <v>0</v>
      </c>
      <c r="I56" s="1578"/>
      <c r="J56" s="1568"/>
      <c r="K56" s="1577"/>
    </row>
    <row customHeight="1" ht="11.25">
      <c r="F57" s="1573" t="s">
        <v>301</v>
      </c>
      <c r="G57" s="1580" t="s">
        <v>2047</v>
      </c>
      <c r="H57" s="1579">
        <f>SUM(I57:J57)</f>
        <v>0</v>
      </c>
      <c r="I57" s="1578"/>
      <c r="J57" s="1568"/>
      <c r="K57" s="1577"/>
    </row>
    <row customHeight="1" ht="11.25">
      <c r="F58" s="1573"/>
      <c r="G58" s="1582" t="s">
        <v>2037</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C178-47B9-0AF5-5298-43FA0B8360B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827" width="4.7109375" hidden="1" customWidth="1"/>
    <col min="2" max="2" style="12828" width="4.7109375" hidden="1" customWidth="1"/>
    <col min="3" max="4" style="12827" width="4.7109375" hidden="1" customWidth="1"/>
    <col min="5" max="5" style="12827" width="3.57421875" customWidth="1"/>
    <col min="6" max="6" style="12827" width="6.7109375" customWidth="1"/>
    <col min="7" max="7" style="12827" width="18.7109375" customWidth="1"/>
    <col min="8" max="8" style="12827" width="27.28125" customWidth="1"/>
    <col min="9" max="9" style="12827" width="18.7109375" customWidth="1"/>
    <col min="10" max="14" style="12827" width="0.8515625" hidden="1" customWidth="1"/>
    <col min="15" max="28" style="12827" width="21.7109375" customWidth="1"/>
    <col min="29" max="71" style="12827" width="0.8515625" customWidth="1"/>
    <col min="72" max="79" style="12827" width="21.7109375" hidden="1" customWidth="1"/>
    <col min="80" max="81" style="12827" width="29.140625" hidden="1" customWidth="1"/>
    <col min="82" max="89" style="12827" width="21.7109375" hidden="1" customWidth="1"/>
    <col min="90" max="102" style="12827" width="0.7109375" hidden="1" customWidth="1"/>
    <col min="103" max="114" style="12827" width="21.7109375" hidden="1" customWidth="1"/>
    <col min="115" max="178" style="12827" width="0.7109375" hidden="1" customWidth="1"/>
    <col min="179" max="179" style="12827" width="0.140625" customWidth="1"/>
    <col min="180" max="184" style="12827" width="9.140625"/>
  </cols>
  <sheetData>
    <row s="11495" customFormat="1" customHeight="1" ht="12" hidden="1">
      <c r="B1" s="1243"/>
      <c r="C1" s="1244"/>
      <c r="D1" s="1244"/>
    </row>
    <row s="11495"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495"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2759" customFormat="1" customHeight="1" ht="24">
      <c r="B5" s="1264"/>
      <c r="E5" s="1266"/>
      <c r="F5" s="272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22"/>
      <c r="H5" s="2722"/>
      <c r="I5" s="2722"/>
      <c r="J5" s="2722"/>
      <c r="K5" s="2722"/>
      <c r="L5" s="2722"/>
      <c r="M5" s="2722"/>
      <c r="N5" s="2722"/>
      <c r="O5" s="2722"/>
      <c r="P5" s="2722"/>
      <c r="Q5" s="2722"/>
      <c r="R5" s="2722"/>
      <c r="S5" s="2722"/>
      <c r="T5" s="2722"/>
      <c r="U5" s="2722"/>
      <c r="V5" s="2722"/>
      <c r="W5" s="2722"/>
      <c r="X5" s="2722"/>
      <c r="Y5" s="2722"/>
      <c r="Z5" s="2722"/>
      <c r="AA5" s="2722"/>
      <c r="AB5" s="2722"/>
      <c r="AC5" s="2722"/>
      <c r="AD5" s="2722"/>
      <c r="AE5" s="2722"/>
      <c r="AF5" s="2722"/>
      <c r="AG5" s="2722"/>
      <c r="AH5" s="2722"/>
      <c r="AI5" s="2722"/>
      <c r="AJ5" s="2722"/>
      <c r="AK5" s="2722"/>
      <c r="AL5" s="2722"/>
      <c r="AM5" s="2722"/>
      <c r="AN5" s="2722"/>
      <c r="AO5" s="2722"/>
      <c r="AP5" s="2722"/>
      <c r="AQ5" s="2722"/>
      <c r="AR5" s="2722"/>
      <c r="AS5" s="2722"/>
      <c r="AT5" s="2722"/>
      <c r="AU5" s="2722"/>
      <c r="AV5" s="2722"/>
      <c r="AW5" s="2722"/>
      <c r="AX5" s="2722"/>
      <c r="AY5" s="2722"/>
      <c r="AZ5" s="2722"/>
      <c r="BA5" s="2722"/>
      <c r="BB5" s="2722"/>
      <c r="BC5" s="2722"/>
      <c r="BD5" s="2722"/>
      <c r="BE5" s="2722"/>
      <c r="BF5" s="2722"/>
      <c r="BG5" s="2722"/>
      <c r="BH5" s="2722"/>
      <c r="BI5" s="2722"/>
      <c r="BJ5" s="2722"/>
      <c r="BK5" s="2722"/>
      <c r="BL5" s="2722"/>
      <c r="BM5" s="2722"/>
      <c r="BN5" s="2722"/>
      <c r="BO5" s="2722"/>
      <c r="BP5" s="2722"/>
      <c r="BQ5" s="2722"/>
      <c r="BR5" s="2722"/>
      <c r="BS5" s="2722"/>
    </row>
    <row s="12759" customFormat="1" customHeight="1" ht="18">
      <c r="B6" s="1264"/>
      <c r="E6" s="1266"/>
      <c r="F6" s="27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24"/>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24"/>
      <c r="AN6" s="2724"/>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row>
    <row s="12766"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2770" customFormat="1" customHeight="1" ht="11.25" hidden="1">
      <c r="B8" s="1254"/>
      <c r="F8" s="1381"/>
      <c r="G8" s="1067"/>
      <c r="H8" s="646"/>
      <c r="I8" s="646"/>
      <c r="J8" s="646"/>
      <c r="K8" s="646"/>
      <c r="L8" s="646"/>
      <c r="M8" s="1381"/>
      <c r="N8" s="1381"/>
      <c r="O8" s="2752" t="s">
        <v>2051</v>
      </c>
      <c r="P8" s="2753"/>
      <c r="Q8" s="2753"/>
      <c r="R8" s="2753"/>
      <c r="S8" s="2753"/>
      <c r="T8" s="2753"/>
      <c r="U8" s="2753"/>
      <c r="V8" s="2753"/>
      <c r="W8" s="2753"/>
      <c r="X8" s="2753"/>
      <c r="Y8" s="2753"/>
      <c r="Z8" s="2753"/>
      <c r="AA8" s="2753"/>
      <c r="AB8" s="2753"/>
      <c r="AC8" s="2753"/>
      <c r="AD8" s="2753"/>
      <c r="AE8" s="2753"/>
      <c r="AF8" s="2753"/>
      <c r="AG8" s="2753"/>
      <c r="AH8" s="2753"/>
      <c r="AI8" s="2753"/>
      <c r="AJ8" s="2753"/>
      <c r="AK8" s="2753"/>
      <c r="AL8" s="2753"/>
      <c r="AM8" s="2753"/>
      <c r="AN8" s="2753"/>
      <c r="AO8" s="2753"/>
      <c r="AP8" s="2753"/>
      <c r="AQ8" s="2753"/>
      <c r="AR8" s="2753"/>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c r="BP8" s="2753"/>
      <c r="BQ8" s="2753"/>
      <c r="BR8" s="2753"/>
      <c r="BS8" s="2754"/>
      <c r="BT8" s="2741"/>
      <c r="BU8" s="2742"/>
      <c r="BV8" s="2742"/>
      <c r="BW8" s="2742"/>
      <c r="BX8" s="2742"/>
      <c r="BY8" s="2742"/>
      <c r="BZ8" s="2742"/>
      <c r="CA8" s="2742"/>
      <c r="CB8" s="2742"/>
      <c r="CC8" s="2742"/>
      <c r="CD8" s="2742"/>
      <c r="CE8" s="2742"/>
      <c r="CF8" s="2742"/>
      <c r="CG8" s="2742"/>
      <c r="CH8" s="2742"/>
      <c r="CI8" s="2742"/>
      <c r="CJ8" s="2742"/>
      <c r="CK8" s="2742"/>
      <c r="CL8" s="2742"/>
      <c r="CM8" s="2742"/>
      <c r="CN8" s="2742"/>
      <c r="CO8" s="2742"/>
      <c r="CP8" s="2742"/>
      <c r="CQ8" s="2742"/>
      <c r="CR8" s="2742"/>
      <c r="CS8" s="2742"/>
      <c r="CT8" s="2742"/>
      <c r="CU8" s="2742"/>
      <c r="CV8" s="2742"/>
      <c r="CW8" s="2742"/>
      <c r="CX8" s="2743"/>
      <c r="CY8" s="2744"/>
      <c r="CZ8" s="2745"/>
      <c r="DA8" s="2745"/>
      <c r="DB8" s="2745"/>
      <c r="DC8" s="2745"/>
      <c r="DD8" s="2745"/>
      <c r="DE8" s="2745"/>
      <c r="DF8" s="2745"/>
      <c r="DG8" s="2745"/>
      <c r="DH8" s="2745"/>
      <c r="DI8" s="2745"/>
      <c r="DJ8" s="2745"/>
      <c r="DK8" s="2745"/>
      <c r="DL8" s="2745"/>
      <c r="DM8" s="2745"/>
      <c r="DN8" s="2745"/>
      <c r="DO8" s="2745"/>
      <c r="DP8" s="2745"/>
      <c r="DQ8" s="2745"/>
      <c r="DR8" s="2745"/>
      <c r="DS8" s="2745"/>
      <c r="DT8" s="2745"/>
      <c r="DU8" s="2745"/>
      <c r="DV8" s="2745"/>
      <c r="DW8" s="2745"/>
      <c r="DX8" s="2746"/>
      <c r="DY8" s="2747" t="s">
        <v>2052</v>
      </c>
      <c r="DZ8" s="2748"/>
      <c r="EA8" s="2748"/>
      <c r="EB8" s="2748"/>
      <c r="EC8" s="2748"/>
      <c r="ED8" s="2748"/>
      <c r="EE8" s="2748"/>
      <c r="EF8" s="2748"/>
      <c r="EG8" s="2748"/>
      <c r="EH8" s="2748"/>
      <c r="EI8" s="2748"/>
      <c r="EJ8" s="2748"/>
      <c r="EK8" s="2748"/>
      <c r="EL8" s="2748"/>
      <c r="EM8" s="2748"/>
      <c r="EN8" s="2748"/>
      <c r="EO8" s="2748"/>
      <c r="EP8" s="2748"/>
      <c r="EQ8" s="2748"/>
      <c r="ER8" s="2748"/>
      <c r="ES8" s="2748"/>
      <c r="ET8" s="2748"/>
      <c r="EU8" s="2748"/>
      <c r="EV8" s="2748"/>
      <c r="EW8" s="2748"/>
      <c r="EX8" s="2748"/>
      <c r="EY8" s="2748"/>
      <c r="EZ8" s="2748"/>
      <c r="FA8" s="2748"/>
      <c r="FB8" s="2748"/>
      <c r="FC8" s="2748"/>
      <c r="FD8" s="2748"/>
      <c r="FE8" s="2748"/>
      <c r="FF8" s="2748"/>
      <c r="FG8" s="2748"/>
      <c r="FH8" s="2748"/>
      <c r="FI8" s="2748"/>
      <c r="FJ8" s="2748"/>
      <c r="FK8" s="2748"/>
      <c r="FL8" s="2748"/>
      <c r="FM8" s="2748"/>
      <c r="FN8" s="2748"/>
      <c r="FO8" s="2748"/>
      <c r="FP8" s="2748"/>
      <c r="FQ8" s="2748"/>
      <c r="FR8" s="2748"/>
      <c r="FS8" s="2748"/>
      <c r="FT8" s="2748"/>
      <c r="FU8" s="2748"/>
      <c r="FV8" s="2748"/>
      <c r="FW8" s="2749"/>
      <c r="FX8" s="1381"/>
    </row>
    <row s="12770"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50"/>
      <c r="FX9" s="1381"/>
    </row>
    <row s="12770" customFormat="1" customHeight="1" ht="11.25">
      <c r="B10" s="1254"/>
      <c r="F10" s="2718" t="s">
        <v>291</v>
      </c>
      <c r="G10" s="2719"/>
      <c r="H10" s="2719"/>
      <c r="I10" s="2719"/>
      <c r="J10" s="2719"/>
      <c r="K10" s="2719"/>
      <c r="L10" s="2719"/>
      <c r="M10" s="2719"/>
      <c r="N10" s="2719"/>
      <c r="O10" s="2719"/>
      <c r="P10" s="2719"/>
      <c r="Q10" s="2719"/>
      <c r="R10" s="2719"/>
      <c r="S10" s="2719"/>
      <c r="T10" s="2719"/>
      <c r="U10" s="2719"/>
      <c r="V10" s="2719"/>
      <c r="W10" s="2719"/>
      <c r="X10" s="2719"/>
      <c r="Y10" s="2719"/>
      <c r="Z10" s="2719"/>
      <c r="AA10" s="2719"/>
      <c r="AB10" s="2719"/>
      <c r="AC10" s="2719"/>
      <c r="AD10" s="2719"/>
      <c r="AE10" s="2719"/>
      <c r="AF10" s="2719"/>
      <c r="AG10" s="2719"/>
      <c r="AH10" s="2719"/>
      <c r="AI10" s="2719"/>
      <c r="AJ10" s="2719"/>
      <c r="AK10" s="2719"/>
      <c r="AL10" s="2719"/>
      <c r="AM10" s="2719"/>
      <c r="AN10" s="2719"/>
      <c r="AO10" s="2719"/>
      <c r="AP10" s="2719"/>
      <c r="AQ10" s="2719"/>
      <c r="AR10" s="2719"/>
      <c r="AS10" s="2719"/>
      <c r="AT10" s="2719"/>
      <c r="AU10" s="2719"/>
      <c r="AV10" s="2719"/>
      <c r="AW10" s="2719"/>
      <c r="AX10" s="2719"/>
      <c r="AY10" s="2719"/>
      <c r="AZ10" s="2719"/>
      <c r="BA10" s="2719"/>
      <c r="BB10" s="2719"/>
      <c r="BC10" s="2719"/>
      <c r="BD10" s="2719"/>
      <c r="BE10" s="2719"/>
      <c r="BF10" s="2719"/>
      <c r="BG10" s="2719"/>
      <c r="BH10" s="2719"/>
      <c r="BI10" s="2719"/>
      <c r="BJ10" s="2719"/>
      <c r="BK10" s="2719"/>
      <c r="BL10" s="2719"/>
      <c r="BM10" s="2719"/>
      <c r="BN10" s="2719"/>
      <c r="BO10" s="2719"/>
      <c r="BP10" s="2719"/>
      <c r="BQ10" s="2719"/>
      <c r="BR10" s="2719"/>
      <c r="BS10" s="2719"/>
      <c r="BT10" s="2719"/>
      <c r="BU10" s="2719"/>
      <c r="BV10" s="2719"/>
      <c r="BW10" s="2719"/>
      <c r="BX10" s="2719"/>
      <c r="BY10" s="2719"/>
      <c r="BZ10" s="2719"/>
      <c r="CA10" s="2719"/>
      <c r="CB10" s="2719"/>
      <c r="CC10" s="2719"/>
      <c r="CD10" s="2719"/>
      <c r="CE10" s="2719"/>
      <c r="CF10" s="2719"/>
      <c r="CG10" s="2719"/>
      <c r="CH10" s="2719"/>
      <c r="CI10" s="2719"/>
      <c r="CJ10" s="2719"/>
      <c r="CK10" s="2719"/>
      <c r="CL10" s="2719"/>
      <c r="CM10" s="2719"/>
      <c r="CN10" s="2719"/>
      <c r="CO10" s="2719"/>
      <c r="CP10" s="2719"/>
      <c r="CQ10" s="2719"/>
      <c r="CR10" s="2719"/>
      <c r="CS10" s="2719"/>
      <c r="CT10" s="2719"/>
      <c r="CU10" s="2719"/>
      <c r="CV10" s="2719"/>
      <c r="CW10" s="2719"/>
      <c r="CX10" s="2719"/>
      <c r="CY10" s="2719"/>
      <c r="CZ10" s="2719"/>
      <c r="DA10" s="2719"/>
      <c r="DB10" s="2719"/>
      <c r="DC10" s="2719"/>
      <c r="DD10" s="2719"/>
      <c r="DE10" s="2719"/>
      <c r="DF10" s="2719"/>
      <c r="DG10" s="2719"/>
      <c r="DH10" s="2719"/>
      <c r="DI10" s="2719"/>
      <c r="DJ10" s="2719"/>
      <c r="DK10" s="2719"/>
      <c r="DL10" s="2719"/>
      <c r="DM10" s="2719"/>
      <c r="DN10" s="2719"/>
      <c r="DO10" s="2719"/>
      <c r="DP10" s="2719"/>
      <c r="DQ10" s="2719"/>
      <c r="DR10" s="2719"/>
      <c r="DS10" s="2719"/>
      <c r="DT10" s="2719"/>
      <c r="DU10" s="2719"/>
      <c r="DV10" s="2719"/>
      <c r="DW10" s="2719"/>
      <c r="DX10" s="2719"/>
      <c r="DY10" s="2719"/>
      <c r="DZ10" s="2719"/>
      <c r="EA10" s="2719"/>
      <c r="EB10" s="2719"/>
      <c r="EC10" s="2719"/>
      <c r="ED10" s="2719"/>
      <c r="EE10" s="2719"/>
      <c r="EF10" s="2719"/>
      <c r="EG10" s="2719"/>
      <c r="EH10" s="2719"/>
      <c r="EI10" s="2719"/>
      <c r="EJ10" s="2719"/>
      <c r="EK10" s="2719"/>
      <c r="EL10" s="2719"/>
      <c r="EM10" s="2719"/>
      <c r="EN10" s="2719"/>
      <c r="EO10" s="2719"/>
      <c r="EP10" s="2719"/>
      <c r="EQ10" s="2719"/>
      <c r="ER10" s="2719"/>
      <c r="ES10" s="2719"/>
      <c r="ET10" s="2719"/>
      <c r="EU10" s="2719"/>
      <c r="EV10" s="2719"/>
      <c r="EW10" s="2719"/>
      <c r="EX10" s="2719"/>
      <c r="EY10" s="2719"/>
      <c r="EZ10" s="2719"/>
      <c r="FA10" s="2719"/>
      <c r="FB10" s="2719"/>
      <c r="FC10" s="2719"/>
      <c r="FD10" s="2719"/>
      <c r="FE10" s="2719"/>
      <c r="FF10" s="2719"/>
      <c r="FG10" s="2719"/>
      <c r="FH10" s="2719"/>
      <c r="FI10" s="2719"/>
      <c r="FJ10" s="2719"/>
      <c r="FK10" s="2719"/>
      <c r="FL10" s="2719"/>
      <c r="FM10" s="2719"/>
      <c r="FN10" s="2719"/>
      <c r="FO10" s="2719"/>
      <c r="FP10" s="2719"/>
      <c r="FQ10" s="2719"/>
      <c r="FR10" s="2719"/>
      <c r="FS10" s="2719"/>
      <c r="FT10" s="2719"/>
      <c r="FU10" s="2719"/>
      <c r="FV10" s="2720"/>
      <c r="FW10" s="2750"/>
      <c r="FX10" s="1381"/>
    </row>
    <row customHeight="1" ht="12">
      <c r="E11" s="1257"/>
      <c r="F11" s="2736" t="s">
        <v>88</v>
      </c>
      <c r="G11" s="2736" t="s">
        <v>2053</v>
      </c>
      <c r="H11" s="2737" t="s">
        <v>2054</v>
      </c>
      <c r="I11" s="2737" t="s">
        <v>2055</v>
      </c>
      <c r="J11" s="2738"/>
      <c r="K11" s="2738"/>
      <c r="L11" s="2738"/>
      <c r="M11" s="2738"/>
      <c r="N11" s="2738"/>
      <c r="O11" s="2739" t="s">
        <v>2056</v>
      </c>
      <c r="P11" s="2739"/>
      <c r="Q11" s="2739"/>
      <c r="R11" s="2739"/>
      <c r="S11" s="2739"/>
      <c r="T11" s="2739"/>
      <c r="U11" s="2739"/>
      <c r="V11" s="2739"/>
      <c r="W11" s="2739"/>
      <c r="X11" s="2739"/>
      <c r="Y11" s="2739"/>
      <c r="Z11" s="2739"/>
      <c r="AA11" s="2739"/>
      <c r="AB11" s="2739"/>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55"/>
      <c r="BT11" s="2725" t="s">
        <v>2056</v>
      </c>
      <c r="BU11" s="2726"/>
      <c r="BV11" s="2726"/>
      <c r="BW11" s="2726"/>
      <c r="BX11" s="2726"/>
      <c r="BY11" s="2726"/>
      <c r="BZ11" s="2726"/>
      <c r="CA11" s="2726"/>
      <c r="CB11" s="2726"/>
      <c r="CC11" s="2726"/>
      <c r="CD11" s="2726"/>
      <c r="CE11" s="2726"/>
      <c r="CF11" s="2726"/>
      <c r="CG11" s="2726"/>
      <c r="CH11" s="2726"/>
      <c r="CI11" s="2726"/>
      <c r="CJ11" s="2726"/>
      <c r="CK11" s="2727"/>
      <c r="CL11" s="2733"/>
      <c r="CM11" s="2728"/>
      <c r="CN11" s="2728"/>
      <c r="CO11" s="2728"/>
      <c r="CP11" s="2728"/>
      <c r="CQ11" s="2728"/>
      <c r="CR11" s="2728"/>
      <c r="CS11" s="2728"/>
      <c r="CT11" s="2728"/>
      <c r="CU11" s="2728"/>
      <c r="CV11" s="2728"/>
      <c r="CW11" s="2728"/>
      <c r="CX11" s="2755"/>
      <c r="CY11" s="2725" t="s">
        <v>2056</v>
      </c>
      <c r="CZ11" s="2726"/>
      <c r="DA11" s="2726"/>
      <c r="DB11" s="2726"/>
      <c r="DC11" s="2726"/>
      <c r="DD11" s="2726"/>
      <c r="DE11" s="2726"/>
      <c r="DF11" s="2726"/>
      <c r="DG11" s="2726"/>
      <c r="DH11" s="2726"/>
      <c r="DI11" s="2726"/>
      <c r="DJ11" s="2727"/>
      <c r="DK11" s="2733"/>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50"/>
      <c r="FX11" s="1066"/>
    </row>
    <row customHeight="1" ht="12">
      <c r="D12" s="1258"/>
      <c r="E12" s="1257"/>
      <c r="F12" s="2736"/>
      <c r="G12" s="2736"/>
      <c r="H12" s="2737"/>
      <c r="I12" s="2737"/>
      <c r="J12" s="2738"/>
      <c r="K12" s="2738"/>
      <c r="L12" s="2738"/>
      <c r="M12" s="2738"/>
      <c r="N12" s="2738"/>
      <c r="O12" s="2739" t="s">
        <v>2057</v>
      </c>
      <c r="P12" s="2739"/>
      <c r="Q12" s="2739"/>
      <c r="R12" s="2739"/>
      <c r="S12" s="2739" t="s">
        <v>2058</v>
      </c>
      <c r="T12" s="2739"/>
      <c r="U12" s="2739"/>
      <c r="V12" s="2739"/>
      <c r="W12" s="2739"/>
      <c r="X12" s="2739"/>
      <c r="Y12" s="2739"/>
      <c r="Z12" s="2739"/>
      <c r="AA12" s="2739"/>
      <c r="AB12" s="2739"/>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55"/>
      <c r="BT12" s="2725" t="s">
        <v>2059</v>
      </c>
      <c r="BU12" s="2726"/>
      <c r="BV12" s="2726"/>
      <c r="BW12" s="2727"/>
      <c r="BX12" s="2725" t="s">
        <v>2060</v>
      </c>
      <c r="BY12" s="2726"/>
      <c r="BZ12" s="2726"/>
      <c r="CA12" s="2727"/>
      <c r="CB12" s="2725" t="s">
        <v>2061</v>
      </c>
      <c r="CC12" s="2727"/>
      <c r="CD12" s="2725" t="s">
        <v>2062</v>
      </c>
      <c r="CE12" s="2726"/>
      <c r="CF12" s="2726"/>
      <c r="CG12" s="2726"/>
      <c r="CH12" s="2726"/>
      <c r="CI12" s="2726"/>
      <c r="CJ12" s="2726"/>
      <c r="CK12" s="2727"/>
      <c r="CL12" s="2733"/>
      <c r="CM12" s="2728"/>
      <c r="CN12" s="2728"/>
      <c r="CO12" s="2728"/>
      <c r="CP12" s="2728"/>
      <c r="CQ12" s="2728"/>
      <c r="CR12" s="2728"/>
      <c r="CS12" s="2728"/>
      <c r="CT12" s="2728"/>
      <c r="CU12" s="2728"/>
      <c r="CV12" s="2728"/>
      <c r="CW12" s="2728"/>
      <c r="CX12" s="2755"/>
      <c r="CY12" s="2725" t="s">
        <v>2063</v>
      </c>
      <c r="CZ12" s="2726"/>
      <c r="DA12" s="2726"/>
      <c r="DB12" s="2726"/>
      <c r="DC12" s="2726"/>
      <c r="DD12" s="2727"/>
      <c r="DE12" s="2725" t="s">
        <v>2064</v>
      </c>
      <c r="DF12" s="2727"/>
      <c r="DG12" s="2725" t="s">
        <v>2062</v>
      </c>
      <c r="DH12" s="2726"/>
      <c r="DI12" s="2726"/>
      <c r="DJ12" s="2727"/>
      <c r="DK12" s="2733"/>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50"/>
      <c r="FX12" s="1066"/>
    </row>
    <row customHeight="1" ht="36">
      <c r="D13" s="1258"/>
      <c r="E13" s="1257"/>
      <c r="F13" s="2736"/>
      <c r="G13" s="2736"/>
      <c r="H13" s="2737"/>
      <c r="I13" s="2737"/>
      <c r="J13" s="2738"/>
      <c r="K13" s="2738"/>
      <c r="L13" s="2738"/>
      <c r="M13" s="2738"/>
      <c r="N13" s="2738"/>
      <c r="O13" s="2739" t="s">
        <v>2065</v>
      </c>
      <c r="P13" s="2739"/>
      <c r="Q13" s="2739"/>
      <c r="R13" s="2739"/>
      <c r="S13" s="2729" t="s">
        <v>2066</v>
      </c>
      <c r="T13" s="2730"/>
      <c r="U13" s="2740" t="s">
        <v>2067</v>
      </c>
      <c r="V13" s="2740"/>
      <c r="W13" s="2740"/>
      <c r="X13" s="2740"/>
      <c r="Y13" s="2740" t="s">
        <v>2068</v>
      </c>
      <c r="Z13" s="2740"/>
      <c r="AA13" s="2740"/>
      <c r="AB13" s="274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55"/>
      <c r="BT13" s="2729" t="s">
        <v>2069</v>
      </c>
      <c r="BU13" s="2730"/>
      <c r="BV13" s="2729" t="s">
        <v>2070</v>
      </c>
      <c r="BW13" s="2730"/>
      <c r="BX13" s="2729" t="s">
        <v>2071</v>
      </c>
      <c r="BY13" s="2730"/>
      <c r="BZ13" s="2729" t="s">
        <v>2072</v>
      </c>
      <c r="CA13" s="2730"/>
      <c r="CB13" s="2729" t="s">
        <v>2073</v>
      </c>
      <c r="CC13" s="2730"/>
      <c r="CD13" s="2729" t="s">
        <v>2074</v>
      </c>
      <c r="CE13" s="2730"/>
      <c r="CF13" s="2729" t="s">
        <v>2075</v>
      </c>
      <c r="CG13" s="2730"/>
      <c r="CH13" s="2725" t="s">
        <v>2076</v>
      </c>
      <c r="CI13" s="2726"/>
      <c r="CJ13" s="2726"/>
      <c r="CK13" s="2727"/>
      <c r="CL13" s="2733"/>
      <c r="CM13" s="2728"/>
      <c r="CN13" s="2728"/>
      <c r="CO13" s="2728"/>
      <c r="CP13" s="2728"/>
      <c r="CQ13" s="2728"/>
      <c r="CR13" s="2728"/>
      <c r="CS13" s="2728"/>
      <c r="CT13" s="2728"/>
      <c r="CU13" s="2728"/>
      <c r="CV13" s="2728"/>
      <c r="CW13" s="2728"/>
      <c r="CX13" s="2755"/>
      <c r="CY13" s="2729" t="s">
        <v>2077</v>
      </c>
      <c r="CZ13" s="2730"/>
      <c r="DA13" s="2729" t="s">
        <v>2078</v>
      </c>
      <c r="DB13" s="2730"/>
      <c r="DC13" s="2729" t="s">
        <v>2079</v>
      </c>
      <c r="DD13" s="2730"/>
      <c r="DE13" s="2729" t="s">
        <v>2080</v>
      </c>
      <c r="DF13" s="2730"/>
      <c r="DG13" s="2725" t="s">
        <v>2081</v>
      </c>
      <c r="DH13" s="2726"/>
      <c r="DI13" s="2726"/>
      <c r="DJ13" s="2727"/>
      <c r="DK13" s="2733"/>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50"/>
      <c r="FX13" s="1066"/>
    </row>
    <row customHeight="1" ht="36">
      <c r="D14" s="1258"/>
      <c r="E14" s="1257"/>
      <c r="F14" s="2736"/>
      <c r="G14" s="2736"/>
      <c r="H14" s="2737"/>
      <c r="I14" s="2737"/>
      <c r="J14" s="2738"/>
      <c r="K14" s="2738"/>
      <c r="L14" s="2738"/>
      <c r="M14" s="2738"/>
      <c r="N14" s="2738"/>
      <c r="O14" s="2729" t="s">
        <v>2082</v>
      </c>
      <c r="P14" s="2730"/>
      <c r="Q14" s="2729" t="s">
        <v>2083</v>
      </c>
      <c r="R14" s="2730"/>
      <c r="S14" s="2734"/>
      <c r="T14" s="2735"/>
      <c r="U14" s="2729" t="s">
        <v>1871</v>
      </c>
      <c r="V14" s="2730"/>
      <c r="W14" s="2729" t="s">
        <v>1874</v>
      </c>
      <c r="X14" s="2730"/>
      <c r="Y14" s="2729" t="s">
        <v>1871</v>
      </c>
      <c r="Z14" s="2730"/>
      <c r="AA14" s="2729" t="s">
        <v>1881</v>
      </c>
      <c r="AB14" s="2730"/>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55"/>
      <c r="BT14" s="2734"/>
      <c r="BU14" s="2735"/>
      <c r="BV14" s="2734"/>
      <c r="BW14" s="2735"/>
      <c r="BX14" s="2734"/>
      <c r="BY14" s="2735"/>
      <c r="BZ14" s="2734"/>
      <c r="CA14" s="2735"/>
      <c r="CB14" s="2734"/>
      <c r="CC14" s="2735"/>
      <c r="CD14" s="2734"/>
      <c r="CE14" s="2735"/>
      <c r="CF14" s="2734"/>
      <c r="CG14" s="2735"/>
      <c r="CH14" s="2729" t="s">
        <v>2084</v>
      </c>
      <c r="CI14" s="2730"/>
      <c r="CJ14" s="2729" t="s">
        <v>2085</v>
      </c>
      <c r="CK14" s="2730"/>
      <c r="CL14" s="2733"/>
      <c r="CM14" s="2728"/>
      <c r="CN14" s="2728"/>
      <c r="CO14" s="2728"/>
      <c r="CP14" s="2728"/>
      <c r="CQ14" s="2728"/>
      <c r="CR14" s="2728"/>
      <c r="CS14" s="2728"/>
      <c r="CT14" s="2728"/>
      <c r="CU14" s="2728"/>
      <c r="CV14" s="2728"/>
      <c r="CW14" s="2728"/>
      <c r="CX14" s="2755"/>
      <c r="CY14" s="2734"/>
      <c r="CZ14" s="2735"/>
      <c r="DA14" s="2734"/>
      <c r="DB14" s="2735"/>
      <c r="DC14" s="2734"/>
      <c r="DD14" s="2735"/>
      <c r="DE14" s="2734"/>
      <c r="DF14" s="2735"/>
      <c r="DG14" s="2729" t="s">
        <v>2086</v>
      </c>
      <c r="DH14" s="2730"/>
      <c r="DI14" s="2729" t="s">
        <v>2087</v>
      </c>
      <c r="DJ14" s="2730"/>
      <c r="DK14" s="2733"/>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50"/>
      <c r="FX14" s="1066"/>
    </row>
    <row customHeight="1" ht="36">
      <c r="D15" s="1258"/>
      <c r="E15" s="1257"/>
      <c r="F15" s="2736"/>
      <c r="G15" s="2736"/>
      <c r="H15" s="2737"/>
      <c r="I15" s="2737"/>
      <c r="J15" s="2738"/>
      <c r="K15" s="2738"/>
      <c r="L15" s="2738"/>
      <c r="M15" s="2738"/>
      <c r="N15" s="2738"/>
      <c r="O15" s="2731"/>
      <c r="P15" s="2732"/>
      <c r="Q15" s="2731"/>
      <c r="R15" s="2732"/>
      <c r="S15" s="2731"/>
      <c r="T15" s="2732"/>
      <c r="U15" s="2731"/>
      <c r="V15" s="2732"/>
      <c r="W15" s="2731"/>
      <c r="X15" s="2732"/>
      <c r="Y15" s="2731"/>
      <c r="Z15" s="2732"/>
      <c r="AA15" s="2731"/>
      <c r="AB15" s="2732"/>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55"/>
      <c r="BT15" s="2731"/>
      <c r="BU15" s="2732"/>
      <c r="BV15" s="2731"/>
      <c r="BW15" s="2732"/>
      <c r="BX15" s="2731"/>
      <c r="BY15" s="2732"/>
      <c r="BZ15" s="2731"/>
      <c r="CA15" s="2732"/>
      <c r="CB15" s="2731"/>
      <c r="CC15" s="2732"/>
      <c r="CD15" s="2731"/>
      <c r="CE15" s="2732"/>
      <c r="CF15" s="2731"/>
      <c r="CG15" s="2732"/>
      <c r="CH15" s="2731"/>
      <c r="CI15" s="2732"/>
      <c r="CJ15" s="2731"/>
      <c r="CK15" s="2732"/>
      <c r="CL15" s="2733"/>
      <c r="CM15" s="2728"/>
      <c r="CN15" s="2728"/>
      <c r="CO15" s="2728"/>
      <c r="CP15" s="2728"/>
      <c r="CQ15" s="2728"/>
      <c r="CR15" s="2728"/>
      <c r="CS15" s="2728"/>
      <c r="CT15" s="2728"/>
      <c r="CU15" s="2728"/>
      <c r="CV15" s="2728"/>
      <c r="CW15" s="2728"/>
      <c r="CX15" s="2755"/>
      <c r="CY15" s="2731"/>
      <c r="CZ15" s="2732"/>
      <c r="DA15" s="2731"/>
      <c r="DB15" s="2732"/>
      <c r="DC15" s="2731"/>
      <c r="DD15" s="2732"/>
      <c r="DE15" s="2731"/>
      <c r="DF15" s="2732"/>
      <c r="DG15" s="2731"/>
      <c r="DH15" s="2732"/>
      <c r="DI15" s="2731"/>
      <c r="DJ15" s="2732"/>
      <c r="DK15" s="2733"/>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50"/>
      <c r="FX15" s="1066"/>
    </row>
    <row customHeight="1" ht="12">
      <c r="D16" s="1258"/>
      <c r="E16" s="1257"/>
      <c r="F16" s="2736"/>
      <c r="G16" s="2736"/>
      <c r="H16" s="2737"/>
      <c r="I16" s="2737"/>
      <c r="J16" s="2738"/>
      <c r="K16" s="2738"/>
      <c r="L16" s="2738"/>
      <c r="M16" s="2738"/>
      <c r="N16" s="2738"/>
      <c r="O16" s="2725" t="s">
        <v>1861</v>
      </c>
      <c r="P16" s="2727"/>
      <c r="Q16" s="2725" t="s">
        <v>1863</v>
      </c>
      <c r="R16" s="2727"/>
      <c r="S16" s="2725" t="s">
        <v>1867</v>
      </c>
      <c r="T16" s="2727"/>
      <c r="U16" s="2725" t="s">
        <v>1872</v>
      </c>
      <c r="V16" s="2727"/>
      <c r="W16" s="2725" t="s">
        <v>1875</v>
      </c>
      <c r="X16" s="2727"/>
      <c r="Y16" s="2725" t="s">
        <v>1879</v>
      </c>
      <c r="Z16" s="2727"/>
      <c r="AA16" s="2725" t="s">
        <v>1882</v>
      </c>
      <c r="AB16" s="2727"/>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55"/>
      <c r="BT16" s="2725" t="s">
        <v>1619</v>
      </c>
      <c r="BU16" s="2727"/>
      <c r="BV16" s="2725" t="s">
        <v>1619</v>
      </c>
      <c r="BW16" s="2727"/>
      <c r="BX16" s="2725" t="s">
        <v>1619</v>
      </c>
      <c r="BY16" s="2727"/>
      <c r="BZ16" s="2725" t="s">
        <v>1619</v>
      </c>
      <c r="CA16" s="2727"/>
      <c r="CB16" s="2725" t="s">
        <v>2088</v>
      </c>
      <c r="CC16" s="2727"/>
      <c r="CD16" s="2725" t="s">
        <v>1619</v>
      </c>
      <c r="CE16" s="2727"/>
      <c r="CF16" s="2725" t="s">
        <v>2089</v>
      </c>
      <c r="CG16" s="2727"/>
      <c r="CH16" s="2725" t="s">
        <v>2090</v>
      </c>
      <c r="CI16" s="2727"/>
      <c r="CJ16" s="2725" t="s">
        <v>2090</v>
      </c>
      <c r="CK16" s="2727"/>
      <c r="CL16" s="2733"/>
      <c r="CM16" s="2728"/>
      <c r="CN16" s="2728"/>
      <c r="CO16" s="2728"/>
      <c r="CP16" s="2728"/>
      <c r="CQ16" s="2728"/>
      <c r="CR16" s="2728"/>
      <c r="CS16" s="2728"/>
      <c r="CT16" s="2728"/>
      <c r="CU16" s="2728"/>
      <c r="CV16" s="2728"/>
      <c r="CW16" s="2728"/>
      <c r="CX16" s="2755"/>
      <c r="CY16" s="2729" t="s">
        <v>1619</v>
      </c>
      <c r="CZ16" s="2730"/>
      <c r="DA16" s="2729" t="s">
        <v>1619</v>
      </c>
      <c r="DB16" s="2730"/>
      <c r="DC16" s="2729" t="s">
        <v>1619</v>
      </c>
      <c r="DD16" s="2730"/>
      <c r="DE16" s="2725" t="s">
        <v>2088</v>
      </c>
      <c r="DF16" s="2727"/>
      <c r="DG16" s="2725" t="s">
        <v>2091</v>
      </c>
      <c r="DH16" s="2727"/>
      <c r="DI16" s="2725" t="s">
        <v>2091</v>
      </c>
      <c r="DJ16" s="2727"/>
      <c r="DK16" s="2733"/>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50"/>
      <c r="FX16" s="1066"/>
    </row>
    <row customHeight="1" ht="15">
      <c r="E17" s="1257"/>
      <c r="F17" s="2736"/>
      <c r="G17" s="2736"/>
      <c r="H17" s="2737"/>
      <c r="I17" s="2737"/>
      <c r="J17" s="2738"/>
      <c r="K17" s="2738"/>
      <c r="L17" s="2738"/>
      <c r="M17" s="2738"/>
      <c r="N17" s="2738"/>
      <c r="O17" s="1526" t="s">
        <v>2092</v>
      </c>
      <c r="P17" s="1526" t="s">
        <v>2093</v>
      </c>
      <c r="Q17" s="1526" t="s">
        <v>2092</v>
      </c>
      <c r="R17" s="1526" t="s">
        <v>2093</v>
      </c>
      <c r="S17" s="1526" t="s">
        <v>2092</v>
      </c>
      <c r="T17" s="1526" t="s">
        <v>2093</v>
      </c>
      <c r="U17" s="1526" t="s">
        <v>2092</v>
      </c>
      <c r="V17" s="1526" t="s">
        <v>2093</v>
      </c>
      <c r="W17" s="1526" t="s">
        <v>2092</v>
      </c>
      <c r="X17" s="1526" t="s">
        <v>2093</v>
      </c>
      <c r="Y17" s="1526" t="s">
        <v>2092</v>
      </c>
      <c r="Z17" s="1526" t="s">
        <v>2093</v>
      </c>
      <c r="AA17" s="1526" t="s">
        <v>2092</v>
      </c>
      <c r="AB17" s="1526" t="s">
        <v>2093</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55"/>
      <c r="BT17" s="1526" t="s">
        <v>2092</v>
      </c>
      <c r="BU17" s="1526" t="s">
        <v>2093</v>
      </c>
      <c r="BV17" s="1526" t="s">
        <v>2092</v>
      </c>
      <c r="BW17" s="1526" t="s">
        <v>2093</v>
      </c>
      <c r="BX17" s="1526" t="s">
        <v>2092</v>
      </c>
      <c r="BY17" s="1526" t="s">
        <v>2093</v>
      </c>
      <c r="BZ17" s="1526" t="s">
        <v>2092</v>
      </c>
      <c r="CA17" s="1526" t="s">
        <v>2093</v>
      </c>
      <c r="CB17" s="1526" t="s">
        <v>2092</v>
      </c>
      <c r="CC17" s="1526" t="s">
        <v>2093</v>
      </c>
      <c r="CD17" s="1526" t="s">
        <v>2092</v>
      </c>
      <c r="CE17" s="1526" t="s">
        <v>2093</v>
      </c>
      <c r="CF17" s="1526" t="s">
        <v>2092</v>
      </c>
      <c r="CG17" s="1526" t="s">
        <v>2093</v>
      </c>
      <c r="CH17" s="1526" t="s">
        <v>2092</v>
      </c>
      <c r="CI17" s="1526" t="s">
        <v>2093</v>
      </c>
      <c r="CJ17" s="1526" t="s">
        <v>2092</v>
      </c>
      <c r="CK17" s="1526" t="s">
        <v>2093</v>
      </c>
      <c r="CL17" s="2733"/>
      <c r="CM17" s="2728"/>
      <c r="CN17" s="2728"/>
      <c r="CO17" s="2728"/>
      <c r="CP17" s="2728"/>
      <c r="CQ17" s="2728"/>
      <c r="CR17" s="2728"/>
      <c r="CS17" s="2728"/>
      <c r="CT17" s="2728"/>
      <c r="CU17" s="2728"/>
      <c r="CV17" s="2728"/>
      <c r="CW17" s="2728"/>
      <c r="CX17" s="2755"/>
      <c r="CY17" s="1526" t="s">
        <v>2092</v>
      </c>
      <c r="CZ17" s="1526" t="s">
        <v>2093</v>
      </c>
      <c r="DA17" s="1526" t="s">
        <v>2092</v>
      </c>
      <c r="DB17" s="1526" t="s">
        <v>2093</v>
      </c>
      <c r="DC17" s="1526" t="s">
        <v>2092</v>
      </c>
      <c r="DD17" s="1526" t="s">
        <v>2093</v>
      </c>
      <c r="DE17" s="1526" t="s">
        <v>2092</v>
      </c>
      <c r="DF17" s="1526" t="s">
        <v>2093</v>
      </c>
      <c r="DG17" s="1526" t="s">
        <v>2092</v>
      </c>
      <c r="DH17" s="1526" t="s">
        <v>2093</v>
      </c>
      <c r="DI17" s="1526" t="s">
        <v>2092</v>
      </c>
      <c r="DJ17" s="1526" t="s">
        <v>2093</v>
      </c>
      <c r="DK17" s="2733"/>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51"/>
      <c r="FX17" s="1066"/>
    </row>
    <row s="12812"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2812"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495" customFormat="1" customHeight="1" ht="11.25" hidden="1">
      <c r="B20" s="1260"/>
      <c r="D20" s="1244"/>
      <c r="E20" s="1259"/>
      <c r="F20" s="1532" t="s">
        <v>369</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495"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495" customFormat="1" customHeight="1" ht="12">
      <c r="A22" s="1261"/>
      <c r="B22" s="1261"/>
      <c r="C22" s="1261"/>
      <c r="D22" s="1261"/>
      <c r="E22" s="1261"/>
      <c r="FX22" s="1261"/>
      <c r="FY22" s="1261"/>
      <c r="FZ22" s="1261"/>
      <c r="GA22" s="1261"/>
      <c r="GB22" s="1261"/>
    </row>
    <row s="12823"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46CE2-A474-4C39-4267-952942C8EA9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2094</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2095</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2096</v>
      </c>
      <c r="W38" s="2493" t="s">
        <v>2097</v>
      </c>
      <c r="X38" s="2494"/>
      <c r="Y38" s="2499" t="s">
        <v>1498</v>
      </c>
      <c r="Z38" s="2500"/>
      <c r="AA38" s="2501"/>
      <c r="AB38" s="2510"/>
      <c r="AC38" s="1845" t="s">
        <v>2096</v>
      </c>
      <c r="AD38" s="2493" t="s">
        <v>2097</v>
      </c>
      <c r="AE38" s="2494"/>
      <c r="AF38" s="2499" t="s">
        <v>1498</v>
      </c>
      <c r="AG38" s="2500"/>
      <c r="AH38" s="2501"/>
      <c r="AI38" s="2510"/>
      <c r="AJ38" s="2513"/>
      <c r="AK38" s="2342"/>
    </row>
    <row customHeight="1" ht="86.2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45" t="s">
        <v>2098</v>
      </c>
      <c r="W39" s="1562" t="s">
        <v>2099</v>
      </c>
      <c r="X39" s="1562" t="s">
        <v>2100</v>
      </c>
      <c r="Y39" s="1851" t="s">
        <v>1508</v>
      </c>
      <c r="Z39" s="2502" t="s">
        <v>1509</v>
      </c>
      <c r="AA39" s="2503"/>
      <c r="AB39" s="2511"/>
      <c r="AC39" s="1845" t="s">
        <v>2098</v>
      </c>
      <c r="AD39" s="1562" t="s">
        <v>2099</v>
      </c>
      <c r="AE39" s="1562" t="s">
        <v>2100</v>
      </c>
      <c r="AF39" s="1851"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242</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242</v>
      </c>
      <c r="B42" s="1724" t="s">
        <v>243</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242</v>
      </c>
      <c r="B43" s="1724" t="s">
        <v>243</v>
      </c>
      <c r="C43" s="1724" t="s">
        <v>244</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2094</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2095</v>
      </c>
      <c r="AM43" s="802"/>
      <c r="AN43" s="802" t="str">
        <f>IF(T43="","",T43)</f>
        <v>Наименование централизованной системы горячего водоснабжения</v>
      </c>
      <c r="AO43" s="802"/>
      <c r="AP43" s="802"/>
    </row>
    <row customHeight="1" ht="23.25">
      <c r="A44" s="1724" t="s">
        <v>242</v>
      </c>
      <c r="B44" s="1724" t="s">
        <v>243</v>
      </c>
      <c r="C44" s="1724" t="s">
        <v>244</v>
      </c>
      <c r="D44" s="1724" t="s">
        <v>2101</v>
      </c>
      <c r="E44" s="2490"/>
      <c r="F44" s="2490"/>
      <c r="G44" s="2490"/>
      <c r="H44" s="2490"/>
      <c r="I44" s="2518" t="str">
        <f>S43&amp;".1"</f>
        <v>...1</v>
      </c>
      <c r="J44" s="1724"/>
      <c r="K44" s="1724"/>
      <c r="L44" s="1725"/>
      <c r="P44" s="2488">
        <v>1</v>
      </c>
      <c r="Q44" s="1843"/>
      <c r="R44" s="642"/>
      <c r="S44" s="1855"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242</v>
      </c>
      <c r="B45" s="1724" t="s">
        <v>243</v>
      </c>
      <c r="C45" s="1724" t="s">
        <v>244</v>
      </c>
      <c r="D45" s="1724" t="s">
        <v>2101</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242</v>
      </c>
      <c r="B46" s="1724" t="s">
        <v>243</v>
      </c>
      <c r="C46" s="1724" t="s">
        <v>244</v>
      </c>
      <c r="D46" s="1724" t="s">
        <v>2101</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242</v>
      </c>
      <c r="B47" s="1724" t="s">
        <v>243</v>
      </c>
      <c r="C47" s="1724" t="s">
        <v>244</v>
      </c>
      <c r="D47" s="1724" t="s">
        <v>2101</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242</v>
      </c>
      <c r="B48" s="1724" t="s">
        <v>243</v>
      </c>
      <c r="C48" s="1724" t="s">
        <v>244</v>
      </c>
      <c r="D48" s="1724" t="s">
        <v>2101</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242</v>
      </c>
      <c r="B49" s="1724" t="s">
        <v>243</v>
      </c>
      <c r="C49" s="1724" t="s">
        <v>244</v>
      </c>
      <c r="D49" s="1724" t="s">
        <v>2101</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242</v>
      </c>
      <c r="B50" s="1724" t="s">
        <v>243</v>
      </c>
      <c r="C50" s="1724" t="s">
        <v>244</v>
      </c>
      <c r="D50" s="1724" t="s">
        <v>2101</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242</v>
      </c>
      <c r="B51" s="1703" t="s">
        <v>243</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242</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2102</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A6613-083C-1E75-C4AD-AE597B92DBC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2094</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2095</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2096</v>
      </c>
      <c r="W38" s="2493" t="s">
        <v>2097</v>
      </c>
      <c r="X38" s="2494"/>
      <c r="Y38" s="2499" t="s">
        <v>1498</v>
      </c>
      <c r="Z38" s="2500"/>
      <c r="AA38" s="2501"/>
      <c r="AB38" s="2510"/>
      <c r="AC38" s="1845" t="s">
        <v>2096</v>
      </c>
      <c r="AD38" s="2493" t="s">
        <v>2097</v>
      </c>
      <c r="AE38" s="2494"/>
      <c r="AF38" s="2499" t="s">
        <v>1498</v>
      </c>
      <c r="AG38" s="2500"/>
      <c r="AH38" s="2501"/>
      <c r="AI38" s="2510"/>
      <c r="AJ38" s="2513"/>
      <c r="AK38" s="2342"/>
    </row>
    <row customHeight="1" ht="86.2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45" t="s">
        <v>2098</v>
      </c>
      <c r="W39" s="1562" t="s">
        <v>2099</v>
      </c>
      <c r="X39" s="1562" t="s">
        <v>2100</v>
      </c>
      <c r="Y39" s="1851" t="s">
        <v>1508</v>
      </c>
      <c r="Z39" s="2502" t="s">
        <v>1509</v>
      </c>
      <c r="AA39" s="2503"/>
      <c r="AB39" s="2511"/>
      <c r="AC39" s="1845" t="s">
        <v>2098</v>
      </c>
      <c r="AD39" s="1562" t="s">
        <v>2099</v>
      </c>
      <c r="AE39" s="1562" t="s">
        <v>2100</v>
      </c>
      <c r="AF39" s="1851"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242</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242</v>
      </c>
      <c r="B42" s="1724" t="s">
        <v>243</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242</v>
      </c>
      <c r="B43" s="1724" t="s">
        <v>243</v>
      </c>
      <c r="C43" s="1724" t="s">
        <v>244</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2094</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2095</v>
      </c>
      <c r="AM43" s="802"/>
      <c r="AN43" s="802" t="str">
        <f>IF(T43="","",T43)</f>
        <v>Наименование централизованной системы горячего водоснабжения</v>
      </c>
      <c r="AO43" s="802"/>
      <c r="AP43" s="802"/>
    </row>
    <row customHeight="1" ht="23.25">
      <c r="A44" s="1724" t="s">
        <v>242</v>
      </c>
      <c r="B44" s="1724" t="s">
        <v>243</v>
      </c>
      <c r="C44" s="1724" t="s">
        <v>244</v>
      </c>
      <c r="D44" s="1724" t="s">
        <v>2101</v>
      </c>
      <c r="E44" s="2490"/>
      <c r="F44" s="2490"/>
      <c r="G44" s="2490"/>
      <c r="H44" s="2490"/>
      <c r="I44" s="2518" t="str">
        <f>S43&amp;".1"</f>
        <v>...1</v>
      </c>
      <c r="J44" s="1724"/>
      <c r="K44" s="1724"/>
      <c r="L44" s="1725"/>
      <c r="P44" s="2488">
        <v>1</v>
      </c>
      <c r="Q44" s="1843"/>
      <c r="R44" s="642"/>
      <c r="S44" s="1855"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242</v>
      </c>
      <c r="B45" s="1724" t="s">
        <v>243</v>
      </c>
      <c r="C45" s="1724" t="s">
        <v>244</v>
      </c>
      <c r="D45" s="1724" t="s">
        <v>2101</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242</v>
      </c>
      <c r="B46" s="1724" t="s">
        <v>243</v>
      </c>
      <c r="C46" s="1724" t="s">
        <v>244</v>
      </c>
      <c r="D46" s="1724" t="s">
        <v>2101</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242</v>
      </c>
      <c r="B47" s="1724" t="s">
        <v>243</v>
      </c>
      <c r="C47" s="1724" t="s">
        <v>244</v>
      </c>
      <c r="D47" s="1724" t="s">
        <v>2101</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242</v>
      </c>
      <c r="B48" s="1724" t="s">
        <v>243</v>
      </c>
      <c r="C48" s="1724" t="s">
        <v>244</v>
      </c>
      <c r="D48" s="1724" t="s">
        <v>2101</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242</v>
      </c>
      <c r="B49" s="1724" t="s">
        <v>243</v>
      </c>
      <c r="C49" s="1724" t="s">
        <v>244</v>
      </c>
      <c r="D49" s="1724" t="s">
        <v>2101</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242</v>
      </c>
      <c r="B50" s="1724" t="s">
        <v>243</v>
      </c>
      <c r="C50" s="1724" t="s">
        <v>244</v>
      </c>
      <c r="D50" s="1724" t="s">
        <v>2101</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242</v>
      </c>
      <c r="B51" s="1703" t="s">
        <v>243</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242</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2102</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B646-359F-499D-145B-70B3CA910A3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83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123</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2094</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2095</v>
      </c>
      <c r="BE4" s="802"/>
      <c r="BF4" s="802" t="str">
        <f>IF(T4="","",T4)</f>
        <v>Наименование централизованной системы горячего водоснабжения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63</v>
      </c>
      <c r="AB8" s="2114"/>
      <c r="AC8" s="1831" t="s">
        <v>63</v>
      </c>
      <c r="AD8" s="2297" t="s">
        <v>63</v>
      </c>
      <c r="AE8" s="2561"/>
      <c r="AF8" s="2562">
        <v>1</v>
      </c>
      <c r="AG8" s="2654"/>
      <c r="AH8" s="2207" t="s">
        <v>63</v>
      </c>
      <c r="AI8" s="2561"/>
      <c r="AJ8" s="2562">
        <v>1</v>
      </c>
      <c r="AK8" s="2653" t="s">
        <v>17</v>
      </c>
      <c r="AL8" s="2207" t="s">
        <v>63</v>
      </c>
      <c r="AM8" s="2645"/>
      <c r="AN8" s="2562">
        <v>1</v>
      </c>
      <c r="AO8" s="2647"/>
      <c r="AP8" s="2648" t="s">
        <v>63</v>
      </c>
      <c r="AQ8" s="588"/>
      <c r="AR8" s="1848">
        <v>1</v>
      </c>
      <c r="AS8" s="1854" t="s">
        <v>17</v>
      </c>
      <c r="AT8" s="4130"/>
      <c r="AU8" s="4132"/>
      <c r="AV8" s="4130"/>
      <c r="AW8" s="4132"/>
      <c r="AX8" s="2114"/>
      <c r="AY8" s="1831" t="s">
        <v>63</v>
      </c>
      <c r="AZ8" s="2114"/>
      <c r="BA8" s="1831" t="s">
        <v>63</v>
      </c>
      <c r="BB8" s="4231"/>
      <c r="BC8" s="2484" t="s">
        <v>1697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1698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1699</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1700</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47" t="s">
        <v>63</v>
      </c>
      <c r="AZ20" s="2116"/>
      <c r="BA20" s="1847" t="s">
        <v>63</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1480</v>
      </c>
      <c r="P24" s="1870"/>
      <c r="Q24" s="1872"/>
      <c r="R24" s="1872"/>
      <c r="AA24" s="1869" t="s">
        <v>1482</v>
      </c>
      <c r="AC24" s="1869" t="s">
        <v>1483</v>
      </c>
      <c r="AD24" s="1869" t="s">
        <v>1543</v>
      </c>
      <c r="AH24" s="1869" t="s">
        <v>1543</v>
      </c>
      <c r="AK24" s="1869" t="s">
        <v>1702</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291</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292</v>
      </c>
    </row>
    <row customHeight="1" ht="14.25">
      <c r="Q41" s="566"/>
      <c r="R41" s="667"/>
      <c r="S41" s="2505" t="s">
        <v>88</v>
      </c>
      <c r="T41" s="2366" t="s">
        <v>1703</v>
      </c>
      <c r="U41" s="576"/>
      <c r="V41" s="2506" t="s">
        <v>1491</v>
      </c>
      <c r="W41" s="2507"/>
      <c r="X41" s="2507"/>
      <c r="Y41" s="2507"/>
      <c r="Z41" s="2507"/>
      <c r="AA41" s="2507"/>
      <c r="AB41" s="2508"/>
      <c r="AC41" s="2509" t="s">
        <v>1492</v>
      </c>
      <c r="AD41" s="2564" t="s">
        <v>1704</v>
      </c>
      <c r="AE41" s="2523"/>
      <c r="AF41" s="2523"/>
      <c r="AG41" s="2565"/>
      <c r="AH41" s="2564" t="s">
        <v>1705</v>
      </c>
      <c r="AI41" s="2523"/>
      <c r="AJ41" s="2523"/>
      <c r="AK41" s="2565"/>
      <c r="AL41" s="2564" t="s">
        <v>1706</v>
      </c>
      <c r="AM41" s="2523"/>
      <c r="AN41" s="2523"/>
      <c r="AO41" s="2565"/>
      <c r="AP41" s="2564" t="s">
        <v>1707</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1708</v>
      </c>
      <c r="W42" s="2356"/>
      <c r="X42" s="2355" t="s">
        <v>1709</v>
      </c>
      <c r="Y42" s="2356"/>
      <c r="Z42" s="2542" t="s">
        <v>1710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1708</v>
      </c>
      <c r="AU42" s="2356"/>
      <c r="AV42" s="2355" t="s">
        <v>1709</v>
      </c>
      <c r="AW42" s="2356"/>
      <c r="AX42" s="2542" t="s">
        <v>1710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135</v>
      </c>
      <c r="C44" s="1731" t="s">
        <v>136</v>
      </c>
      <c r="D44" s="1731" t="s">
        <v>137</v>
      </c>
      <c r="E44" s="1725" t="s">
        <v>1499</v>
      </c>
      <c r="F44" s="1725" t="s">
        <v>1500</v>
      </c>
      <c r="G44" s="1725" t="s">
        <v>1501</v>
      </c>
      <c r="H44" s="1725" t="s">
        <v>1502</v>
      </c>
      <c r="I44" s="1725" t="s">
        <v>1503</v>
      </c>
      <c r="J44" s="1725" t="s">
        <v>1504</v>
      </c>
      <c r="K44" s="1725" t="s">
        <v>1505</v>
      </c>
      <c r="L44" s="1725" t="s">
        <v>1480</v>
      </c>
      <c r="Q44" s="566"/>
      <c r="R44" s="667"/>
      <c r="S44" s="2505"/>
      <c r="T44" s="2366"/>
      <c r="U44" s="577"/>
      <c r="V44" s="1841" t="s">
        <v>1551</v>
      </c>
      <c r="W44" s="1841" t="s">
        <v>1552</v>
      </c>
      <c r="X44" s="1841" t="s">
        <v>1551</v>
      </c>
      <c r="Y44" s="1841" t="s">
        <v>1552</v>
      </c>
      <c r="Z44" s="1851"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41" t="s">
        <v>1551</v>
      </c>
      <c r="AU44" s="1841" t="s">
        <v>1552</v>
      </c>
      <c r="AV44" s="1841" t="s">
        <v>1551</v>
      </c>
      <c r="AW44" s="1841" t="s">
        <v>1552</v>
      </c>
      <c r="AX44" s="1851" t="s">
        <v>1508</v>
      </c>
      <c r="AY44" s="2502" t="s">
        <v>1509</v>
      </c>
      <c r="AZ44" s="2503"/>
      <c r="BA44" s="2511"/>
      <c r="BB44" s="2514"/>
      <c r="BC44" s="2342"/>
    </row>
    <row s="11084"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99</v>
      </c>
      <c r="T45" s="1606" t="s">
        <v>109</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252</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123</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252</v>
      </c>
      <c r="B47" s="1724" t="s">
        <v>253</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33.75">
      <c r="A48" s="1724" t="s">
        <v>252</v>
      </c>
      <c r="B48" s="1724" t="s">
        <v>253</v>
      </c>
      <c r="C48" s="1724" t="s">
        <v>254</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2094</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2095</v>
      </c>
      <c r="BE48" s="802"/>
      <c r="BF48" s="802" t="str">
        <f>IF(T48="","",T48)</f>
        <v>Наименование централизованной системы горячего водоснабжения</v>
      </c>
      <c r="BG48" s="802"/>
      <c r="BH48" s="802"/>
    </row>
    <row s="11901" customFormat="1" customHeight="1" ht="0">
      <c r="A49" s="1703" t="s">
        <v>252</v>
      </c>
      <c r="B49" s="1703" t="s">
        <v>253</v>
      </c>
      <c r="C49" s="1703" t="s">
        <v>254</v>
      </c>
      <c r="D49" s="1703" t="s">
        <v>2104</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901" customFormat="1" customHeight="1" ht="0">
      <c r="A50" s="1703" t="s">
        <v>252</v>
      </c>
      <c r="B50" s="1703" t="s">
        <v>253</v>
      </c>
      <c r="C50" s="1703" t="s">
        <v>254</v>
      </c>
      <c r="D50" s="1703" t="s">
        <v>2104</v>
      </c>
      <c r="E50" s="2490"/>
      <c r="F50" s="2490"/>
      <c r="G50" s="2490"/>
      <c r="H50" s="2490"/>
      <c r="I50" s="2518" t="str">
        <f>S49&amp;".1"</f>
        <v>.1</v>
      </c>
      <c r="J50" s="1703"/>
      <c r="K50" s="1703"/>
      <c r="L50" s="1706" t="s">
        <v>1468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252</v>
      </c>
      <c r="B51" s="1703" t="s">
        <v>253</v>
      </c>
      <c r="C51" s="1703" t="s">
        <v>254</v>
      </c>
      <c r="D51" s="1703" t="s">
        <v>2104</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252</v>
      </c>
      <c r="B52" s="1724" t="s">
        <v>253</v>
      </c>
      <c r="C52" s="1724" t="s">
        <v>254</v>
      </c>
      <c r="D52" s="1724" t="s">
        <v>2104</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63</v>
      </c>
      <c r="AB52" s="2114"/>
      <c r="AC52" s="183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48">
        <v>1</v>
      </c>
      <c r="AS52" s="1854" t="s">
        <v>17</v>
      </c>
      <c r="AT52" s="4130"/>
      <c r="AU52" s="4132"/>
      <c r="AV52" s="4130"/>
      <c r="AW52" s="4132"/>
      <c r="AX52" s="2114"/>
      <c r="AY52" s="1831" t="s">
        <v>63</v>
      </c>
      <c r="AZ52" s="2114"/>
      <c r="BA52" s="1831" t="s">
        <v>63</v>
      </c>
      <c r="BB52" s="4231"/>
      <c r="BC52" s="2484" t="s">
        <v>1697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1698</v>
      </c>
      <c r="AT53" s="4290"/>
      <c r="AU53" s="4346"/>
      <c r="AV53" s="4290"/>
      <c r="AW53" s="4346"/>
      <c r="AX53" s="4290"/>
      <c r="AY53" s="4290"/>
      <c r="AZ53" s="4290"/>
      <c r="BA53" s="4290"/>
      <c r="BB53" s="4344"/>
      <c r="BC53" s="2485"/>
      <c r="BE53" s="802"/>
      <c r="BF53" s="802"/>
      <c r="BG53" s="802"/>
      <c r="BH53" s="802"/>
    </row>
    <row customHeight="1" ht="11.25">
      <c r="A54" s="1724" t="s">
        <v>252</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1699</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252</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1700</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252</v>
      </c>
      <c r="B56" s="1724" t="s">
        <v>253</v>
      </c>
      <c r="C56" s="1724" t="s">
        <v>254</v>
      </c>
      <c r="D56" s="1724" t="s">
        <v>2104</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252</v>
      </c>
      <c r="B57" s="1724" t="s">
        <v>253</v>
      </c>
      <c r="C57" s="1724" t="s">
        <v>254</v>
      </c>
      <c r="D57" s="1724" t="s">
        <v>2104</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252</v>
      </c>
      <c r="B58" s="1703" t="s">
        <v>253</v>
      </c>
      <c r="C58" s="1703" t="s">
        <v>254</v>
      </c>
      <c r="D58" s="1703" t="s">
        <v>2104</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252</v>
      </c>
      <c r="B59" s="1703" t="s">
        <v>253</v>
      </c>
      <c r="C59" s="1703" t="s">
        <v>254</v>
      </c>
      <c r="D59" s="1703" t="s">
        <v>2104</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252</v>
      </c>
      <c r="B60" s="1703" t="s">
        <v>253</v>
      </c>
      <c r="C60" s="1703" t="s">
        <v>254</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252</v>
      </c>
      <c r="B61" s="1703" t="s">
        <v>253</v>
      </c>
      <c r="C61" s="1674"/>
      <c r="D61" s="1674"/>
      <c r="E61" s="2490"/>
      <c r="F61" s="2489"/>
      <c r="G61" s="1674"/>
      <c r="H61" s="1674"/>
      <c r="I61" s="1674"/>
      <c r="J61" s="1674"/>
      <c r="K61" s="1674"/>
      <c r="L61" s="185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252</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1510</v>
      </c>
      <c r="T67" s="2517" t="s">
        <v>1676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AF402-21E1-43B6-41BB-4ADE250B822F}"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2105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2106</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1685</v>
      </c>
      <c r="W38" s="2493" t="s">
        <v>1497</v>
      </c>
      <c r="X38" s="2494"/>
      <c r="Y38" s="2499" t="s">
        <v>1498</v>
      </c>
      <c r="Z38" s="2500"/>
      <c r="AA38" s="2501"/>
      <c r="AB38" s="2510"/>
      <c r="AC38" s="1845" t="s">
        <v>1685</v>
      </c>
      <c r="AD38" s="2493" t="s">
        <v>1497</v>
      </c>
      <c r="AE38" s="2494"/>
      <c r="AF38" s="2499" t="s">
        <v>1498</v>
      </c>
      <c r="AG38" s="2500"/>
      <c r="AH38" s="2501"/>
      <c r="AI38" s="2510"/>
      <c r="AJ38" s="2513"/>
      <c r="AK38" s="2342"/>
    </row>
    <row customHeight="1" ht="86.2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45" t="s">
        <v>2107</v>
      </c>
      <c r="W39" s="1562" t="s">
        <v>2108</v>
      </c>
      <c r="X39" s="1562" t="s">
        <v>1690</v>
      </c>
      <c r="Y39" s="1851" t="s">
        <v>1508</v>
      </c>
      <c r="Z39" s="2502" t="s">
        <v>1509</v>
      </c>
      <c r="AA39" s="2503"/>
      <c r="AB39" s="2511"/>
      <c r="AC39" s="1845" t="s">
        <v>2107</v>
      </c>
      <c r="AD39" s="1562" t="s">
        <v>2108</v>
      </c>
      <c r="AE39" s="1562" t="s">
        <v>1690</v>
      </c>
      <c r="AF39" s="1851"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257</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257</v>
      </c>
      <c r="B42" s="1724" t="s">
        <v>258</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257</v>
      </c>
      <c r="B43" s="1724" t="s">
        <v>258</v>
      </c>
      <c r="C43" s="1724" t="s">
        <v>259</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2105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2106</v>
      </c>
      <c r="AM43" s="802"/>
      <c r="AN43" s="802" t="str">
        <f>IF(T43="","",T43)</f>
        <v>Наименование централизованной системы водоотведения</v>
      </c>
      <c r="AO43" s="802"/>
      <c r="AP43" s="802"/>
    </row>
    <row customHeight="1" ht="23.25">
      <c r="A44" s="1724" t="s">
        <v>257</v>
      </c>
      <c r="B44" s="1724" t="s">
        <v>258</v>
      </c>
      <c r="C44" s="1724" t="s">
        <v>259</v>
      </c>
      <c r="D44" s="1724" t="s">
        <v>2109</v>
      </c>
      <c r="E44" s="2490"/>
      <c r="F44" s="2490"/>
      <c r="G44" s="2490"/>
      <c r="H44" s="2490"/>
      <c r="I44" s="2518" t="str">
        <f>S43&amp;".1"</f>
        <v>...1</v>
      </c>
      <c r="J44" s="1724"/>
      <c r="K44" s="1724"/>
      <c r="L44" s="1725"/>
      <c r="P44" s="2488">
        <v>1</v>
      </c>
      <c r="Q44" s="1843"/>
      <c r="R44" s="642"/>
      <c r="S44" s="1855"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257</v>
      </c>
      <c r="B45" s="1724" t="s">
        <v>258</v>
      </c>
      <c r="C45" s="1724" t="s">
        <v>259</v>
      </c>
      <c r="D45" s="1724" t="s">
        <v>2109</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257</v>
      </c>
      <c r="B46" s="1724" t="s">
        <v>258</v>
      </c>
      <c r="C46" s="1724" t="s">
        <v>259</v>
      </c>
      <c r="D46" s="1724" t="s">
        <v>2109</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257</v>
      </c>
      <c r="B47" s="1724" t="s">
        <v>258</v>
      </c>
      <c r="C47" s="1724" t="s">
        <v>259</v>
      </c>
      <c r="D47" s="1724" t="s">
        <v>2109</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257</v>
      </c>
      <c r="B48" s="1724" t="s">
        <v>258</v>
      </c>
      <c r="C48" s="1724" t="s">
        <v>259</v>
      </c>
      <c r="D48" s="1724" t="s">
        <v>2109</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257</v>
      </c>
      <c r="B49" s="1724" t="s">
        <v>258</v>
      </c>
      <c r="C49" s="1724" t="s">
        <v>259</v>
      </c>
      <c r="D49" s="1724" t="s">
        <v>2109</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257</v>
      </c>
      <c r="B50" s="1724" t="s">
        <v>258</v>
      </c>
      <c r="C50" s="1724" t="s">
        <v>259</v>
      </c>
      <c r="D50" s="1724" t="s">
        <v>2109</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257</v>
      </c>
      <c r="B51" s="1703" t="s">
        <v>258</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257</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2110</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2111</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C6144-9A08-AB83-8FC2-8C9AF1C4092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123</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2105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2106</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1679</v>
      </c>
      <c r="U5" s="575"/>
      <c r="V5" s="2639"/>
      <c r="W5" s="2640"/>
      <c r="X5" s="2640"/>
      <c r="Y5" s="2640"/>
      <c r="Z5" s="2640"/>
      <c r="AA5" s="2640"/>
      <c r="AB5" s="2641"/>
      <c r="AC5" s="2642"/>
      <c r="AD5" s="2643"/>
      <c r="AE5" s="2643"/>
      <c r="AF5" s="2643"/>
      <c r="AG5" s="2643"/>
      <c r="AH5" s="2643"/>
      <c r="AI5" s="2643"/>
      <c r="AJ5" s="2644"/>
      <c r="AK5" s="1611" t="s">
        <v>1680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1682</v>
      </c>
      <c r="U9" s="657"/>
      <c r="V9" s="657"/>
      <c r="W9" s="657"/>
      <c r="X9" s="657"/>
      <c r="Y9" s="657"/>
      <c r="Z9" s="657"/>
      <c r="AA9" s="657"/>
      <c r="AB9" s="657"/>
      <c r="AC9" s="657"/>
      <c r="AD9" s="657"/>
      <c r="AE9" s="657"/>
      <c r="AF9" s="657"/>
      <c r="AG9" s="657"/>
      <c r="AH9" s="657"/>
      <c r="AI9" s="657"/>
      <c r="AJ9" s="657"/>
      <c r="AK9" s="1611" t="s">
        <v>1683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291</v>
      </c>
      <c r="T36" s="2342"/>
      <c r="U36" s="2342"/>
      <c r="V36" s="2342"/>
      <c r="W36" s="2342"/>
      <c r="X36" s="2342"/>
      <c r="Y36" s="2342"/>
      <c r="Z36" s="2342"/>
      <c r="AA36" s="2342"/>
      <c r="AB36" s="2342"/>
      <c r="AC36" s="2342"/>
      <c r="AD36" s="2342"/>
      <c r="AE36" s="2342"/>
      <c r="AF36" s="2342"/>
      <c r="AG36" s="2342"/>
      <c r="AH36" s="2342"/>
      <c r="AI36" s="2342"/>
      <c r="AJ36" s="2342"/>
      <c r="AK36" s="2342" t="s">
        <v>292</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1685</v>
      </c>
      <c r="W38" s="2493" t="s">
        <v>1497</v>
      </c>
      <c r="X38" s="2494"/>
      <c r="Y38" s="2499" t="s">
        <v>1498</v>
      </c>
      <c r="Z38" s="2500"/>
      <c r="AA38" s="2501"/>
      <c r="AB38" s="2510"/>
      <c r="AC38" s="1845" t="s">
        <v>1685</v>
      </c>
      <c r="AD38" s="2493" t="s">
        <v>1497</v>
      </c>
      <c r="AE38" s="2494"/>
      <c r="AF38" s="2499" t="s">
        <v>1498</v>
      </c>
      <c r="AG38" s="2500"/>
      <c r="AH38" s="2501"/>
      <c r="AI38" s="2510"/>
      <c r="AJ38" s="2513"/>
      <c r="AK38" s="2342"/>
    </row>
    <row customHeight="1" ht="86.25">
      <c r="A39" s="1731"/>
      <c r="B39" s="1731" t="s">
        <v>135</v>
      </c>
      <c r="C39" s="1731" t="s">
        <v>136</v>
      </c>
      <c r="D39" s="1731" t="s">
        <v>137</v>
      </c>
      <c r="E39" s="1725" t="s">
        <v>1499</v>
      </c>
      <c r="F39" s="1725" t="s">
        <v>1500</v>
      </c>
      <c r="G39" s="1725" t="s">
        <v>1501</v>
      </c>
      <c r="H39" s="1725"/>
      <c r="I39" s="1725" t="s">
        <v>1686</v>
      </c>
      <c r="J39" s="1725" t="s">
        <v>1504</v>
      </c>
      <c r="K39" s="1725" t="s">
        <v>1687</v>
      </c>
      <c r="L39" s="1725" t="s">
        <v>1480</v>
      </c>
      <c r="Q39" s="667"/>
      <c r="R39" s="667"/>
      <c r="S39" s="2505"/>
      <c r="T39" s="2366"/>
      <c r="U39" s="577"/>
      <c r="V39" s="1845" t="s">
        <v>2107</v>
      </c>
      <c r="W39" s="1562" t="s">
        <v>2108</v>
      </c>
      <c r="X39" s="1562" t="s">
        <v>1690</v>
      </c>
      <c r="Y39" s="1851" t="s">
        <v>1508</v>
      </c>
      <c r="Z39" s="2502" t="s">
        <v>1509</v>
      </c>
      <c r="AA39" s="2503"/>
      <c r="AB39" s="2511"/>
      <c r="AC39" s="1845" t="s">
        <v>2107</v>
      </c>
      <c r="AD39" s="1562" t="s">
        <v>2108</v>
      </c>
      <c r="AE39" s="1562" t="s">
        <v>1690</v>
      </c>
      <c r="AF39" s="1851" t="s">
        <v>1508</v>
      </c>
      <c r="AG39" s="2502" t="s">
        <v>1509</v>
      </c>
      <c r="AH39" s="2503"/>
      <c r="AI39" s="2511"/>
      <c r="AJ39" s="2514"/>
      <c r="AK39" s="2342"/>
    </row>
    <row s="11084"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99</v>
      </c>
      <c r="T40" s="1606" t="s">
        <v>109</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262</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123</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262</v>
      </c>
      <c r="B42" s="1724" t="s">
        <v>263</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262</v>
      </c>
      <c r="B43" s="1724" t="s">
        <v>263</v>
      </c>
      <c r="C43" s="1724" t="s">
        <v>264</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2105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2106</v>
      </c>
      <c r="AM43" s="802"/>
      <c r="AN43" s="802" t="str">
        <f>IF(T43="","",T43)</f>
        <v>Наименование централизованной системы водоотведения</v>
      </c>
      <c r="AO43" s="802"/>
      <c r="AP43" s="802"/>
    </row>
    <row customHeight="1" ht="23.25">
      <c r="A44" s="1724" t="s">
        <v>262</v>
      </c>
      <c r="B44" s="1724" t="s">
        <v>263</v>
      </c>
      <c r="C44" s="1724" t="s">
        <v>264</v>
      </c>
      <c r="D44" s="1724" t="s">
        <v>2112</v>
      </c>
      <c r="E44" s="2490"/>
      <c r="F44" s="2490"/>
      <c r="G44" s="2490"/>
      <c r="H44" s="2490"/>
      <c r="I44" s="2518" t="str">
        <f>S43&amp;".1"</f>
        <v>...1</v>
      </c>
      <c r="J44" s="1724"/>
      <c r="K44" s="1724"/>
      <c r="L44" s="1725"/>
      <c r="P44" s="2488">
        <v>1</v>
      </c>
      <c r="Q44" s="1843"/>
      <c r="R44" s="642"/>
      <c r="S44" s="1855" t="str">
        <f>$I44</f>
        <v>...1</v>
      </c>
      <c r="T44" s="560" t="s">
        <v>1679</v>
      </c>
      <c r="U44" s="575"/>
      <c r="V44" s="2639"/>
      <c r="W44" s="2640"/>
      <c r="X44" s="2640"/>
      <c r="Y44" s="2640"/>
      <c r="Z44" s="2640"/>
      <c r="AA44" s="2640"/>
      <c r="AB44" s="2641"/>
      <c r="AC44" s="2642"/>
      <c r="AD44" s="2643"/>
      <c r="AE44" s="2643"/>
      <c r="AF44" s="2643"/>
      <c r="AG44" s="2643"/>
      <c r="AH44" s="2643"/>
      <c r="AI44" s="2643"/>
      <c r="AJ44" s="2644"/>
      <c r="AK44" s="1611" t="s">
        <v>1680</v>
      </c>
      <c r="AM44" s="802"/>
      <c r="AN44" s="802" t="str">
        <f>IF(T44="","",T44)</f>
        <v>Наименование признака дифференциации</v>
      </c>
      <c r="AO44" s="802"/>
      <c r="AP44" s="802"/>
    </row>
    <row customHeight="1" ht="23.25">
      <c r="A45" s="1724" t="s">
        <v>262</v>
      </c>
      <c r="B45" s="1724" t="s">
        <v>263</v>
      </c>
      <c r="C45" s="1724" t="s">
        <v>264</v>
      </c>
      <c r="D45" s="1724" t="s">
        <v>2112</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1681</v>
      </c>
      <c r="AM45" s="802"/>
      <c r="AN45" s="802" t="str">
        <f>IF(T45="","",T45)</f>
        <v>Группа потребителей</v>
      </c>
      <c r="AO45" s="802"/>
      <c r="AP45" s="802"/>
    </row>
    <row customHeight="1" ht="23.25">
      <c r="A46" s="1724" t="s">
        <v>262</v>
      </c>
      <c r="B46" s="1724" t="s">
        <v>263</v>
      </c>
      <c r="C46" s="1724" t="s">
        <v>264</v>
      </c>
      <c r="D46" s="1724" t="s">
        <v>2112</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262</v>
      </c>
      <c r="B47" s="1724" t="s">
        <v>263</v>
      </c>
      <c r="C47" s="1724" t="s">
        <v>264</v>
      </c>
      <c r="D47" s="1724" t="s">
        <v>2112</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262</v>
      </c>
      <c r="B48" s="1724" t="s">
        <v>263</v>
      </c>
      <c r="C48" s="1724" t="s">
        <v>264</v>
      </c>
      <c r="D48" s="1724" t="s">
        <v>2112</v>
      </c>
      <c r="E48" s="2490"/>
      <c r="F48" s="2490"/>
      <c r="G48" s="2490"/>
      <c r="H48" s="2490"/>
      <c r="I48" s="2519"/>
      <c r="J48" s="2487"/>
      <c r="K48" s="1724"/>
      <c r="L48" s="1725"/>
      <c r="P48" s="2488"/>
      <c r="Q48" s="2488"/>
      <c r="R48" s="642"/>
      <c r="S48" s="1633"/>
      <c r="T48" s="562" t="s">
        <v>1682</v>
      </c>
      <c r="U48" s="657"/>
      <c r="V48" s="657"/>
      <c r="W48" s="657"/>
      <c r="X48" s="657"/>
      <c r="Y48" s="657"/>
      <c r="Z48" s="657"/>
      <c r="AA48" s="657"/>
      <c r="AB48" s="657"/>
      <c r="AC48" s="657"/>
      <c r="AD48" s="657"/>
      <c r="AE48" s="657"/>
      <c r="AF48" s="657"/>
      <c r="AG48" s="657"/>
      <c r="AH48" s="657"/>
      <c r="AI48" s="657"/>
      <c r="AJ48" s="657"/>
      <c r="AK48" s="1611" t="s">
        <v>1683</v>
      </c>
      <c r="AM48" s="802"/>
      <c r="AN48" s="802" t="str">
        <f>IF(T48="","",T48)</f>
        <v>Добавить значение признака дифференциации</v>
      </c>
      <c r="AO48" s="802"/>
      <c r="AP48" s="802"/>
    </row>
    <row customHeight="1" ht="21">
      <c r="A49" s="1724" t="s">
        <v>262</v>
      </c>
      <c r="B49" s="1724" t="s">
        <v>263</v>
      </c>
      <c r="C49" s="1724" t="s">
        <v>264</v>
      </c>
      <c r="D49" s="1724" t="s">
        <v>2112</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262</v>
      </c>
      <c r="B50" s="1724" t="s">
        <v>263</v>
      </c>
      <c r="C50" s="1724" t="s">
        <v>264</v>
      </c>
      <c r="D50" s="1724" t="s">
        <v>2112</v>
      </c>
      <c r="E50" s="2490"/>
      <c r="F50" s="2490"/>
      <c r="G50" s="2490"/>
      <c r="H50" s="2489"/>
      <c r="I50" s="1724"/>
      <c r="J50" s="1724"/>
      <c r="K50" s="1724"/>
      <c r="L50" s="1725"/>
      <c r="M50" s="1726"/>
      <c r="N50" s="1726"/>
      <c r="O50" s="839"/>
      <c r="P50" s="646"/>
      <c r="Q50" s="666"/>
      <c r="R50" s="641"/>
      <c r="S50" s="1633"/>
      <c r="T50" s="662" t="s">
        <v>1684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262</v>
      </c>
      <c r="B51" s="1703" t="s">
        <v>263</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262</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2110</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2111</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E124E-7BAC-C606-7495-F4559510C16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83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123</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2105</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2106</v>
      </c>
      <c r="BE4" s="802"/>
      <c r="BF4" s="802" t="str">
        <f>IF(T4="","",T4)</f>
        <v>Наименование централизованной системы водоотведения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63</v>
      </c>
      <c r="AB8" s="2114"/>
      <c r="AC8" s="1831" t="s">
        <v>63</v>
      </c>
      <c r="AD8" s="2297" t="s">
        <v>63</v>
      </c>
      <c r="AE8" s="2561"/>
      <c r="AF8" s="2562">
        <v>1</v>
      </c>
      <c r="AG8" s="2654"/>
      <c r="AH8" s="2207" t="s">
        <v>63</v>
      </c>
      <c r="AI8" s="2561"/>
      <c r="AJ8" s="2562">
        <v>1</v>
      </c>
      <c r="AK8" s="2653" t="s">
        <v>17</v>
      </c>
      <c r="AL8" s="2207" t="s">
        <v>63</v>
      </c>
      <c r="AM8" s="2645"/>
      <c r="AN8" s="2562">
        <v>1</v>
      </c>
      <c r="AO8" s="2647"/>
      <c r="AP8" s="2648" t="s">
        <v>63</v>
      </c>
      <c r="AQ8" s="588"/>
      <c r="AR8" s="1848">
        <v>1</v>
      </c>
      <c r="AS8" s="1854" t="s">
        <v>17</v>
      </c>
      <c r="AT8" s="4130"/>
      <c r="AU8" s="4132"/>
      <c r="AV8" s="4130"/>
      <c r="AW8" s="4132"/>
      <c r="AX8" s="2114"/>
      <c r="AY8" s="1831" t="s">
        <v>63</v>
      </c>
      <c r="AZ8" s="2114"/>
      <c r="BA8" s="1831" t="s">
        <v>63</v>
      </c>
      <c r="BB8" s="4231"/>
      <c r="BC8" s="2484" t="s">
        <v>1697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1698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2113</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2114</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47" t="s">
        <v>63</v>
      </c>
      <c r="AZ20" s="2116"/>
      <c r="BA20" s="1847" t="s">
        <v>63</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1480</v>
      </c>
      <c r="P24" s="1870"/>
      <c r="Q24" s="1872"/>
      <c r="R24" s="1872"/>
      <c r="AA24" s="1869" t="s">
        <v>1482</v>
      </c>
      <c r="AC24" s="1869" t="s">
        <v>1483</v>
      </c>
      <c r="AD24" s="1869" t="s">
        <v>1543</v>
      </c>
      <c r="AH24" s="1869" t="s">
        <v>1543</v>
      </c>
      <c r="AK24" s="1869" t="s">
        <v>1702</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291</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292</v>
      </c>
    </row>
    <row customHeight="1" ht="14.25">
      <c r="Q41" s="566"/>
      <c r="R41" s="667"/>
      <c r="S41" s="2505" t="s">
        <v>88</v>
      </c>
      <c r="T41" s="2366" t="s">
        <v>1703</v>
      </c>
      <c r="U41" s="576"/>
      <c r="V41" s="2506" t="s">
        <v>1491</v>
      </c>
      <c r="W41" s="2507"/>
      <c r="X41" s="2507"/>
      <c r="Y41" s="2507"/>
      <c r="Z41" s="2507"/>
      <c r="AA41" s="2507"/>
      <c r="AB41" s="2508"/>
      <c r="AC41" s="2509" t="s">
        <v>1492</v>
      </c>
      <c r="AD41" s="2564" t="s">
        <v>2115</v>
      </c>
      <c r="AE41" s="2523"/>
      <c r="AF41" s="2523"/>
      <c r="AG41" s="2565"/>
      <c r="AH41" s="2564" t="s">
        <v>2116</v>
      </c>
      <c r="AI41" s="2523"/>
      <c r="AJ41" s="2523"/>
      <c r="AK41" s="2565"/>
      <c r="AL41" s="2564" t="s">
        <v>2117</v>
      </c>
      <c r="AM41" s="2523"/>
      <c r="AN41" s="2523"/>
      <c r="AO41" s="2565"/>
      <c r="AP41" s="2564" t="s">
        <v>1707</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1708</v>
      </c>
      <c r="W42" s="2356"/>
      <c r="X42" s="2355" t="s">
        <v>1709</v>
      </c>
      <c r="Y42" s="2356"/>
      <c r="Z42" s="2542" t="s">
        <v>1710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2118</v>
      </c>
      <c r="AU42" s="2356"/>
      <c r="AV42" s="2355" t="s">
        <v>2119</v>
      </c>
      <c r="AW42" s="2356"/>
      <c r="AX42" s="2542" t="s">
        <v>1710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135</v>
      </c>
      <c r="C44" s="1731" t="s">
        <v>136</v>
      </c>
      <c r="D44" s="1731" t="s">
        <v>137</v>
      </c>
      <c r="E44" s="1725" t="s">
        <v>1499</v>
      </c>
      <c r="F44" s="1725" t="s">
        <v>1500</v>
      </c>
      <c r="G44" s="1725" t="s">
        <v>1501</v>
      </c>
      <c r="H44" s="1725" t="s">
        <v>1502</v>
      </c>
      <c r="I44" s="1725" t="s">
        <v>1503</v>
      </c>
      <c r="J44" s="1725" t="s">
        <v>1504</v>
      </c>
      <c r="K44" s="1725" t="s">
        <v>1505</v>
      </c>
      <c r="L44" s="1725" t="s">
        <v>1480</v>
      </c>
      <c r="Q44" s="566"/>
      <c r="R44" s="667"/>
      <c r="S44" s="2505"/>
      <c r="T44" s="2366"/>
      <c r="U44" s="577"/>
      <c r="V44" s="1841" t="s">
        <v>1551</v>
      </c>
      <c r="W44" s="1841" t="s">
        <v>1552</v>
      </c>
      <c r="X44" s="1841" t="s">
        <v>1551</v>
      </c>
      <c r="Y44" s="1841" t="s">
        <v>1552</v>
      </c>
      <c r="Z44" s="1851"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41" t="s">
        <v>1551</v>
      </c>
      <c r="AU44" s="1841" t="s">
        <v>1552</v>
      </c>
      <c r="AV44" s="1841" t="s">
        <v>1551</v>
      </c>
      <c r="AW44" s="1841" t="s">
        <v>1552</v>
      </c>
      <c r="AX44" s="1851" t="s">
        <v>1508</v>
      </c>
      <c r="AY44" s="2502" t="s">
        <v>1509</v>
      </c>
      <c r="AZ44" s="2503"/>
      <c r="BA44" s="2511"/>
      <c r="BB44" s="2514"/>
      <c r="BC44" s="2342"/>
    </row>
    <row s="11084"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99</v>
      </c>
      <c r="T45" s="1606" t="s">
        <v>109</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267</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123</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267</v>
      </c>
      <c r="B47" s="1724" t="s">
        <v>268</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33.75">
      <c r="A48" s="1724" t="s">
        <v>267</v>
      </c>
      <c r="B48" s="1724" t="s">
        <v>268</v>
      </c>
      <c r="C48" s="1724" t="s">
        <v>269</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2105</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2106</v>
      </c>
      <c r="BE48" s="802"/>
      <c r="BF48" s="802" t="str">
        <f>IF(T48="","",T48)</f>
        <v>Наименование централизованной системы водоотведения</v>
      </c>
      <c r="BG48" s="802"/>
      <c r="BH48" s="802"/>
    </row>
    <row s="11901" customFormat="1" customHeight="1" ht="0">
      <c r="A49" s="1703" t="s">
        <v>267</v>
      </c>
      <c r="B49" s="1703" t="s">
        <v>268</v>
      </c>
      <c r="C49" s="1703" t="s">
        <v>269</v>
      </c>
      <c r="D49" s="1703" t="s">
        <v>2120</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901" customFormat="1" customHeight="1" ht="0">
      <c r="A50" s="1703" t="s">
        <v>267</v>
      </c>
      <c r="B50" s="1703" t="s">
        <v>268</v>
      </c>
      <c r="C50" s="1703" t="s">
        <v>269</v>
      </c>
      <c r="D50" s="1703" t="s">
        <v>2120</v>
      </c>
      <c r="E50" s="2490"/>
      <c r="F50" s="2490"/>
      <c r="G50" s="2490"/>
      <c r="H50" s="2490"/>
      <c r="I50" s="2518" t="str">
        <f>S49&amp;".1"</f>
        <v>.1</v>
      </c>
      <c r="J50" s="1703"/>
      <c r="K50" s="1703"/>
      <c r="L50" s="1706" t="s">
        <v>1468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267</v>
      </c>
      <c r="B51" s="1703" t="s">
        <v>268</v>
      </c>
      <c r="C51" s="1703" t="s">
        <v>269</v>
      </c>
      <c r="D51" s="1703" t="s">
        <v>2120</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267</v>
      </c>
      <c r="B52" s="1724" t="s">
        <v>268</v>
      </c>
      <c r="C52" s="1724" t="s">
        <v>269</v>
      </c>
      <c r="D52" s="1724" t="s">
        <v>2120</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63</v>
      </c>
      <c r="AB52" s="2114"/>
      <c r="AC52" s="183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48">
        <v>1</v>
      </c>
      <c r="AS52" s="1854" t="s">
        <v>17</v>
      </c>
      <c r="AT52" s="4130"/>
      <c r="AU52" s="4132"/>
      <c r="AV52" s="4130"/>
      <c r="AW52" s="4132"/>
      <c r="AX52" s="2114"/>
      <c r="AY52" s="1831" t="s">
        <v>63</v>
      </c>
      <c r="AZ52" s="2114"/>
      <c r="BA52" s="1831" t="s">
        <v>63</v>
      </c>
      <c r="BB52" s="4231"/>
      <c r="BC52" s="2484" t="s">
        <v>1697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1698</v>
      </c>
      <c r="AT53" s="4290"/>
      <c r="AU53" s="4346"/>
      <c r="AV53" s="4290"/>
      <c r="AW53" s="4346"/>
      <c r="AX53" s="4290"/>
      <c r="AY53" s="4290"/>
      <c r="AZ53" s="4290"/>
      <c r="BA53" s="4290"/>
      <c r="BB53" s="4344"/>
      <c r="BC53" s="2485"/>
      <c r="BE53" s="802"/>
      <c r="BF53" s="802"/>
      <c r="BG53" s="802"/>
      <c r="BH53" s="802"/>
    </row>
    <row customHeight="1" ht="11.25">
      <c r="A54" s="1724" t="s">
        <v>267</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2113</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267</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2114</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267</v>
      </c>
      <c r="B56" s="1724" t="s">
        <v>268</v>
      </c>
      <c r="C56" s="1724" t="s">
        <v>269</v>
      </c>
      <c r="D56" s="1724" t="s">
        <v>2120</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267</v>
      </c>
      <c r="B57" s="1724" t="s">
        <v>268</v>
      </c>
      <c r="C57" s="1724" t="s">
        <v>269</v>
      </c>
      <c r="D57" s="1724" t="s">
        <v>2120</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267</v>
      </c>
      <c r="B58" s="1703" t="s">
        <v>268</v>
      </c>
      <c r="C58" s="1703" t="s">
        <v>269</v>
      </c>
      <c r="D58" s="1703" t="s">
        <v>2120</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267</v>
      </c>
      <c r="B59" s="1703" t="s">
        <v>268</v>
      </c>
      <c r="C59" s="1703" t="s">
        <v>269</v>
      </c>
      <c r="D59" s="1703" t="s">
        <v>2120</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267</v>
      </c>
      <c r="B60" s="1703" t="s">
        <v>268</v>
      </c>
      <c r="C60" s="1703" t="s">
        <v>269</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267</v>
      </c>
      <c r="B61" s="1703" t="s">
        <v>268</v>
      </c>
      <c r="C61" s="1674"/>
      <c r="D61" s="1674"/>
      <c r="E61" s="2490"/>
      <c r="F61" s="2489"/>
      <c r="G61" s="1674"/>
      <c r="H61" s="1674"/>
      <c r="I61" s="1674"/>
      <c r="J61" s="1674"/>
      <c r="K61" s="1674"/>
      <c r="L61" s="185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267</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1510</v>
      </c>
      <c r="T67" s="2517" t="s">
        <v>1676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449CF-7EC7-06FB-384B-5E0374972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3F53-7A9A-DFE6-8835-08903B930C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171C9-0748-0674-3ABF-2BE1EE2C4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1F5E8-BDD2-4927-46AA-F09FD6CFD3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3BC82-257D-6CDE-DE0A-60FE5AD09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C66E1-534E-77C2-6C04-B08F2A485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F66EB-3919-FFEC-8E21-3D5CE84EFC4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850" width="9.140625" hidden="1"/>
    <col min="2" max="2" style="12862" width="9.140625" hidden="1"/>
    <col min="3" max="3" style="12863" width="3.7109375" customWidth="1"/>
    <col min="4" max="4" style="12864" width="7.00390625" customWidth="1"/>
    <col min="5" max="5" style="12864" width="23.140625" customWidth="1"/>
    <col min="6" max="6" style="12864" width="16.00390625" customWidth="1"/>
    <col min="7" max="7" style="12864" width="14.8515625" customWidth="1"/>
    <col min="8" max="8" style="12864" width="47.8515625" customWidth="1"/>
    <col min="9" max="9" style="12864" width="115.7109375" customWidth="1"/>
    <col min="10" max="10" style="12864" width="3.7109375" customWidth="1"/>
    <col min="11" max="12" style="12864" width="9.140625"/>
  </cols>
  <sheetData>
    <row customHeight="1" ht="14.25" hidden="1"/>
    <row customHeight="1" ht="14.25" hidden="1"/>
    <row customHeight="1" ht="14.25" hidden="1"/>
    <row customHeight="1" ht="3"/>
    <row s="10659" customFormat="1" customHeight="1" ht="30">
      <c r="A5" s="385"/>
      <c r="C5" s="357"/>
      <c r="D5" s="2200" t="s">
        <v>2121</v>
      </c>
      <c r="E5" s="2200"/>
      <c r="F5" s="2200"/>
      <c r="G5" s="2200"/>
      <c r="H5" s="2200"/>
      <c r="I5" s="538"/>
    </row>
    <row customHeight="1" ht="3" hidden="1">
      <c r="D6" s="392"/>
      <c r="E6" s="392"/>
      <c r="F6" s="392"/>
      <c r="G6" s="392"/>
      <c r="H6" s="392"/>
      <c r="I6" s="392"/>
    </row>
    <row s="12850" customFormat="1" customHeight="1" ht="14.25">
      <c r="B7" s="389"/>
      <c r="C7" s="390"/>
      <c r="D7" s="393"/>
      <c r="E7" s="393"/>
      <c r="F7" s="393"/>
      <c r="G7" s="393"/>
      <c r="H7" s="1056"/>
      <c r="I7" s="393"/>
      <c r="J7" s="394"/>
    </row>
    <row customHeight="1" ht="14.25">
      <c r="D8" s="2757" t="s">
        <v>291</v>
      </c>
      <c r="E8" s="2757"/>
      <c r="F8" s="2757"/>
      <c r="G8" s="2757"/>
      <c r="H8" s="2757"/>
      <c r="I8" s="2757" t="s">
        <v>292</v>
      </c>
    </row>
    <row customHeight="1" ht="27.75">
      <c r="D9" s="2757" t="s">
        <v>88</v>
      </c>
      <c r="E9" s="2757" t="s">
        <v>2122</v>
      </c>
      <c r="F9" s="2757"/>
      <c r="G9" s="2757"/>
      <c r="H9" s="2757"/>
      <c r="I9" s="2757"/>
    </row>
    <row customHeight="1" ht="22.5">
      <c r="D10" s="2757"/>
      <c r="E10" s="397" t="s">
        <v>2123</v>
      </c>
      <c r="F10" s="397" t="s">
        <v>2124</v>
      </c>
      <c r="G10" s="397" t="s">
        <v>2125</v>
      </c>
      <c r="H10" s="397" t="s">
        <v>383</v>
      </c>
      <c r="I10" s="2757"/>
    </row>
    <row customHeight="1" ht="12" hidden="1">
      <c r="D11" s="354" t="s">
        <v>99</v>
      </c>
      <c r="E11" s="354" t="s">
        <v>91</v>
      </c>
      <c r="F11" s="354" t="s">
        <v>110</v>
      </c>
      <c r="G11" s="354" t="s">
        <v>92</v>
      </c>
      <c r="H11" s="354" t="s">
        <v>93</v>
      </c>
      <c r="I11" s="354" t="s">
        <v>111</v>
      </c>
    </row>
    <row s="11381" customFormat="1" customHeight="1" ht="24.75">
      <c r="A12" s="416" t="s">
        <v>90</v>
      </c>
      <c r="B12" s="395" t="s">
        <v>17</v>
      </c>
      <c r="C12" s="396"/>
      <c r="D12" s="398" t="s">
        <v>99</v>
      </c>
      <c r="E12" s="677"/>
      <c r="F12" s="677"/>
      <c r="G12" s="2114" t="s">
        <v>17</v>
      </c>
      <c r="H12" s="678"/>
      <c r="I12" s="2352" t="s">
        <v>2126</v>
      </c>
      <c r="K12" s="545"/>
      <c r="L12" s="546"/>
    </row>
    <row customHeight="1" ht="15">
      <c r="A13" s="391"/>
      <c r="B13" s="391"/>
      <c r="C13" s="391"/>
      <c r="D13" s="379"/>
      <c r="E13" s="400" t="s">
        <v>1542</v>
      </c>
      <c r="F13" s="399"/>
      <c r="G13" s="399"/>
      <c r="H13" s="487"/>
      <c r="I13" s="2354"/>
    </row>
    <row customHeight="1" ht="3">
      <c r="A14" s="391"/>
      <c r="B14" s="391"/>
      <c r="C14" s="391"/>
    </row>
    <row customHeight="1" ht="27.75">
      <c r="E15" s="2756" t="s">
        <v>2127</v>
      </c>
      <c r="F15" s="2756"/>
      <c r="G15" s="2756"/>
      <c r="H15" s="27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079B7-B6EE-A53C-F25B-3D02741DA7A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343" width="9.140625" hidden="1"/>
    <col min="3" max="3" style="12878" width="3.7109375" customWidth="1"/>
    <col min="4" max="4" style="11343" width="6.28125" customWidth="1"/>
    <col min="5" max="5" style="11343" width="94.8515625" customWidth="1"/>
    <col min="6" max="9" style="11343"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58" t="s">
        <v>2128</v>
      </c>
      <c r="E7" s="2759"/>
      <c r="F7" s="540"/>
    </row>
    <row customHeight="1" ht="3">
      <c r="C8" s="360"/>
      <c r="D8" s="336"/>
      <c r="E8" s="336"/>
    </row>
    <row customHeight="1" ht="15.75">
      <c r="C9" s="360"/>
      <c r="D9" s="375" t="s">
        <v>88</v>
      </c>
      <c r="E9" s="533" t="s">
        <v>2129</v>
      </c>
    </row>
    <row customHeight="1" ht="12">
      <c r="C10" s="360"/>
      <c r="D10" s="354" t="s">
        <v>99</v>
      </c>
      <c r="E10" s="354" t="s">
        <v>109</v>
      </c>
    </row>
    <row customHeight="1" ht="11.25" hidden="1">
      <c r="C11" s="360"/>
      <c r="D11" s="421">
        <v>0</v>
      </c>
      <c r="E11" s="534"/>
    </row>
    <row customHeight="1" ht="15">
      <c r="C12" s="407"/>
      <c r="D12" s="383">
        <v>1</v>
      </c>
      <c r="E12" s="670"/>
    </row>
    <row customHeight="1" ht="12">
      <c r="C13" s="360"/>
      <c r="D13" s="535"/>
      <c r="E13" s="536" t="s">
        <v>2130</v>
      </c>
    </row>
    <row customHeight="1" ht="3"/>
    <row customHeight="1" ht="22.5">
      <c r="C15" s="408"/>
      <c r="D15" s="2760" t="s">
        <v>2131</v>
      </c>
      <c r="E15" s="2760"/>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B27D7-1366-FB4A-411C-31FD5CCBD542}" mc:Ignorable="x14ac xr xr2 xr3">
  <dimension ref="A1:I24"/>
  <sheetViews>
    <sheetView topLeftCell="A1" showGridLines="0" zoomScale="90" workbookViewId="0">
      <selection activeCell="A1" sqref="A1"/>
    </sheetView>
  </sheetViews>
  <sheetFormatPr defaultColWidth="9.140625" customHeight="1" defaultRowHeight="11.25"/>
  <cols>
    <col min="1" max="2" style="10991" width="15.00390625" hidden="1" customWidth="1"/>
    <col min="3" max="3" style="11038" width="3.7109375" customWidth="1"/>
    <col min="4" max="4" style="11039" width="6.8515625" customWidth="1"/>
    <col min="5" max="5" style="11038" width="52.28125" customWidth="1"/>
    <col min="6" max="6" style="11038" width="48.8515625" customWidth="1"/>
    <col min="7" max="7" style="11038" width="93.421875" customWidth="1"/>
    <col min="8" max="8" style="11038" width="9.140625"/>
    <col min="9" max="9" style="11038" width="65.00390625" customWidth="1"/>
  </cols>
  <sheetData>
    <row customHeight="1" ht="11.25" hidden="1">
      <c r="A1" s="803" t="s">
        <v>290</v>
      </c>
    </row>
    <row customHeight="1" ht="22.5" hidden="1">
      <c r="A2" s="804"/>
      <c r="B2" s="804"/>
      <c r="C2" s="759"/>
      <c r="D2" s="1886"/>
      <c r="E2" s="1892"/>
      <c r="F2" s="1922"/>
      <c r="H2" s="777"/>
    </row>
    <row customHeight="1" ht="11.25" hidden="1"/>
    <row customHeight="1" ht="11.25">
      <c r="A4" s="1923"/>
      <c r="B4" s="1923"/>
    </row>
    <row customHeight="1" ht="36.75">
      <c r="D5" s="231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6"/>
      <c r="F5" s="2317"/>
      <c r="I5" s="1017"/>
    </row>
    <row customHeight="1" ht="17.25">
      <c r="D6" s="2328" t="str">
        <f>IF(region_name=0,"Не определено",region_name)</f>
        <v>Республика Калмыкия</v>
      </c>
      <c r="E6" s="2328"/>
      <c r="F6" s="2328"/>
      <c r="I6" s="1017"/>
    </row>
    <row s="10953" customFormat="1" customHeight="1" ht="11.25">
      <c r="A7" s="803"/>
      <c r="B7" s="803"/>
      <c r="D7" s="1016"/>
      <c r="E7" s="1016"/>
      <c r="F7" s="1056"/>
      <c r="G7" s="1016"/>
    </row>
    <row customHeight="1" ht="11.25" hidden="1">
      <c r="A8" s="804"/>
      <c r="B8" s="804"/>
      <c r="C8" s="759"/>
      <c r="D8" s="765"/>
      <c r="E8" s="2324"/>
      <c r="F8" s="2324"/>
    </row>
    <row customHeight="1" ht="11.25">
      <c r="A9" s="804"/>
      <c r="B9" s="804"/>
      <c r="C9" s="759"/>
      <c r="D9" s="2320" t="s">
        <v>291</v>
      </c>
      <c r="E9" s="2321"/>
      <c r="F9" s="2321"/>
      <c r="G9" s="2325" t="s">
        <v>292</v>
      </c>
    </row>
    <row customHeight="1" ht="11.25">
      <c r="A10" s="804"/>
      <c r="B10" s="804"/>
      <c r="C10" s="759"/>
      <c r="D10" s="1836" t="s">
        <v>88</v>
      </c>
      <c r="E10" s="1838" t="s">
        <v>293</v>
      </c>
      <c r="F10" s="1838" t="s">
        <v>294</v>
      </c>
      <c r="G10" s="2326"/>
    </row>
    <row customHeight="1" ht="12">
      <c r="A11" s="804"/>
      <c r="B11" s="804"/>
      <c r="C11" s="759"/>
      <c r="D11" s="766"/>
      <c r="E11" s="766"/>
      <c r="F11" s="766"/>
      <c r="G11" s="766"/>
    </row>
    <row customHeight="1" ht="22.5">
      <c r="A12" s="804"/>
      <c r="B12" s="804"/>
      <c r="C12" s="759"/>
      <c r="D12" s="1886">
        <v>1</v>
      </c>
      <c r="E12" s="776" t="s">
        <v>2132</v>
      </c>
      <c r="F12" s="1892"/>
      <c r="G12" s="776" t="s">
        <v>2133</v>
      </c>
      <c r="H12" s="1899"/>
    </row>
    <row customHeight="1" ht="18.75">
      <c r="A13" s="804"/>
      <c r="B13" s="804"/>
      <c r="C13" s="759"/>
      <c r="D13" s="1886">
        <v>2</v>
      </c>
      <c r="E13" s="1893" t="s">
        <v>2134</v>
      </c>
      <c r="F13" s="1887" t="s">
        <v>297</v>
      </c>
      <c r="G13" s="776"/>
      <c r="H13" s="1899"/>
    </row>
    <row customHeight="1" ht="18.75">
      <c r="A14" s="804"/>
      <c r="B14" s="804"/>
      <c r="C14" s="759"/>
      <c r="D14" s="1889" t="s">
        <v>504</v>
      </c>
      <c r="E14" s="1890" t="s">
        <v>2135</v>
      </c>
      <c r="F14" s="1892"/>
      <c r="G14" s="1891" t="s">
        <v>2136</v>
      </c>
      <c r="H14" s="1899"/>
    </row>
    <row customHeight="1" ht="18.75">
      <c r="A15" s="804"/>
      <c r="B15" s="804"/>
      <c r="C15" s="759"/>
      <c r="D15" s="1889" t="s">
        <v>298</v>
      </c>
      <c r="E15" s="1890" t="s">
        <v>2137</v>
      </c>
      <c r="F15" s="1892"/>
      <c r="G15" s="1891" t="s">
        <v>2138</v>
      </c>
      <c r="H15" s="1899"/>
    </row>
    <row customHeight="1" ht="36.75">
      <c r="A16" s="804"/>
      <c r="B16" s="804"/>
      <c r="C16" s="759"/>
      <c r="D16" s="1889" t="s">
        <v>301</v>
      </c>
      <c r="E16" s="1888" t="s">
        <v>2139</v>
      </c>
      <c r="F16" s="1897"/>
      <c r="G16" s="776" t="s">
        <v>2140</v>
      </c>
      <c r="H16" s="1899"/>
    </row>
    <row customHeight="1" ht="45">
      <c r="A17" s="804"/>
      <c r="B17" s="804"/>
      <c r="C17" s="759"/>
      <c r="D17" s="1886">
        <v>3</v>
      </c>
      <c r="E17" s="1893" t="s">
        <v>2141</v>
      </c>
      <c r="F17" s="1892"/>
      <c r="G17" s="776" t="s">
        <v>2142</v>
      </c>
      <c r="H17" s="1899"/>
    </row>
    <row customHeight="1" ht="45">
      <c r="A18" s="1837">
        <v>1</v>
      </c>
      <c r="B18" s="804"/>
      <c r="C18" s="1839"/>
      <c r="D18" s="1886" t="s">
        <v>91</v>
      </c>
      <c r="E18" s="1893" t="s">
        <v>2143</v>
      </c>
      <c r="F18" s="1892"/>
      <c r="G18" s="776" t="s">
        <v>2142</v>
      </c>
      <c r="H18" s="1899"/>
      <c r="I18" s="1163"/>
    </row>
    <row customHeight="1" ht="22.5">
      <c r="A19" s="804"/>
      <c r="B19" s="804"/>
      <c r="C19" s="759"/>
      <c r="D19" s="1886" t="s">
        <v>110</v>
      </c>
      <c r="E19" s="1893" t="s">
        <v>2144</v>
      </c>
      <c r="F19" s="1887" t="s">
        <v>297</v>
      </c>
      <c r="G19" s="2761" t="s">
        <v>2145</v>
      </c>
      <c r="H19" s="777"/>
    </row>
    <row s="12896" customFormat="1" customHeight="1" ht="5.25" hidden="1">
      <c r="A20" s="804"/>
      <c r="B20" s="804"/>
      <c r="C20" s="1895"/>
      <c r="D20" s="1894" t="s">
        <v>1625</v>
      </c>
      <c r="E20" s="1335"/>
      <c r="F20" s="1334"/>
      <c r="G20" s="2762"/>
    </row>
    <row customHeight="1" ht="15">
      <c r="A21" s="804"/>
      <c r="B21" s="804"/>
      <c r="C21" s="759"/>
      <c r="D21" s="769"/>
      <c r="E21" s="716" t="s">
        <v>332</v>
      </c>
      <c r="F21" s="771"/>
      <c r="G21" s="2763"/>
      <c r="H21" s="1899"/>
    </row>
    <row s="10991" customFormat="1" customHeight="1" ht="24.75">
      <c r="A22" s="804"/>
      <c r="B22" s="804"/>
      <c r="C22" s="804"/>
      <c r="D22" s="1886" t="s">
        <v>92</v>
      </c>
      <c r="E22" s="776" t="s">
        <v>2146</v>
      </c>
      <c r="F22" s="1892"/>
      <c r="G22" s="776" t="s">
        <v>2147</v>
      </c>
      <c r="H22" s="1898"/>
    </row>
    <row s="10991" customFormat="1" customHeight="1" ht="18.75">
      <c r="A23" s="804"/>
      <c r="B23" s="804"/>
      <c r="C23" s="804"/>
      <c r="D23" s="1886" t="s">
        <v>93</v>
      </c>
      <c r="E23" s="1893" t="s">
        <v>2148</v>
      </c>
      <c r="F23" s="1897"/>
      <c r="G23" s="776" t="s">
        <v>2149</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C66ED-2456-E779-AC97-694924703267}" mc:Ignorable="x14ac xr xr2 xr3">
  <dimension ref="A1:IT23"/>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6" width="3.8515625" customWidth="1"/>
    <col min="5" max="5" style="11396" width="6.28125" customWidth="1"/>
    <col min="6" max="6" style="11396" width="46.7109375" customWidth="1"/>
    <col min="7" max="8" style="11396" width="16.7109375" customWidth="1"/>
    <col min="9" max="9" style="11396" width="35.28125" customWidth="1"/>
    <col min="10" max="10" style="11396" width="89.57421875" customWidth="1"/>
    <col min="11" max="11" style="12917" width="3.7109375" customWidth="1"/>
    <col min="12" max="14" style="12917" width="9.140625"/>
    <col min="15" max="15" style="10661" width="25.7109375" customWidth="1"/>
    <col min="16" max="16" style="12917" width="14.421875" customWidth="1"/>
    <col min="17" max="20" style="10662" width="9.140625"/>
    <col min="21" max="254" style="11396" width="9.140625"/>
  </cols>
  <sheetData>
    <row customHeight="1" ht="14.25" hidden="1"/>
    <row s="10629"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1901" customFormat="1" customHeight="1" ht="5.25" hidden="1">
      <c r="A3" s="798"/>
      <c r="D3" s="796"/>
      <c r="F3" s="520" t="s">
        <v>83</v>
      </c>
      <c r="G3" s="796" t="s">
        <v>84</v>
      </c>
      <c r="H3" s="796"/>
      <c r="I3" s="796"/>
      <c r="J3" s="500" t="s">
        <v>85</v>
      </c>
      <c r="K3" s="520" t="s">
        <v>83</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620" customFormat="1" customHeight="1" ht="14.25">
      <c r="A4" s="1481"/>
      <c r="B4" s="1486"/>
      <c r="C4" s="1481"/>
      <c r="D4" s="1857"/>
      <c r="E4" s="811"/>
      <c r="F4" s="811"/>
      <c r="G4" s="811"/>
      <c r="H4" s="811"/>
      <c r="I4" s="811"/>
      <c r="J4" s="439"/>
      <c r="K4" s="520"/>
      <c r="L4" s="802"/>
      <c r="M4" s="802"/>
      <c r="N4" s="802"/>
      <c r="O4" s="499"/>
      <c r="P4" s="802"/>
      <c r="Q4" s="498"/>
      <c r="R4" s="498"/>
      <c r="S4" s="498"/>
      <c r="T4" s="498"/>
    </row>
    <row s="10620" customFormat="1" customHeight="1" ht="25.5">
      <c r="A5" s="1481"/>
      <c r="B5" s="1486"/>
      <c r="C5" s="1481"/>
      <c r="D5" s="1857"/>
      <c r="E5" s="220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0"/>
      <c r="G5" s="2200"/>
      <c r="H5" s="2200"/>
      <c r="I5" s="2200"/>
      <c r="J5" s="2200"/>
      <c r="K5" s="520"/>
      <c r="L5" s="802"/>
      <c r="M5" s="802"/>
      <c r="N5" s="802"/>
      <c r="O5" s="499"/>
      <c r="P5" s="802"/>
      <c r="Q5" s="498"/>
      <c r="R5" s="498"/>
      <c r="S5" s="498"/>
      <c r="T5" s="498"/>
    </row>
    <row s="10620" customFormat="1" customHeight="1" ht="14.25">
      <c r="A6" s="1481"/>
      <c r="B6" s="1486"/>
      <c r="C6" s="1481"/>
      <c r="D6" s="1857"/>
      <c r="E6" s="811"/>
      <c r="F6" s="440"/>
      <c r="G6" s="440"/>
      <c r="H6" s="440"/>
      <c r="I6" s="440"/>
      <c r="J6" s="441"/>
      <c r="K6" s="802"/>
      <c r="L6" s="802"/>
      <c r="M6" s="802"/>
      <c r="N6" s="802"/>
      <c r="O6" s="499"/>
      <c r="P6" s="802"/>
      <c r="Q6" s="498"/>
      <c r="R6" s="498"/>
      <c r="S6" s="498"/>
      <c r="T6" s="498"/>
    </row>
    <row s="10620" customFormat="1" customHeight="1" ht="14.25">
      <c r="A7" s="1481"/>
      <c r="B7" s="1486"/>
      <c r="C7" s="1481"/>
      <c r="D7" s="1857"/>
      <c r="E7" s="2201" t="s">
        <v>291</v>
      </c>
      <c r="F7" s="2202"/>
      <c r="G7" s="2202"/>
      <c r="H7" s="2202"/>
      <c r="I7" s="2202"/>
      <c r="J7" s="2764" t="s">
        <v>292</v>
      </c>
      <c r="K7" s="802"/>
      <c r="L7" s="802"/>
      <c r="M7" s="802"/>
      <c r="N7" s="802"/>
      <c r="O7" s="499"/>
      <c r="P7" s="802"/>
      <c r="Q7" s="498"/>
      <c r="R7" s="498"/>
      <c r="S7" s="498"/>
      <c r="T7" s="498"/>
    </row>
    <row s="10620" customFormat="1" customHeight="1" ht="20.25">
      <c r="A8" s="1481"/>
      <c r="B8" s="1486"/>
      <c r="C8" s="1481"/>
      <c r="D8" s="1857"/>
      <c r="E8" s="1921" t="s">
        <v>88</v>
      </c>
      <c r="F8" s="1906" t="s">
        <v>2150</v>
      </c>
      <c r="G8" s="1906" t="s">
        <v>47</v>
      </c>
      <c r="H8" s="1906" t="s">
        <v>49</v>
      </c>
      <c r="I8" s="1906" t="s">
        <v>2151</v>
      </c>
      <c r="J8" s="2765"/>
      <c r="K8" s="802"/>
      <c r="L8" s="802"/>
      <c r="M8" s="802"/>
      <c r="N8" s="802"/>
      <c r="O8" s="499"/>
      <c r="P8" s="802"/>
      <c r="Q8" s="498"/>
      <c r="R8" s="498"/>
      <c r="S8" s="498"/>
      <c r="T8" s="498"/>
    </row>
    <row s="10629" customFormat="1" customHeight="1" ht="22.5">
      <c r="A9" s="2199"/>
      <c r="B9" s="1486">
        <v>1</v>
      </c>
      <c r="C9" s="1486"/>
      <c r="D9" s="1106"/>
      <c r="E9" s="1846">
        <v>1</v>
      </c>
      <c r="F9" s="1920"/>
      <c r="G9" s="1853"/>
      <c r="H9" s="1853"/>
      <c r="I9" s="1904"/>
      <c r="J9" s="2766" t="s">
        <v>2152</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629" customFormat="1" customHeight="1" ht="15">
      <c r="A10" s="2199"/>
      <c r="B10" s="1486"/>
      <c r="C10" s="713"/>
      <c r="D10" s="1106"/>
      <c r="E10" s="1907"/>
      <c r="F10" s="1862" t="s">
        <v>2153</v>
      </c>
      <c r="G10" s="1908"/>
      <c r="H10" s="1908"/>
      <c r="I10" s="1908"/>
      <c r="J10" s="2767"/>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620"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620"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620"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652" customFormat="1" customHeight="1" ht="10.5">
      <c r="B14" s="1144"/>
      <c r="D14" s="455"/>
      <c r="K14" s="802"/>
      <c r="L14" s="802"/>
      <c r="M14" s="802"/>
      <c r="N14" s="802"/>
      <c r="O14" s="499"/>
      <c r="P14" s="802"/>
      <c r="Q14" s="498"/>
      <c r="R14" s="498"/>
      <c r="S14" s="498"/>
      <c r="T14" s="498"/>
    </row>
    <row s="10652"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8414-A99D-EE1B-0FB4-4B55E378E782}" mc:Ignorable="x14ac xr xr2 xr3">
  <dimension ref="A1:IV14"/>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6" width="3.8515625" customWidth="1"/>
    <col min="5" max="5" style="11396" width="6.28125" customWidth="1"/>
    <col min="6" max="6" style="11396" width="27.28125" customWidth="1"/>
    <col min="7" max="7" style="11396" width="16.7109375" customWidth="1"/>
    <col min="8" max="8" style="11396" width="12.7109375" customWidth="1"/>
    <col min="9" max="9" style="11396" width="32.140625" customWidth="1"/>
    <col min="10" max="11" style="11396" width="41.8515625" customWidth="1"/>
    <col min="12" max="12" style="11396" width="89.57421875" customWidth="1"/>
    <col min="13" max="13" style="12917" width="3.7109375" customWidth="1"/>
    <col min="14" max="16" style="12917" width="9.140625"/>
    <col min="17" max="17" style="10661" width="25.7109375" customWidth="1"/>
    <col min="18" max="18" style="12917" width="14.421875" customWidth="1"/>
    <col min="19" max="22" style="10662" width="9.140625"/>
    <col min="23" max="256" style="11396" width="9.140625"/>
  </cols>
  <sheetData>
    <row customHeight="1" ht="14.25" hidden="1"/>
    <row s="10629" customFormat="1" customHeight="1" ht="22.5" hidden="1">
      <c r="A2" s="1141"/>
      <c r="B2" s="1486">
        <v>1</v>
      </c>
      <c r="C2" s="1486"/>
      <c r="D2" s="1106"/>
      <c r="E2" s="1846"/>
      <c r="F2" s="1905" t="str">
        <f>IF(ROIV_INFO_NAME="","",ROIV_INFO_NAME)</f>
        <v/>
      </c>
      <c r="G2" s="2112" t="s">
        <v>17</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1901" customFormat="1" customHeight="1" ht="5.25" hidden="1">
      <c r="A3" s="798"/>
      <c r="D3" s="796"/>
      <c r="F3" s="520" t="s">
        <v>83</v>
      </c>
      <c r="G3" s="2115" t="s">
        <v>84</v>
      </c>
      <c r="H3" s="796"/>
      <c r="I3" s="796"/>
      <c r="J3" s="796"/>
      <c r="K3" s="796"/>
      <c r="L3" s="500" t="s">
        <v>85</v>
      </c>
      <c r="M3" s="520" t="s">
        <v>83</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620"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620" customFormat="1" customHeight="1" ht="25.5">
      <c r="A5" s="1481"/>
      <c r="B5" s="1486"/>
      <c r="C5" s="1481"/>
      <c r="D5" s="1857"/>
      <c r="E5" s="220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00"/>
      <c r="G5" s="2200"/>
      <c r="H5" s="2200"/>
      <c r="I5" s="2200"/>
      <c r="J5" s="2200"/>
      <c r="K5" s="2200"/>
      <c r="L5" s="890"/>
      <c r="M5" s="520"/>
      <c r="N5" s="802"/>
      <c r="O5" s="802"/>
      <c r="P5" s="802"/>
      <c r="Q5" s="499"/>
      <c r="R5" s="802"/>
      <c r="S5" s="498"/>
      <c r="T5" s="498"/>
      <c r="U5" s="498"/>
      <c r="V5" s="498"/>
    </row>
    <row s="10620"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620" customFormat="1" customHeight="1" ht="14.25">
      <c r="A7" s="1481"/>
      <c r="B7" s="1486"/>
      <c r="C7" s="1481"/>
      <c r="D7" s="1857"/>
      <c r="E7" s="2201" t="s">
        <v>291</v>
      </c>
      <c r="F7" s="2202"/>
      <c r="G7" s="2202"/>
      <c r="H7" s="2202"/>
      <c r="I7" s="2202"/>
      <c r="J7" s="2202"/>
      <c r="K7" s="2202"/>
      <c r="L7" s="2764" t="s">
        <v>292</v>
      </c>
      <c r="M7" s="802"/>
      <c r="N7" s="802"/>
      <c r="O7" s="802"/>
      <c r="P7" s="802"/>
      <c r="Q7" s="499"/>
      <c r="R7" s="802"/>
      <c r="S7" s="498"/>
      <c r="T7" s="498"/>
      <c r="U7" s="498"/>
      <c r="V7" s="498"/>
    </row>
    <row s="10620" customFormat="1" customHeight="1" ht="47.25">
      <c r="A8" s="1481"/>
      <c r="B8" s="1486"/>
      <c r="C8" s="1481"/>
      <c r="D8" s="1857"/>
      <c r="E8" s="2771" t="s">
        <v>88</v>
      </c>
      <c r="F8" s="2769" t="s">
        <v>2132</v>
      </c>
      <c r="G8" s="277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4"/>
      <c r="I8" s="2775"/>
      <c r="J8" s="276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6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68"/>
      <c r="M8" s="802"/>
      <c r="N8" s="802"/>
      <c r="O8" s="802"/>
      <c r="P8" s="802"/>
      <c r="Q8" s="499"/>
      <c r="R8" s="802"/>
      <c r="S8" s="498"/>
      <c r="T8" s="498"/>
      <c r="U8" s="498"/>
      <c r="V8" s="498"/>
    </row>
    <row s="10620" customFormat="1" customHeight="1" ht="56.25">
      <c r="A9" s="1481"/>
      <c r="B9" s="1486"/>
      <c r="C9" s="1481"/>
      <c r="D9" s="1857"/>
      <c r="E9" s="2772"/>
      <c r="F9" s="2770"/>
      <c r="G9" s="1903" t="s">
        <v>2154</v>
      </c>
      <c r="H9" s="1903" t="s">
        <v>2155</v>
      </c>
      <c r="I9" s="1903" t="s">
        <v>2156</v>
      </c>
      <c r="J9" s="2770"/>
      <c r="K9" s="2770"/>
      <c r="L9" s="2765"/>
      <c r="M9" s="802"/>
      <c r="N9" s="802"/>
      <c r="O9" s="802"/>
      <c r="P9" s="802"/>
      <c r="Q9" s="499"/>
      <c r="R9" s="802"/>
      <c r="S9" s="498"/>
      <c r="T9" s="498"/>
      <c r="U9" s="498"/>
      <c r="V9" s="498"/>
    </row>
    <row s="10629" customFormat="1" customHeight="1" ht="22.5">
      <c r="A10" s="2199"/>
      <c r="B10" s="1486">
        <v>1</v>
      </c>
      <c r="C10" s="1486"/>
      <c r="D10" s="1105"/>
      <c r="E10" s="1103">
        <v>1</v>
      </c>
      <c r="F10" s="1905" t="str">
        <f>IF(ROIV_INFO_NAME="","",ROIV_INFO_NAME)</f>
        <v/>
      </c>
      <c r="G10" s="2112" t="s">
        <v>17</v>
      </c>
      <c r="H10" s="1900"/>
      <c r="I10" s="1900"/>
      <c r="J10" s="1490"/>
      <c r="K10" s="1490"/>
      <c r="L10" s="2766" t="s">
        <v>2157</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629" customFormat="1" customHeight="1" ht="15">
      <c r="A11" s="2199"/>
      <c r="B11" s="1486"/>
      <c r="C11" s="713"/>
      <c r="D11" s="1106"/>
      <c r="E11" s="722"/>
      <c r="F11" s="717" t="s">
        <v>2158</v>
      </c>
      <c r="G11" s="459"/>
      <c r="H11" s="459"/>
      <c r="I11" s="459"/>
      <c r="J11" s="459"/>
      <c r="K11" s="459"/>
      <c r="L11" s="2767"/>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620"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620"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620"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16D1-3081-0975-710C-B07207421A6D}" mc:Ignorable="x14ac xr xr2 xr3">
  <dimension ref="A1:IY16"/>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6" width="3.8515625" customWidth="1"/>
    <col min="5" max="5" style="11396" width="10.140625" customWidth="1"/>
    <col min="6" max="6" style="11396" width="6.28125" customWidth="1"/>
    <col min="7" max="7" style="11396" width="27.28125" customWidth="1"/>
    <col min="8" max="8" style="11396" width="29.28125" customWidth="1"/>
    <col min="9" max="9" style="11396" width="25.421875" customWidth="1"/>
    <col min="10" max="10" style="11396" width="5.57421875" customWidth="1"/>
    <col min="11" max="11" style="11396" width="6.57421875" customWidth="1"/>
    <col min="12" max="12" style="11396" width="41.8515625" customWidth="1"/>
    <col min="13" max="13" style="11396" width="42.421875" customWidth="1"/>
    <col min="14" max="14" style="11396" width="41.57421875" customWidth="1"/>
    <col min="15" max="15" style="11396" width="64.140625" customWidth="1"/>
    <col min="16" max="16" style="12917" width="3.7109375" customWidth="1"/>
    <col min="17" max="19" style="12917" width="9.140625"/>
    <col min="20" max="20" style="10661" width="25.7109375" customWidth="1"/>
    <col min="21" max="21" style="12917" width="14.421875" customWidth="1"/>
    <col min="22" max="25" style="10662" width="9.140625"/>
    <col min="26" max="259" style="11396" width="9.140625"/>
  </cols>
  <sheetData>
    <row customHeight="1" ht="14.25" hidden="1"/>
    <row s="10629" customFormat="1" customHeight="1" ht="22.5" hidden="1">
      <c r="A2" s="798"/>
      <c r="B2" s="1486">
        <v>1</v>
      </c>
      <c r="C2" s="1486"/>
      <c r="D2" s="1106"/>
      <c r="E2" s="2534"/>
      <c r="F2" s="2534">
        <v>1</v>
      </c>
      <c r="G2" s="2598" t="str">
        <f>IF(region_name="","",region_name)</f>
        <v>Республика Калмыкия</v>
      </c>
      <c r="H2" s="2785"/>
      <c r="I2" s="2786"/>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629" customFormat="1" customHeight="1" ht="22.5" hidden="1">
      <c r="A3" s="1141"/>
      <c r="B3" s="1486"/>
      <c r="C3" s="1486"/>
      <c r="D3" s="1106"/>
      <c r="E3" s="2534"/>
      <c r="F3" s="2534"/>
      <c r="G3" s="2598"/>
      <c r="H3" s="2785"/>
      <c r="I3" s="2398"/>
      <c r="J3" s="1910"/>
      <c r="K3" s="1862"/>
      <c r="L3" s="1862" t="s">
        <v>2159</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1901" customFormat="1" customHeight="1" ht="5.25" hidden="1">
      <c r="A4" s="798"/>
      <c r="D4" s="796"/>
      <c r="G4" s="520" t="s">
        <v>83</v>
      </c>
      <c r="H4" s="796" t="s">
        <v>84</v>
      </c>
      <c r="I4" s="796"/>
      <c r="J4" s="1915"/>
      <c r="K4" s="1915"/>
      <c r="L4" s="1915"/>
      <c r="M4" s="1915"/>
      <c r="N4" s="1915"/>
      <c r="O4" s="1915"/>
      <c r="P4" s="520" t="s">
        <v>83</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620"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620" customFormat="1" customHeight="1" ht="25.5">
      <c r="A6" s="1481"/>
      <c r="B6" s="1486"/>
      <c r="C6" s="1481"/>
      <c r="D6" s="1857"/>
      <c r="E6" s="2200" t="s">
        <v>2160</v>
      </c>
      <c r="F6" s="2200"/>
      <c r="G6" s="2200"/>
      <c r="H6" s="2200"/>
      <c r="I6" s="2200"/>
      <c r="J6" s="2200"/>
      <c r="K6" s="2200"/>
      <c r="L6" s="2200"/>
      <c r="M6" s="2200"/>
      <c r="N6" s="2200"/>
      <c r="O6" s="2200"/>
      <c r="P6" s="520"/>
      <c r="Q6" s="802"/>
      <c r="R6" s="802"/>
      <c r="S6" s="802"/>
      <c r="T6" s="499"/>
      <c r="U6" s="802"/>
      <c r="V6" s="498"/>
      <c r="W6" s="498"/>
      <c r="X6" s="498"/>
      <c r="Y6" s="498"/>
    </row>
    <row s="10620"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2936" customFormat="1" customHeight="1" ht="42.75">
      <c r="A8" s="1830"/>
      <c r="B8" s="1840"/>
      <c r="C8" s="1830"/>
      <c r="D8" s="1857"/>
      <c r="E8" s="1924" t="s">
        <v>292</v>
      </c>
      <c r="F8" s="1924"/>
      <c r="G8" s="1925" t="s">
        <v>296</v>
      </c>
      <c r="H8" s="1925" t="s">
        <v>2161</v>
      </c>
      <c r="I8" s="1925" t="s">
        <v>300</v>
      </c>
      <c r="J8" s="2781"/>
      <c r="K8" s="2782"/>
      <c r="L8" s="2783"/>
      <c r="M8" s="1925" t="s">
        <v>2162</v>
      </c>
      <c r="N8" s="1925" t="s">
        <v>2163</v>
      </c>
      <c r="O8" s="1925" t="s">
        <v>2164</v>
      </c>
      <c r="P8" s="1916"/>
      <c r="Q8" s="1916"/>
      <c r="R8" s="1916"/>
      <c r="S8" s="1916"/>
      <c r="T8" s="1917"/>
      <c r="U8" s="1916"/>
      <c r="V8" s="1918"/>
      <c r="W8" s="1918"/>
      <c r="X8" s="1918"/>
      <c r="Y8" s="1918"/>
    </row>
    <row s="10620" customFormat="1" customHeight="1" ht="47.25">
      <c r="A9" s="1481"/>
      <c r="B9" s="1486"/>
      <c r="C9" s="1481"/>
      <c r="D9" s="1857"/>
      <c r="E9" s="2776" t="s">
        <v>291</v>
      </c>
      <c r="F9" s="2772" t="s">
        <v>88</v>
      </c>
      <c r="G9" s="2770" t="s">
        <v>295</v>
      </c>
      <c r="H9" s="2770" t="s">
        <v>2165</v>
      </c>
      <c r="I9" s="2770"/>
      <c r="J9" s="2770" t="s">
        <v>2166</v>
      </c>
      <c r="K9" s="2770"/>
      <c r="L9" s="2770"/>
      <c r="M9" s="2770" t="s">
        <v>2167</v>
      </c>
      <c r="N9" s="2770" t="s">
        <v>2168</v>
      </c>
      <c r="O9" s="2770" t="s">
        <v>2169</v>
      </c>
      <c r="P9" s="802"/>
      <c r="Q9" s="802"/>
      <c r="R9" s="802"/>
      <c r="S9" s="802"/>
      <c r="T9" s="499"/>
      <c r="U9" s="802"/>
      <c r="V9" s="498"/>
      <c r="W9" s="498"/>
      <c r="X9" s="498"/>
      <c r="Y9" s="498"/>
    </row>
    <row s="10620" customFormat="1" customHeight="1" ht="56.25">
      <c r="A10" s="1481"/>
      <c r="B10" s="1486"/>
      <c r="C10" s="1481"/>
      <c r="D10" s="1857"/>
      <c r="E10" s="2534"/>
      <c r="F10" s="2780"/>
      <c r="G10" s="2779"/>
      <c r="H10" s="445" t="s">
        <v>2170</v>
      </c>
      <c r="I10" s="445" t="s">
        <v>299</v>
      </c>
      <c r="J10" s="2769"/>
      <c r="K10" s="2769"/>
      <c r="L10" s="2779"/>
      <c r="M10" s="2779"/>
      <c r="N10" s="2779"/>
      <c r="O10" s="2779"/>
      <c r="P10" s="802"/>
      <c r="Q10" s="802"/>
      <c r="R10" s="802"/>
      <c r="S10" s="802"/>
      <c r="T10" s="499"/>
      <c r="U10" s="802"/>
      <c r="V10" s="498"/>
      <c r="W10" s="498"/>
      <c r="X10" s="498"/>
      <c r="Y10" s="498"/>
    </row>
    <row s="10629" customFormat="1" customHeight="1" ht="22.5">
      <c r="A11" s="2199">
        <v>26379339</v>
      </c>
      <c r="B11" s="1486">
        <v>1</v>
      </c>
      <c r="C11" s="1486"/>
      <c r="D11" s="1106"/>
      <c r="E11" s="2776"/>
      <c r="F11" s="2776">
        <v>1</v>
      </c>
      <c r="G11" s="2777" t="str">
        <f>IF(region_name="","",region_name)</f>
        <v>Республика Калмыкия</v>
      </c>
      <c r="H11" s="2778"/>
      <c r="I11" s="2784"/>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629" customFormat="1" customHeight="1" ht="22.5">
      <c r="A12" s="2199"/>
      <c r="B12" s="1486"/>
      <c r="C12" s="1486"/>
      <c r="D12" s="1106"/>
      <c r="E12" s="2776"/>
      <c r="F12" s="2776"/>
      <c r="G12" s="2777"/>
      <c r="H12" s="2778"/>
      <c r="I12" s="2415"/>
      <c r="J12" s="1910"/>
      <c r="K12" s="1862"/>
      <c r="L12" s="1862" t="s">
        <v>2159</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629" customFormat="1" customHeight="1" ht="22.5">
      <c r="A13" s="2199"/>
      <c r="B13" s="1486"/>
      <c r="C13" s="713"/>
      <c r="D13" s="1106"/>
      <c r="E13" s="1907"/>
      <c r="F13" s="1910"/>
      <c r="G13" s="1862" t="s">
        <v>2153</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620"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620"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620"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0C412-21EE-2867-DF06-D2DA8CF8D53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343" width="9.140625" hidden="1"/>
    <col min="3" max="3" style="12878" width="3.7109375" customWidth="1"/>
    <col min="4" max="4" style="11343" width="6.28125" customWidth="1"/>
    <col min="5" max="5" style="11343" width="94.8515625" customWidth="1"/>
    <col min="6" max="12" style="11343"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0" t="s">
        <v>2171</v>
      </c>
      <c r="E7" s="2200"/>
      <c r="F7" s="540"/>
    </row>
    <row customHeight="1" ht="3">
      <c r="C8" s="360"/>
      <c r="D8" s="336"/>
      <c r="E8" s="336"/>
    </row>
    <row customHeight="1" ht="15.75">
      <c r="C9" s="360"/>
      <c r="D9" s="375" t="s">
        <v>88</v>
      </c>
      <c r="E9" s="378" t="s">
        <v>278</v>
      </c>
    </row>
    <row customHeight="1" ht="12">
      <c r="C10" s="360"/>
      <c r="D10" s="354" t="s">
        <v>99</v>
      </c>
      <c r="E10" s="354" t="s">
        <v>109</v>
      </c>
    </row>
    <row customHeight="1" ht="15" hidden="1">
      <c r="C11" s="360"/>
      <c r="D11" s="383">
        <v>0</v>
      </c>
      <c r="E11" s="420"/>
    </row>
    <row customHeight="1" ht="14.25">
      <c r="C12" s="360"/>
      <c r="D12" s="379"/>
      <c r="E12" s="377" t="s">
        <v>2130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D1C6A-00FB-0F39-984E-4EB1BD321F5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62" width="1.7109375" customWidth="1"/>
    <col min="2" max="2" style="12962" width="34.57421875" customWidth="1"/>
    <col min="3" max="3" style="12962" width="85.57421875" customWidth="1"/>
    <col min="4" max="4" style="12962" width="17.7109375" customWidth="1"/>
    <col min="5" max="5" style="12962" width="9.140625"/>
  </cols>
  <sheetData>
    <row customHeight="1" ht="3"/>
    <row customHeight="1" ht="22.5">
      <c r="B2" s="2787" t="s">
        <v>2172</v>
      </c>
      <c r="C2" s="2787"/>
      <c r="D2" s="2787"/>
      <c r="E2" s="541"/>
    </row>
    <row customHeight="1" ht="3"/>
    <row customHeight="1" ht="21.75">
      <c r="B4" s="679" t="s">
        <v>2173</v>
      </c>
      <c r="C4" s="679" t="s">
        <v>2174</v>
      </c>
      <c r="D4" s="679" t="s">
        <v>2175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AA01F-BDFF-6E3F-6DFE-D30846B9A9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045E9-844D-E42E-B61F-.6279A9FC28F}" mc:Ignorable="x14ac xr xr2 xr3">
  <dimension ref="A1:E8"/>
  <sheetViews>
    <sheetView topLeftCell="A1" showGridLines="0" workbookViewId="0">
      <selection activeCell="A1" sqref="A1"/>
    </sheetView>
  </sheetViews>
  <sheetFormatPr customHeight="1" defaultRowHeight="11.25"/>
  <cols>
    <col min="1" max="1" style="11697" width="10.57421875" customWidth="1"/>
    <col min="2" max="2" style="11697" width="8.7109375" customWidth="1"/>
    <col min="3" max="3" style="11697" width="18.140625" customWidth="1"/>
    <col min="4" max="4" style="11697" width="12.57421875" customWidth="1"/>
  </cols>
  <sheetData>
    <row customHeight="1" ht="11.25">
      <c r="A1" s="1057" t="s">
        <v>2176</v>
      </c>
      <c r="B1" s="1068" t="s">
        <v>2177</v>
      </c>
      <c r="C1" s="2788" t="s">
        <v>2178</v>
      </c>
      <c r="D1" s="2789"/>
      <c r="E1" s="1146" t="s">
        <v>2179</v>
      </c>
    </row>
    <row customHeight="1" ht="11.25">
      <c r="A2" s="1061"/>
      <c r="B2" s="1069" t="s">
        <v>22</v>
      </c>
      <c r="C2" s="1057"/>
      <c r="D2" s="1068"/>
      <c r="E2" s="1146"/>
    </row>
    <row customHeight="1" ht="11.25">
      <c r="A3" s="1072"/>
      <c r="B3" s="1070" t="s">
        <v>28</v>
      </c>
      <c r="C3" s="1057"/>
      <c r="D3" s="1068"/>
      <c r="E3" s="1146"/>
    </row>
    <row customHeight="1" ht="11.25">
      <c r="A4" s="1073"/>
      <c r="B4" s="1070" t="s">
        <v>717</v>
      </c>
      <c r="C4" s="1057"/>
      <c r="D4" s="1068"/>
      <c r="E4" s="1146"/>
    </row>
    <row customHeight="1" ht="11.25">
      <c r="A5" s="1086"/>
      <c r="B5" s="1070" t="s">
        <v>492</v>
      </c>
      <c r="C5" s="1060" t="s">
        <v>453</v>
      </c>
      <c r="D5" s="1192" t="s">
        <v>2180</v>
      </c>
      <c r="E5" s="1146"/>
    </row>
    <row s="11340" customFormat="1" customHeight="1" ht="11.25">
      <c r="A6" s="1071"/>
      <c r="B6" s="1070" t="s">
        <v>724</v>
      </c>
      <c r="C6" s="1057"/>
      <c r="D6" s="1068"/>
      <c r="E6" s="1146"/>
    </row>
    <row customHeight="1" ht="11.25">
      <c r="A7" s="1059"/>
      <c r="B7" s="1070" t="s">
        <v>726</v>
      </c>
      <c r="C7" s="1057"/>
      <c r="D7" s="1068"/>
      <c r="E7" s="1146"/>
    </row>
    <row customHeight="1" ht="11.25">
      <c r="A8" s="1060"/>
      <c r="B8" s="1070" t="s">
        <v>725</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DB49-4828-F4D7-623D-AA50FBB9F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6E0D7-6BE9-E1FB-9B1E-FABC2B1CBE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E17C6-7FEC-1567-DADE-0330EC153575}" mc:Ignorable="x14ac xr xr2 xr3">
  <sheetPr>
    <tabColor rgb="FFFFCC99"/>
  </sheetPr>
  <dimension ref="A1:N61"/>
  <sheetViews>
    <sheetView topLeftCell="A1" showGridLines="0" workbookViewId="0">
      <selection activeCell="A1" sqref="A1"/>
    </sheetView>
  </sheetViews>
  <sheetFormatPr defaultColWidth="9.140625" customHeight="1" defaultRowHeight="11.25"/>
  <cols>
    <col min="1" max="2" style="12982" width="9.140625"/>
    <col min="3" max="3" style="12982" width="20.7109375" customWidth="1"/>
    <col min="4" max="4" style="12982" width="25.140625" customWidth="1"/>
    <col min="5" max="9" style="12982" width="9.140625"/>
  </cols>
  <sheetData>
    <row customHeight="1" ht="11.25">
      <c r="A1" s="334" t="s">
        <v>2181</v>
      </c>
      <c r="B1" s="334" t="s">
        <v>2182</v>
      </c>
      <c r="C1" s="334" t="s">
        <v>2183</v>
      </c>
      <c r="D1" s="334" t="s">
        <v>2184</v>
      </c>
      <c r="E1" s="334" t="s">
        <v>2185</v>
      </c>
      <c r="F1" s="334" t="s">
        <v>2186</v>
      </c>
      <c r="G1" s="334" t="s">
        <v>2187</v>
      </c>
      <c r="H1" s="334" t="s">
        <v>2188</v>
      </c>
      <c r="I1" s="334" t="s">
        <v>2189</v>
      </c>
      <c r="J1" s="152" t="s">
        <v>2190</v>
      </c>
      <c r="K1" s="152" t="s">
        <v>2191</v>
      </c>
      <c r="L1" s="152" t="s">
        <v>2192</v>
      </c>
      <c r="M1" s="152" t="s">
        <v>2193</v>
      </c>
      <c r="N1" s="152" t="s">
        <v>2194</v>
      </c>
    </row>
    <row customHeight="1" ht="11.25">
      <c r="A2" s="7795" t="s">
        <v>2195</v>
      </c>
      <c r="B2" s="7795" t="s">
        <v>14</v>
      </c>
      <c r="C2" s="7795" t="s">
        <v>2196</v>
      </c>
      <c r="D2" s="7795" t="s">
        <v>2197</v>
      </c>
      <c r="E2" s="7795" t="s">
        <v>2198</v>
      </c>
      <c r="F2" s="7795" t="s">
        <v>2199</v>
      </c>
      <c r="G2" s="7795" t="s">
        <v>17</v>
      </c>
      <c r="H2" s="7795" t="s">
        <v>17</v>
      </c>
      <c r="I2" s="7795" t="s">
        <v>2200</v>
      </c>
      <c r="J2" s="152" t="s">
        <v>17</v>
      </c>
      <c r="K2" s="152" t="s">
        <v>837</v>
      </c>
      <c r="L2" s="152" t="s">
        <v>2201</v>
      </c>
      <c r="M2" s="152" t="s">
        <v>2202</v>
      </c>
      <c r="N2" s="152" t="s">
        <v>391</v>
      </c>
    </row>
    <row customHeight="1" ht="11.25">
      <c r="A3" s="7795" t="s">
        <v>2195</v>
      </c>
      <c r="B3" s="7795" t="s">
        <v>14</v>
      </c>
      <c r="C3" s="7795" t="s">
        <v>2203</v>
      </c>
      <c r="D3" s="7795" t="s">
        <v>2204</v>
      </c>
      <c r="E3" s="7795" t="s">
        <v>2205</v>
      </c>
      <c r="F3" s="7795" t="s">
        <v>2206</v>
      </c>
      <c r="G3" s="7795" t="s">
        <v>2207</v>
      </c>
      <c r="H3" s="7795" t="s">
        <v>17</v>
      </c>
      <c r="I3" s="7795" t="s">
        <v>2208</v>
      </c>
      <c r="J3" s="152" t="s">
        <v>17</v>
      </c>
      <c r="K3" s="152" t="s">
        <v>870</v>
      </c>
      <c r="L3" s="152" t="s">
        <v>2209</v>
      </c>
      <c r="M3" s="152" t="s">
        <v>2210</v>
      </c>
      <c r="N3" s="152" t="s">
        <v>391</v>
      </c>
    </row>
    <row customHeight="1" ht="11.25">
      <c r="A4" s="7795" t="s">
        <v>2195</v>
      </c>
      <c r="B4" s="7795" t="s">
        <v>14</v>
      </c>
      <c r="C4" s="7795" t="s">
        <v>2211</v>
      </c>
      <c r="D4" s="7795" t="s">
        <v>45</v>
      </c>
      <c r="E4" s="7795" t="s">
        <v>48</v>
      </c>
      <c r="F4" s="7795" t="s">
        <v>50</v>
      </c>
      <c r="G4" s="7795" t="s">
        <v>17</v>
      </c>
      <c r="H4" s="7795" t="s">
        <v>17</v>
      </c>
      <c r="I4" s="7795" t="s">
        <v>2212</v>
      </c>
      <c r="J4" s="152" t="s">
        <v>17</v>
      </c>
      <c r="K4" s="152" t="s">
        <v>870</v>
      </c>
      <c r="L4" s="152" t="s">
        <v>2209</v>
      </c>
      <c r="M4" s="152" t="s">
        <v>2210</v>
      </c>
      <c r="N4" s="152" t="s">
        <v>391</v>
      </c>
    </row>
    <row customHeight="1" ht="11.25">
      <c r="A5" s="7795" t="s">
        <v>2195</v>
      </c>
      <c r="B5" s="7795" t="s">
        <v>14</v>
      </c>
      <c r="C5" s="7795" t="s">
        <v>2203</v>
      </c>
      <c r="D5" s="7795" t="s">
        <v>2204</v>
      </c>
      <c r="E5" s="7795" t="s">
        <v>2205</v>
      </c>
      <c r="F5" s="7795" t="s">
        <v>2206</v>
      </c>
      <c r="G5" s="7795" t="s">
        <v>2207</v>
      </c>
      <c r="H5" s="7795" t="s">
        <v>17</v>
      </c>
      <c r="I5" s="7795" t="s">
        <v>2208</v>
      </c>
      <c r="J5" s="152" t="s">
        <v>17</v>
      </c>
      <c r="K5" s="152" t="s">
        <v>2213</v>
      </c>
      <c r="L5" s="152" t="s">
        <v>2214</v>
      </c>
      <c r="M5" s="152" t="s">
        <v>2215</v>
      </c>
      <c r="N5" s="152" t="s">
        <v>394</v>
      </c>
    </row>
    <row customHeight="1" ht="11.25">
      <c r="A6" s="7795" t="s">
        <v>2195</v>
      </c>
      <c r="B6" s="7795" t="s">
        <v>14</v>
      </c>
      <c r="C6" s="7795" t="s">
        <v>2216</v>
      </c>
      <c r="D6" s="7795" t="s">
        <v>2217</v>
      </c>
      <c r="E6" s="7795" t="s">
        <v>2218</v>
      </c>
      <c r="F6" s="7795" t="s">
        <v>2219</v>
      </c>
      <c r="G6" s="7795" t="s">
        <v>2220</v>
      </c>
      <c r="H6" s="7795" t="s">
        <v>17</v>
      </c>
      <c r="I6" s="7795" t="s">
        <v>2221</v>
      </c>
      <c r="J6" s="152" t="s">
        <v>17</v>
      </c>
      <c r="K6" s="152" t="s">
        <v>2222</v>
      </c>
      <c r="L6" s="152" t="s">
        <v>2223</v>
      </c>
      <c r="M6" s="152" t="s">
        <v>2224</v>
      </c>
      <c r="N6" s="152" t="s">
        <v>392</v>
      </c>
    </row>
    <row customHeight="1" ht="11.25">
      <c r="A7" s="7795" t="s">
        <v>2195</v>
      </c>
      <c r="B7" s="7795" t="s">
        <v>14</v>
      </c>
      <c r="C7" s="7795" t="s">
        <v>2216</v>
      </c>
      <c r="D7" s="7795" t="s">
        <v>2217</v>
      </c>
      <c r="E7" s="7795" t="s">
        <v>2218</v>
      </c>
      <c r="F7" s="7795" t="s">
        <v>2219</v>
      </c>
      <c r="G7" s="7795" t="s">
        <v>2220</v>
      </c>
      <c r="H7" s="7795" t="s">
        <v>17</v>
      </c>
      <c r="I7" s="7795" t="s">
        <v>2221</v>
      </c>
      <c r="J7" s="152" t="s">
        <v>17</v>
      </c>
      <c r="K7" s="152" t="s">
        <v>2225</v>
      </c>
      <c r="L7" s="152" t="s">
        <v>2223</v>
      </c>
      <c r="M7" s="152" t="s">
        <v>2224</v>
      </c>
      <c r="N7" s="152" t="s">
        <v>392</v>
      </c>
    </row>
    <row customHeight="1" ht="11.25">
      <c r="A8" s="7795" t="s">
        <v>2195</v>
      </c>
      <c r="B8" s="7795" t="s">
        <v>14</v>
      </c>
      <c r="C8" s="7795" t="s">
        <v>2226</v>
      </c>
      <c r="D8" s="7795" t="s">
        <v>2227</v>
      </c>
      <c r="E8" s="7795" t="s">
        <v>2228</v>
      </c>
      <c r="F8" s="7795" t="s">
        <v>2229</v>
      </c>
      <c r="G8" s="7795" t="s">
        <v>2230</v>
      </c>
      <c r="H8" s="7795" t="s">
        <v>17</v>
      </c>
      <c r="I8" s="7795" t="s">
        <v>2231</v>
      </c>
      <c r="J8" s="152" t="s">
        <v>17</v>
      </c>
      <c r="K8" s="152" t="s">
        <v>2222</v>
      </c>
      <c r="L8" s="152" t="s">
        <v>2232</v>
      </c>
      <c r="M8" s="152" t="s">
        <v>2233</v>
      </c>
      <c r="N8" s="152" t="s">
        <v>392</v>
      </c>
    </row>
    <row customHeight="1" ht="11.25">
      <c r="A9" s="7795" t="s">
        <v>2195</v>
      </c>
      <c r="B9" s="7795" t="s">
        <v>14</v>
      </c>
      <c r="C9" s="7795" t="s">
        <v>2226</v>
      </c>
      <c r="D9" s="7795" t="s">
        <v>2227</v>
      </c>
      <c r="E9" s="7795" t="s">
        <v>2228</v>
      </c>
      <c r="F9" s="7795" t="s">
        <v>2229</v>
      </c>
      <c r="G9" s="7795" t="s">
        <v>2230</v>
      </c>
      <c r="H9" s="7795" t="s">
        <v>17</v>
      </c>
      <c r="I9" s="7795" t="s">
        <v>2231</v>
      </c>
      <c r="J9" s="152" t="s">
        <v>17</v>
      </c>
      <c r="K9" s="152" t="s">
        <v>2225</v>
      </c>
      <c r="L9" s="152" t="s">
        <v>2232</v>
      </c>
      <c r="M9" s="152" t="s">
        <v>2233</v>
      </c>
      <c r="N9" s="152" t="s">
        <v>392</v>
      </c>
    </row>
    <row customHeight="1" ht="11.25">
      <c r="A10" s="7795" t="s">
        <v>2195</v>
      </c>
      <c r="B10" s="7795" t="s">
        <v>14</v>
      </c>
      <c r="C10" s="7795" t="s">
        <v>2226</v>
      </c>
      <c r="D10" s="7795" t="s">
        <v>2227</v>
      </c>
      <c r="E10" s="7795" t="s">
        <v>2228</v>
      </c>
      <c r="F10" s="7795" t="s">
        <v>2229</v>
      </c>
      <c r="G10" s="7795" t="s">
        <v>2230</v>
      </c>
      <c r="H10" s="7795" t="s">
        <v>17</v>
      </c>
      <c r="I10" s="7795" t="s">
        <v>2234</v>
      </c>
      <c r="J10" s="0" t="s">
        <v>17</v>
      </c>
      <c r="K10" s="0" t="s">
        <v>2222</v>
      </c>
      <c r="L10" s="0" t="s">
        <v>2223</v>
      </c>
      <c r="M10" s="0" t="s">
        <v>2224</v>
      </c>
      <c r="N10" s="0" t="s">
        <v>392</v>
      </c>
    </row>
    <row customHeight="1" ht="11.25">
      <c r="A11" s="7795" t="s">
        <v>2195</v>
      </c>
      <c r="B11" s="7795" t="s">
        <v>14</v>
      </c>
      <c r="C11" s="7795" t="s">
        <v>2226</v>
      </c>
      <c r="D11" s="7795" t="s">
        <v>2227</v>
      </c>
      <c r="E11" s="7795" t="s">
        <v>2228</v>
      </c>
      <c r="F11" s="7795" t="s">
        <v>2229</v>
      </c>
      <c r="G11" s="7795" t="s">
        <v>2230</v>
      </c>
      <c r="H11" s="7795" t="s">
        <v>17</v>
      </c>
      <c r="I11" s="7795" t="s">
        <v>2234</v>
      </c>
      <c r="J11" s="0" t="s">
        <v>17</v>
      </c>
      <c r="K11" s="0" t="s">
        <v>2225</v>
      </c>
      <c r="L11" s="0" t="s">
        <v>2223</v>
      </c>
      <c r="M11" s="0" t="s">
        <v>2224</v>
      </c>
      <c r="N11" s="0" t="s">
        <v>392</v>
      </c>
    </row>
    <row customHeight="1" ht="11.25">
      <c r="A12" s="7795" t="s">
        <v>2195</v>
      </c>
      <c r="B12" s="7795" t="s">
        <v>14</v>
      </c>
      <c r="C12" s="7795" t="s">
        <v>2235</v>
      </c>
      <c r="D12" s="7795" t="s">
        <v>2236</v>
      </c>
      <c r="E12" s="7795" t="s">
        <v>2237</v>
      </c>
      <c r="F12" s="7795" t="s">
        <v>2238</v>
      </c>
      <c r="G12" s="7795" t="s">
        <v>2239</v>
      </c>
      <c r="H12" s="7795" t="s">
        <v>17</v>
      </c>
      <c r="I12" s="7795" t="s">
        <v>2240</v>
      </c>
      <c r="J12" s="0" t="s">
        <v>17</v>
      </c>
      <c r="K12" s="0" t="s">
        <v>2222</v>
      </c>
      <c r="L12" s="0" t="s">
        <v>2241</v>
      </c>
      <c r="M12" s="0" t="s">
        <v>2242</v>
      </c>
      <c r="N12" s="0" t="s">
        <v>392</v>
      </c>
    </row>
    <row customHeight="1" ht="11.25">
      <c r="A13" s="7795" t="s">
        <v>2195</v>
      </c>
      <c r="B13" s="7795" t="s">
        <v>14</v>
      </c>
      <c r="C13" s="7795" t="s">
        <v>2235</v>
      </c>
      <c r="D13" s="7795" t="s">
        <v>2236</v>
      </c>
      <c r="E13" s="7795" t="s">
        <v>2237</v>
      </c>
      <c r="F13" s="7795" t="s">
        <v>2238</v>
      </c>
      <c r="G13" s="7795" t="s">
        <v>2239</v>
      </c>
      <c r="H13" s="7795" t="s">
        <v>17</v>
      </c>
      <c r="I13" s="7795" t="s">
        <v>2240</v>
      </c>
      <c r="J13" s="0" t="s">
        <v>17</v>
      </c>
      <c r="K13" s="0" t="s">
        <v>2225</v>
      </c>
      <c r="L13" s="0" t="s">
        <v>2241</v>
      </c>
      <c r="M13" s="0" t="s">
        <v>2242</v>
      </c>
      <c r="N13" s="0" t="s">
        <v>392</v>
      </c>
    </row>
    <row customHeight="1" ht="11.25">
      <c r="A14" s="7795" t="s">
        <v>2195</v>
      </c>
      <c r="B14" s="7795" t="s">
        <v>14</v>
      </c>
      <c r="C14" s="7795" t="s">
        <v>2243</v>
      </c>
      <c r="D14" s="7795" t="s">
        <v>2244</v>
      </c>
      <c r="E14" s="7795" t="s">
        <v>2245</v>
      </c>
      <c r="F14" s="7795" t="s">
        <v>2219</v>
      </c>
      <c r="G14" s="7795" t="s">
        <v>2246</v>
      </c>
      <c r="H14" s="7795" t="s">
        <v>17</v>
      </c>
      <c r="I14" s="7795" t="s">
        <v>2247</v>
      </c>
      <c r="J14" s="0" t="s">
        <v>17</v>
      </c>
      <c r="K14" s="0" t="s">
        <v>2222</v>
      </c>
      <c r="L14" s="0" t="s">
        <v>2248</v>
      </c>
      <c r="M14" s="0" t="s">
        <v>2249</v>
      </c>
      <c r="N14" s="0" t="s">
        <v>392</v>
      </c>
    </row>
    <row customHeight="1" ht="11.25">
      <c r="A15" s="7795" t="s">
        <v>2195</v>
      </c>
      <c r="B15" s="7795" t="s">
        <v>14</v>
      </c>
      <c r="C15" s="7795" t="s">
        <v>2243</v>
      </c>
      <c r="D15" s="7795" t="s">
        <v>2244</v>
      </c>
      <c r="E15" s="7795" t="s">
        <v>2245</v>
      </c>
      <c r="F15" s="7795" t="s">
        <v>2219</v>
      </c>
      <c r="G15" s="7795" t="s">
        <v>2246</v>
      </c>
      <c r="H15" s="7795" t="s">
        <v>17</v>
      </c>
      <c r="I15" s="7795" t="s">
        <v>2247</v>
      </c>
      <c r="J15" s="0" t="s">
        <v>17</v>
      </c>
      <c r="K15" s="0" t="s">
        <v>2225</v>
      </c>
      <c r="L15" s="0" t="s">
        <v>2248</v>
      </c>
      <c r="M15" s="0" t="s">
        <v>2249</v>
      </c>
      <c r="N15" s="0" t="s">
        <v>392</v>
      </c>
    </row>
    <row customHeight="1" ht="11.25">
      <c r="A16" s="7795" t="s">
        <v>2195</v>
      </c>
      <c r="B16" s="7795" t="s">
        <v>14</v>
      </c>
      <c r="C16" s="7795" t="s">
        <v>2250</v>
      </c>
      <c r="D16" s="7795" t="s">
        <v>2251</v>
      </c>
      <c r="E16" s="7795" t="s">
        <v>2252</v>
      </c>
      <c r="F16" s="7795" t="s">
        <v>2253</v>
      </c>
      <c r="G16" s="7795" t="s">
        <v>2254</v>
      </c>
      <c r="H16" s="7795" t="s">
        <v>17</v>
      </c>
      <c r="I16" s="7795" t="s">
        <v>2255</v>
      </c>
      <c r="J16" s="0" t="s">
        <v>17</v>
      </c>
      <c r="K16" s="0" t="s">
        <v>2222</v>
      </c>
      <c r="L16" s="0" t="s">
        <v>2248</v>
      </c>
      <c r="M16" s="0" t="s">
        <v>2249</v>
      </c>
      <c r="N16" s="0" t="s">
        <v>392</v>
      </c>
    </row>
    <row customHeight="1" ht="11.25">
      <c r="A17" s="7795" t="s">
        <v>2195</v>
      </c>
      <c r="B17" s="7795" t="s">
        <v>14</v>
      </c>
      <c r="C17" s="7795" t="s">
        <v>2250</v>
      </c>
      <c r="D17" s="7795" t="s">
        <v>2251</v>
      </c>
      <c r="E17" s="7795" t="s">
        <v>2252</v>
      </c>
      <c r="F17" s="7795" t="s">
        <v>2253</v>
      </c>
      <c r="G17" s="7795" t="s">
        <v>2254</v>
      </c>
      <c r="H17" s="7795" t="s">
        <v>17</v>
      </c>
      <c r="I17" s="7795" t="s">
        <v>2255</v>
      </c>
      <c r="J17" s="0" t="s">
        <v>17</v>
      </c>
      <c r="K17" s="0" t="s">
        <v>2225</v>
      </c>
      <c r="L17" s="0" t="s">
        <v>2248</v>
      </c>
      <c r="M17" s="0" t="s">
        <v>2249</v>
      </c>
      <c r="N17" s="0" t="s">
        <v>392</v>
      </c>
    </row>
    <row customHeight="1" ht="11.25">
      <c r="A18" s="7795" t="s">
        <v>2195</v>
      </c>
      <c r="B18" s="7795" t="s">
        <v>14</v>
      </c>
      <c r="C18" s="7795" t="s">
        <v>2256</v>
      </c>
      <c r="D18" s="7795" t="s">
        <v>2257</v>
      </c>
      <c r="E18" s="7795" t="s">
        <v>2258</v>
      </c>
      <c r="F18" s="7795" t="s">
        <v>2229</v>
      </c>
      <c r="G18" s="7795" t="s">
        <v>2259</v>
      </c>
      <c r="H18" s="7795" t="s">
        <v>17</v>
      </c>
      <c r="I18" s="7795" t="s">
        <v>2260</v>
      </c>
      <c r="J18" s="0" t="s">
        <v>17</v>
      </c>
      <c r="K18" s="0" t="s">
        <v>2222</v>
      </c>
      <c r="L18" s="0" t="s">
        <v>2232</v>
      </c>
      <c r="M18" s="0" t="s">
        <v>2233</v>
      </c>
      <c r="N18" s="0" t="s">
        <v>392</v>
      </c>
    </row>
    <row customHeight="1" ht="11.25">
      <c r="A19" s="7795" t="s">
        <v>2195</v>
      </c>
      <c r="B19" s="7795" t="s">
        <v>14</v>
      </c>
      <c r="C19" s="7795" t="s">
        <v>2256</v>
      </c>
      <c r="D19" s="7795" t="s">
        <v>2257</v>
      </c>
      <c r="E19" s="7795" t="s">
        <v>2258</v>
      </c>
      <c r="F19" s="7795" t="s">
        <v>2229</v>
      </c>
      <c r="G19" s="7795" t="s">
        <v>2259</v>
      </c>
      <c r="H19" s="7795" t="s">
        <v>17</v>
      </c>
      <c r="I19" s="7795" t="s">
        <v>2260</v>
      </c>
      <c r="J19" s="0" t="s">
        <v>17</v>
      </c>
      <c r="K19" s="0" t="s">
        <v>2225</v>
      </c>
      <c r="L19" s="0" t="s">
        <v>2232</v>
      </c>
      <c r="M19" s="0" t="s">
        <v>2233</v>
      </c>
      <c r="N19" s="0" t="s">
        <v>392</v>
      </c>
    </row>
    <row customHeight="1" ht="11.25">
      <c r="A20" s="7795" t="s">
        <v>2195</v>
      </c>
      <c r="B20" s="7795" t="s">
        <v>14</v>
      </c>
      <c r="C20" s="7795" t="s">
        <v>2261</v>
      </c>
      <c r="D20" s="7795" t="s">
        <v>2262</v>
      </c>
      <c r="E20" s="7795" t="s">
        <v>2263</v>
      </c>
      <c r="F20" s="7795" t="s">
        <v>2264</v>
      </c>
      <c r="G20" s="7795" t="s">
        <v>2265</v>
      </c>
      <c r="H20" s="7795" t="s">
        <v>17</v>
      </c>
      <c r="I20" s="7795" t="s">
        <v>2266</v>
      </c>
      <c r="J20" s="0" t="s">
        <v>17</v>
      </c>
      <c r="K20" s="0" t="s">
        <v>2222</v>
      </c>
      <c r="L20" s="0" t="s">
        <v>2248</v>
      </c>
      <c r="M20" s="0" t="s">
        <v>2249</v>
      </c>
      <c r="N20" s="0" t="s">
        <v>392</v>
      </c>
    </row>
    <row customHeight="1" ht="11.25">
      <c r="A21" s="7795" t="s">
        <v>2195</v>
      </c>
      <c r="B21" s="7795" t="s">
        <v>14</v>
      </c>
      <c r="C21" s="7795" t="s">
        <v>2261</v>
      </c>
      <c r="D21" s="7795" t="s">
        <v>2262</v>
      </c>
      <c r="E21" s="7795" t="s">
        <v>2263</v>
      </c>
      <c r="F21" s="7795" t="s">
        <v>2264</v>
      </c>
      <c r="G21" s="7795" t="s">
        <v>2265</v>
      </c>
      <c r="H21" s="7795" t="s">
        <v>17</v>
      </c>
      <c r="I21" s="7795" t="s">
        <v>2266</v>
      </c>
      <c r="J21" s="0" t="s">
        <v>17</v>
      </c>
      <c r="K21" s="0" t="s">
        <v>2225</v>
      </c>
      <c r="L21" s="0" t="s">
        <v>2248</v>
      </c>
      <c r="M21" s="0" t="s">
        <v>2249</v>
      </c>
      <c r="N21" s="0" t="s">
        <v>392</v>
      </c>
    </row>
    <row customHeight="1" ht="11.25">
      <c r="A22" s="7795" t="s">
        <v>2195</v>
      </c>
      <c r="B22" s="7795" t="s">
        <v>14</v>
      </c>
      <c r="C22" s="7795" t="s">
        <v>2267</v>
      </c>
      <c r="D22" s="7795" t="s">
        <v>2268</v>
      </c>
      <c r="E22" s="7795" t="s">
        <v>2269</v>
      </c>
      <c r="F22" s="7795" t="s">
        <v>2270</v>
      </c>
      <c r="G22" s="7795" t="s">
        <v>2271</v>
      </c>
      <c r="H22" s="7795" t="s">
        <v>17</v>
      </c>
      <c r="I22" s="7795" t="s">
        <v>2272</v>
      </c>
      <c r="J22" s="0" t="s">
        <v>17</v>
      </c>
      <c r="K22" s="0" t="s">
        <v>2222</v>
      </c>
      <c r="L22" s="0" t="s">
        <v>2273</v>
      </c>
      <c r="M22" s="0" t="s">
        <v>2274</v>
      </c>
      <c r="N22" s="0" t="s">
        <v>392</v>
      </c>
    </row>
    <row customHeight="1" ht="11.25">
      <c r="A23" s="7795" t="s">
        <v>2195</v>
      </c>
      <c r="B23" s="7795" t="s">
        <v>14</v>
      </c>
      <c r="C23" s="7795" t="s">
        <v>2275</v>
      </c>
      <c r="D23" s="7795" t="s">
        <v>2276</v>
      </c>
      <c r="E23" s="7795" t="s">
        <v>2277</v>
      </c>
      <c r="F23" s="7795" t="s">
        <v>2278</v>
      </c>
      <c r="G23" s="7795" t="s">
        <v>2279</v>
      </c>
      <c r="H23" s="7795" t="s">
        <v>17</v>
      </c>
      <c r="I23" s="7795" t="s">
        <v>2212</v>
      </c>
      <c r="J23" s="0" t="s">
        <v>17</v>
      </c>
      <c r="K23" s="0" t="s">
        <v>2222</v>
      </c>
      <c r="L23" s="0" t="s">
        <v>2280</v>
      </c>
      <c r="M23" s="0" t="s">
        <v>2281</v>
      </c>
      <c r="N23" s="0" t="s">
        <v>392</v>
      </c>
    </row>
    <row customHeight="1" ht="11.25">
      <c r="A24" s="7795" t="s">
        <v>2195</v>
      </c>
      <c r="B24" s="7795" t="s">
        <v>14</v>
      </c>
      <c r="C24" s="7795" t="s">
        <v>2275</v>
      </c>
      <c r="D24" s="7795" t="s">
        <v>2276</v>
      </c>
      <c r="E24" s="7795" t="s">
        <v>2277</v>
      </c>
      <c r="F24" s="7795" t="s">
        <v>2278</v>
      </c>
      <c r="G24" s="7795" t="s">
        <v>2279</v>
      </c>
      <c r="H24" s="7795" t="s">
        <v>17</v>
      </c>
      <c r="I24" s="7795" t="s">
        <v>2212</v>
      </c>
      <c r="J24" s="0" t="s">
        <v>17</v>
      </c>
      <c r="K24" s="0" t="s">
        <v>2222</v>
      </c>
      <c r="L24" s="0" t="s">
        <v>2248</v>
      </c>
      <c r="M24" s="0" t="s">
        <v>2249</v>
      </c>
      <c r="N24" s="0" t="s">
        <v>392</v>
      </c>
    </row>
    <row customHeight="1" ht="11.25">
      <c r="A25" s="7795" t="s">
        <v>2195</v>
      </c>
      <c r="B25" s="7795" t="s">
        <v>14</v>
      </c>
      <c r="C25" s="7795" t="s">
        <v>2275</v>
      </c>
      <c r="D25" s="7795" t="s">
        <v>2276</v>
      </c>
      <c r="E25" s="7795" t="s">
        <v>2277</v>
      </c>
      <c r="F25" s="7795" t="s">
        <v>2278</v>
      </c>
      <c r="G25" s="7795" t="s">
        <v>2279</v>
      </c>
      <c r="H25" s="7795" t="s">
        <v>17</v>
      </c>
      <c r="I25" s="7795" t="s">
        <v>2212</v>
      </c>
      <c r="J25" s="0" t="s">
        <v>17</v>
      </c>
      <c r="K25" s="0" t="s">
        <v>2225</v>
      </c>
      <c r="L25" s="0" t="s">
        <v>2248</v>
      </c>
      <c r="M25" s="0" t="s">
        <v>2249</v>
      </c>
      <c r="N25" s="0" t="s">
        <v>392</v>
      </c>
    </row>
    <row customHeight="1" ht="11.25">
      <c r="A26" s="7795" t="s">
        <v>2195</v>
      </c>
      <c r="B26" s="7795" t="s">
        <v>14</v>
      </c>
      <c r="C26" s="7795" t="s">
        <v>2282</v>
      </c>
      <c r="D26" s="7795" t="s">
        <v>2283</v>
      </c>
      <c r="E26" s="7795" t="s">
        <v>2284</v>
      </c>
      <c r="F26" s="7795" t="s">
        <v>2229</v>
      </c>
      <c r="G26" s="7795" t="s">
        <v>2285</v>
      </c>
      <c r="H26" s="7795" t="s">
        <v>17</v>
      </c>
      <c r="I26" s="7795" t="s">
        <v>2286</v>
      </c>
      <c r="J26" s="0" t="s">
        <v>17</v>
      </c>
      <c r="K26" s="0" t="s">
        <v>2222</v>
      </c>
      <c r="L26" s="0" t="s">
        <v>2248</v>
      </c>
      <c r="M26" s="0" t="s">
        <v>2249</v>
      </c>
      <c r="N26" s="0" t="s">
        <v>392</v>
      </c>
    </row>
    <row customHeight="1" ht="11.25">
      <c r="A27" s="7795" t="s">
        <v>2195</v>
      </c>
      <c r="B27" s="7795" t="s">
        <v>14</v>
      </c>
      <c r="C27" s="7795" t="s">
        <v>2282</v>
      </c>
      <c r="D27" s="7795" t="s">
        <v>2283</v>
      </c>
      <c r="E27" s="7795" t="s">
        <v>2284</v>
      </c>
      <c r="F27" s="7795" t="s">
        <v>2229</v>
      </c>
      <c r="G27" s="7795" t="s">
        <v>2285</v>
      </c>
      <c r="H27" s="7795" t="s">
        <v>17</v>
      </c>
      <c r="I27" s="7795" t="s">
        <v>2286</v>
      </c>
      <c r="J27" s="0" t="s">
        <v>17</v>
      </c>
      <c r="K27" s="0" t="s">
        <v>2225</v>
      </c>
      <c r="L27" s="0" t="s">
        <v>2248</v>
      </c>
      <c r="M27" s="0" t="s">
        <v>2249</v>
      </c>
      <c r="N27" s="0" t="s">
        <v>392</v>
      </c>
    </row>
    <row customHeight="1" ht="11.25">
      <c r="A28" s="7795" t="s">
        <v>2195</v>
      </c>
      <c r="B28" s="7795" t="s">
        <v>14</v>
      </c>
      <c r="C28" s="7795" t="s">
        <v>2287</v>
      </c>
      <c r="D28" s="7795" t="s">
        <v>2288</v>
      </c>
      <c r="E28" s="7795" t="s">
        <v>2289</v>
      </c>
      <c r="F28" s="7795" t="s">
        <v>2206</v>
      </c>
      <c r="G28" s="7795" t="s">
        <v>2290</v>
      </c>
      <c r="H28" s="7795" t="s">
        <v>17</v>
      </c>
      <c r="I28" s="7795" t="s">
        <v>2291</v>
      </c>
      <c r="J28" s="0" t="s">
        <v>17</v>
      </c>
      <c r="K28" s="0" t="s">
        <v>2222</v>
      </c>
      <c r="L28" s="0" t="s">
        <v>2223</v>
      </c>
      <c r="M28" s="0" t="s">
        <v>2224</v>
      </c>
      <c r="N28" s="0" t="s">
        <v>392</v>
      </c>
    </row>
    <row customHeight="1" ht="11.25">
      <c r="A29" s="7795" t="s">
        <v>2195</v>
      </c>
      <c r="B29" s="7795" t="s">
        <v>14</v>
      </c>
      <c r="C29" s="7795" t="s">
        <v>2287</v>
      </c>
      <c r="D29" s="7795" t="s">
        <v>2288</v>
      </c>
      <c r="E29" s="7795" t="s">
        <v>2289</v>
      </c>
      <c r="F29" s="7795" t="s">
        <v>2206</v>
      </c>
      <c r="G29" s="7795" t="s">
        <v>2290</v>
      </c>
      <c r="H29" s="7795" t="s">
        <v>17</v>
      </c>
      <c r="I29" s="7795" t="s">
        <v>2291</v>
      </c>
      <c r="J29" s="0" t="s">
        <v>17</v>
      </c>
      <c r="K29" s="0" t="s">
        <v>2225</v>
      </c>
      <c r="L29" s="0" t="s">
        <v>2223</v>
      </c>
      <c r="M29" s="0" t="s">
        <v>2224</v>
      </c>
      <c r="N29" s="0" t="s">
        <v>392</v>
      </c>
    </row>
    <row customHeight="1" ht="11.25">
      <c r="A30" s="7795" t="s">
        <v>2195</v>
      </c>
      <c r="B30" s="7795" t="s">
        <v>14</v>
      </c>
      <c r="C30" s="7795" t="s">
        <v>2292</v>
      </c>
      <c r="D30" s="7795" t="s">
        <v>2293</v>
      </c>
      <c r="E30" s="7795" t="s">
        <v>2294</v>
      </c>
      <c r="F30" s="7795" t="s">
        <v>2295</v>
      </c>
      <c r="G30" s="7795" t="s">
        <v>2296</v>
      </c>
      <c r="H30" s="7795" t="s">
        <v>17</v>
      </c>
      <c r="I30" s="7795" t="s">
        <v>2297</v>
      </c>
      <c r="J30" s="0" t="s">
        <v>17</v>
      </c>
      <c r="K30" s="0" t="s">
        <v>2222</v>
      </c>
      <c r="L30" s="0" t="s">
        <v>2248</v>
      </c>
      <c r="M30" s="0" t="s">
        <v>2249</v>
      </c>
      <c r="N30" s="0" t="s">
        <v>392</v>
      </c>
    </row>
    <row customHeight="1" ht="11.25">
      <c r="A31" s="7795" t="s">
        <v>2195</v>
      </c>
      <c r="B31" s="7795" t="s">
        <v>14</v>
      </c>
      <c r="C31" s="7795" t="s">
        <v>2292</v>
      </c>
      <c r="D31" s="7795" t="s">
        <v>2293</v>
      </c>
      <c r="E31" s="7795" t="s">
        <v>2294</v>
      </c>
      <c r="F31" s="7795" t="s">
        <v>2295</v>
      </c>
      <c r="G31" s="7795" t="s">
        <v>2296</v>
      </c>
      <c r="H31" s="7795" t="s">
        <v>17</v>
      </c>
      <c r="I31" s="7795" t="s">
        <v>2297</v>
      </c>
      <c r="J31" s="0" t="s">
        <v>17</v>
      </c>
      <c r="K31" s="0" t="s">
        <v>2225</v>
      </c>
      <c r="L31" s="0" t="s">
        <v>2248</v>
      </c>
      <c r="M31" s="0" t="s">
        <v>2249</v>
      </c>
      <c r="N31" s="0" t="s">
        <v>392</v>
      </c>
    </row>
    <row customHeight="1" ht="11.25">
      <c r="A32" s="7795" t="s">
        <v>2195</v>
      </c>
      <c r="B32" s="7795" t="s">
        <v>14</v>
      </c>
      <c r="C32" s="7795" t="s">
        <v>2298</v>
      </c>
      <c r="D32" s="7795" t="s">
        <v>2299</v>
      </c>
      <c r="E32" s="7795" t="s">
        <v>2300</v>
      </c>
      <c r="F32" s="7795" t="s">
        <v>2219</v>
      </c>
      <c r="G32" s="7795" t="s">
        <v>2301</v>
      </c>
      <c r="H32" s="7795" t="s">
        <v>17</v>
      </c>
      <c r="I32" s="7795" t="s">
        <v>2302</v>
      </c>
      <c r="J32" s="0" t="s">
        <v>17</v>
      </c>
      <c r="K32" s="0" t="s">
        <v>2222</v>
      </c>
      <c r="L32" s="0" t="s">
        <v>2303</v>
      </c>
      <c r="M32" s="0" t="s">
        <v>2304</v>
      </c>
      <c r="N32" s="0" t="s">
        <v>392</v>
      </c>
    </row>
    <row customHeight="1" ht="11.25">
      <c r="A33" s="7795" t="s">
        <v>2195</v>
      </c>
      <c r="B33" s="7795" t="s">
        <v>14</v>
      </c>
      <c r="C33" s="7795" t="s">
        <v>2298</v>
      </c>
      <c r="D33" s="7795" t="s">
        <v>2299</v>
      </c>
      <c r="E33" s="7795" t="s">
        <v>2300</v>
      </c>
      <c r="F33" s="7795" t="s">
        <v>2219</v>
      </c>
      <c r="G33" s="7795" t="s">
        <v>2301</v>
      </c>
      <c r="H33" s="7795" t="s">
        <v>17</v>
      </c>
      <c r="I33" s="7795" t="s">
        <v>2302</v>
      </c>
      <c r="J33" s="0" t="s">
        <v>17</v>
      </c>
      <c r="K33" s="0" t="s">
        <v>2225</v>
      </c>
      <c r="L33" s="0" t="s">
        <v>2303</v>
      </c>
      <c r="M33" s="0" t="s">
        <v>2304</v>
      </c>
      <c r="N33" s="0" t="s">
        <v>392</v>
      </c>
    </row>
    <row customHeight="1" ht="11.25">
      <c r="A34" s="7795" t="s">
        <v>2195</v>
      </c>
      <c r="B34" s="7795" t="s">
        <v>14</v>
      </c>
      <c r="C34" s="7795" t="s">
        <v>2305</v>
      </c>
      <c r="D34" s="7795" t="s">
        <v>2306</v>
      </c>
      <c r="E34" s="7795" t="s">
        <v>2307</v>
      </c>
      <c r="F34" s="7795" t="s">
        <v>2308</v>
      </c>
      <c r="G34" s="7795" t="s">
        <v>2309</v>
      </c>
      <c r="H34" s="7795" t="s">
        <v>17</v>
      </c>
      <c r="I34" s="7795" t="s">
        <v>2212</v>
      </c>
      <c r="J34" s="0" t="s">
        <v>17</v>
      </c>
      <c r="K34" s="0" t="s">
        <v>2222</v>
      </c>
      <c r="L34" s="0" t="s">
        <v>2232</v>
      </c>
      <c r="M34" s="0" t="s">
        <v>2233</v>
      </c>
      <c r="N34" s="0" t="s">
        <v>392</v>
      </c>
    </row>
    <row customHeight="1" ht="11.25">
      <c r="A35" s="7795" t="s">
        <v>2195</v>
      </c>
      <c r="B35" s="7795" t="s">
        <v>14</v>
      </c>
      <c r="C35" s="7795" t="s">
        <v>2305</v>
      </c>
      <c r="D35" s="7795" t="s">
        <v>2306</v>
      </c>
      <c r="E35" s="7795" t="s">
        <v>2307</v>
      </c>
      <c r="F35" s="7795" t="s">
        <v>2308</v>
      </c>
      <c r="G35" s="7795" t="s">
        <v>2309</v>
      </c>
      <c r="H35" s="7795" t="s">
        <v>17</v>
      </c>
      <c r="I35" s="7795" t="s">
        <v>2212</v>
      </c>
      <c r="J35" s="0" t="s">
        <v>17</v>
      </c>
      <c r="K35" s="0" t="s">
        <v>2225</v>
      </c>
      <c r="L35" s="0" t="s">
        <v>2232</v>
      </c>
      <c r="M35" s="0" t="s">
        <v>2233</v>
      </c>
      <c r="N35" s="0" t="s">
        <v>392</v>
      </c>
    </row>
    <row customHeight="1" ht="11.25">
      <c r="A36" s="7795" t="s">
        <v>2195</v>
      </c>
      <c r="B36" s="7795" t="s">
        <v>14</v>
      </c>
      <c r="C36" s="7795" t="s">
        <v>2310</v>
      </c>
      <c r="D36" s="7795" t="s">
        <v>2311</v>
      </c>
      <c r="E36" s="7795" t="s">
        <v>2312</v>
      </c>
      <c r="F36" s="7795" t="s">
        <v>2295</v>
      </c>
      <c r="G36" s="7795" t="s">
        <v>2313</v>
      </c>
      <c r="H36" s="7795" t="s">
        <v>17</v>
      </c>
      <c r="I36" s="7795" t="s">
        <v>2212</v>
      </c>
      <c r="J36" s="0" t="s">
        <v>17</v>
      </c>
      <c r="K36" s="0" t="s">
        <v>2222</v>
      </c>
      <c r="L36" s="0" t="s">
        <v>2248</v>
      </c>
      <c r="M36" s="0" t="s">
        <v>2249</v>
      </c>
      <c r="N36" s="0" t="s">
        <v>392</v>
      </c>
    </row>
    <row customHeight="1" ht="11.25">
      <c r="A37" s="7795" t="s">
        <v>2195</v>
      </c>
      <c r="B37" s="7795" t="s">
        <v>14</v>
      </c>
      <c r="C37" s="7795" t="s">
        <v>2310</v>
      </c>
      <c r="D37" s="7795" t="s">
        <v>2311</v>
      </c>
      <c r="E37" s="7795" t="s">
        <v>2312</v>
      </c>
      <c r="F37" s="7795" t="s">
        <v>2295</v>
      </c>
      <c r="G37" s="7795" t="s">
        <v>2313</v>
      </c>
      <c r="H37" s="7795" t="s">
        <v>17</v>
      </c>
      <c r="I37" s="7795" t="s">
        <v>2212</v>
      </c>
      <c r="J37" s="0" t="s">
        <v>17</v>
      </c>
      <c r="K37" s="0" t="s">
        <v>2225</v>
      </c>
      <c r="L37" s="0" t="s">
        <v>2248</v>
      </c>
      <c r="M37" s="0" t="s">
        <v>2249</v>
      </c>
      <c r="N37" s="0" t="s">
        <v>392</v>
      </c>
    </row>
    <row customHeight="1" ht="11.25">
      <c r="A38" s="7795" t="s">
        <v>2195</v>
      </c>
      <c r="B38" s="7795" t="s">
        <v>14</v>
      </c>
      <c r="C38" s="7795" t="s">
        <v>2314</v>
      </c>
      <c r="D38" s="7795" t="s">
        <v>2315</v>
      </c>
      <c r="E38" s="7795" t="s">
        <v>2316</v>
      </c>
      <c r="F38" s="7795" t="s">
        <v>2317</v>
      </c>
      <c r="G38" s="7795" t="s">
        <v>2318</v>
      </c>
      <c r="H38" s="7795" t="s">
        <v>17</v>
      </c>
      <c r="I38" s="7795" t="s">
        <v>2272</v>
      </c>
      <c r="J38" s="0" t="s">
        <v>17</v>
      </c>
      <c r="K38" s="0" t="s">
        <v>2222</v>
      </c>
      <c r="L38" s="0" t="s">
        <v>2273</v>
      </c>
      <c r="M38" s="0" t="s">
        <v>2274</v>
      </c>
      <c r="N38" s="0" t="s">
        <v>392</v>
      </c>
    </row>
    <row customHeight="1" ht="11.25">
      <c r="A39" s="7795" t="s">
        <v>2195</v>
      </c>
      <c r="B39" s="7795" t="s">
        <v>14</v>
      </c>
      <c r="C39" s="7795" t="s">
        <v>2319</v>
      </c>
      <c r="D39" s="7795" t="s">
        <v>2320</v>
      </c>
      <c r="E39" s="7795" t="s">
        <v>2321</v>
      </c>
      <c r="F39" s="7795" t="s">
        <v>2238</v>
      </c>
      <c r="G39" s="7795" t="s">
        <v>2322</v>
      </c>
      <c r="H39" s="7795" t="s">
        <v>17</v>
      </c>
      <c r="I39" s="7795" t="s">
        <v>2323</v>
      </c>
      <c r="J39" s="0" t="s">
        <v>17</v>
      </c>
      <c r="K39" s="0" t="s">
        <v>2222</v>
      </c>
      <c r="L39" s="0" t="s">
        <v>2223</v>
      </c>
      <c r="M39" s="0" t="s">
        <v>2224</v>
      </c>
      <c r="N39" s="0" t="s">
        <v>392</v>
      </c>
    </row>
    <row customHeight="1" ht="11.25">
      <c r="A40" s="7795" t="s">
        <v>2195</v>
      </c>
      <c r="B40" s="7795" t="s">
        <v>14</v>
      </c>
      <c r="C40" s="7795" t="s">
        <v>2319</v>
      </c>
      <c r="D40" s="7795" t="s">
        <v>2320</v>
      </c>
      <c r="E40" s="7795" t="s">
        <v>2321</v>
      </c>
      <c r="F40" s="7795" t="s">
        <v>2238</v>
      </c>
      <c r="G40" s="7795" t="s">
        <v>2322</v>
      </c>
      <c r="H40" s="7795" t="s">
        <v>17</v>
      </c>
      <c r="I40" s="7795" t="s">
        <v>2323</v>
      </c>
      <c r="J40" s="0" t="s">
        <v>17</v>
      </c>
      <c r="K40" s="0" t="s">
        <v>2225</v>
      </c>
      <c r="L40" s="0" t="s">
        <v>2223</v>
      </c>
      <c r="M40" s="0" t="s">
        <v>2224</v>
      </c>
      <c r="N40" s="0" t="s">
        <v>392</v>
      </c>
    </row>
    <row customHeight="1" ht="11.25">
      <c r="A41" s="7795" t="s">
        <v>2195</v>
      </c>
      <c r="B41" s="7795" t="s">
        <v>14</v>
      </c>
      <c r="C41" s="7795" t="s">
        <v>2319</v>
      </c>
      <c r="D41" s="7795" t="s">
        <v>2320</v>
      </c>
      <c r="E41" s="7795" t="s">
        <v>2321</v>
      </c>
      <c r="F41" s="7795" t="s">
        <v>2238</v>
      </c>
      <c r="G41" s="7795" t="s">
        <v>2322</v>
      </c>
      <c r="H41" s="7795" t="s">
        <v>17</v>
      </c>
      <c r="I41" s="7795" t="s">
        <v>2324</v>
      </c>
      <c r="J41" s="0" t="s">
        <v>17</v>
      </c>
      <c r="K41" s="0" t="s">
        <v>2222</v>
      </c>
      <c r="L41" s="0" t="s">
        <v>2303</v>
      </c>
      <c r="M41" s="0" t="s">
        <v>2304</v>
      </c>
      <c r="N41" s="0" t="s">
        <v>392</v>
      </c>
    </row>
    <row customHeight="1" ht="11.25">
      <c r="A42" s="7795" t="s">
        <v>2195</v>
      </c>
      <c r="B42" s="7795" t="s">
        <v>14</v>
      </c>
      <c r="C42" s="7795" t="s">
        <v>2319</v>
      </c>
      <c r="D42" s="7795" t="s">
        <v>2320</v>
      </c>
      <c r="E42" s="7795" t="s">
        <v>2321</v>
      </c>
      <c r="F42" s="7795" t="s">
        <v>2238</v>
      </c>
      <c r="G42" s="7795" t="s">
        <v>2322</v>
      </c>
      <c r="H42" s="7795" t="s">
        <v>17</v>
      </c>
      <c r="I42" s="7795" t="s">
        <v>2324</v>
      </c>
      <c r="J42" s="0" t="s">
        <v>17</v>
      </c>
      <c r="K42" s="0" t="s">
        <v>2225</v>
      </c>
      <c r="L42" s="0" t="s">
        <v>2303</v>
      </c>
      <c r="M42" s="0" t="s">
        <v>2304</v>
      </c>
      <c r="N42" s="0" t="s">
        <v>392</v>
      </c>
    </row>
    <row customHeight="1" ht="11.25">
      <c r="A43" s="7795" t="s">
        <v>2195</v>
      </c>
      <c r="B43" s="7795" t="s">
        <v>14</v>
      </c>
      <c r="C43" s="7795" t="s">
        <v>2325</v>
      </c>
      <c r="D43" s="7795" t="s">
        <v>2326</v>
      </c>
      <c r="E43" s="7795" t="s">
        <v>2327</v>
      </c>
      <c r="F43" s="7795" t="s">
        <v>2264</v>
      </c>
      <c r="G43" s="7795" t="s">
        <v>2328</v>
      </c>
      <c r="H43" s="7795" t="s">
        <v>17</v>
      </c>
      <c r="I43" s="7795" t="s">
        <v>2329</v>
      </c>
      <c r="J43" s="0" t="s">
        <v>17</v>
      </c>
      <c r="K43" s="0" t="s">
        <v>2222</v>
      </c>
      <c r="L43" s="0" t="s">
        <v>2248</v>
      </c>
      <c r="M43" s="0" t="s">
        <v>2249</v>
      </c>
      <c r="N43" s="0" t="s">
        <v>392</v>
      </c>
    </row>
    <row customHeight="1" ht="11.25">
      <c r="A44" s="7795" t="s">
        <v>2195</v>
      </c>
      <c r="B44" s="7795" t="s">
        <v>14</v>
      </c>
      <c r="C44" s="7795" t="s">
        <v>2325</v>
      </c>
      <c r="D44" s="7795" t="s">
        <v>2326</v>
      </c>
      <c r="E44" s="7795" t="s">
        <v>2327</v>
      </c>
      <c r="F44" s="7795" t="s">
        <v>2264</v>
      </c>
      <c r="G44" s="7795" t="s">
        <v>2328</v>
      </c>
      <c r="H44" s="7795" t="s">
        <v>17</v>
      </c>
      <c r="I44" s="7795" t="s">
        <v>2329</v>
      </c>
      <c r="J44" s="0" t="s">
        <v>17</v>
      </c>
      <c r="K44" s="0" t="s">
        <v>2225</v>
      </c>
      <c r="L44" s="0" t="s">
        <v>2248</v>
      </c>
      <c r="M44" s="0" t="s">
        <v>2249</v>
      </c>
      <c r="N44" s="0" t="s">
        <v>392</v>
      </c>
    </row>
    <row customHeight="1" ht="11.25">
      <c r="A45" s="7795" t="s">
        <v>2195</v>
      </c>
      <c r="B45" s="7795" t="s">
        <v>14</v>
      </c>
      <c r="C45" s="7795" t="s">
        <v>2330</v>
      </c>
      <c r="D45" s="7795" t="s">
        <v>2331</v>
      </c>
      <c r="E45" s="7795" t="s">
        <v>2332</v>
      </c>
      <c r="F45" s="7795" t="s">
        <v>2229</v>
      </c>
      <c r="G45" s="7795" t="s">
        <v>2333</v>
      </c>
      <c r="H45" s="7795" t="s">
        <v>17</v>
      </c>
      <c r="I45" s="7795" t="s">
        <v>2334</v>
      </c>
      <c r="J45" s="0" t="s">
        <v>17</v>
      </c>
      <c r="K45" s="0" t="s">
        <v>2222</v>
      </c>
      <c r="L45" s="0" t="s">
        <v>2248</v>
      </c>
      <c r="M45" s="0" t="s">
        <v>2249</v>
      </c>
      <c r="N45" s="0" t="s">
        <v>392</v>
      </c>
    </row>
    <row customHeight="1" ht="11.25">
      <c r="A46" s="7795" t="s">
        <v>2195</v>
      </c>
      <c r="B46" s="7795" t="s">
        <v>14</v>
      </c>
      <c r="C46" s="7795" t="s">
        <v>2330</v>
      </c>
      <c r="D46" s="7795" t="s">
        <v>2331</v>
      </c>
      <c r="E46" s="7795" t="s">
        <v>2332</v>
      </c>
      <c r="F46" s="7795" t="s">
        <v>2229</v>
      </c>
      <c r="G46" s="7795" t="s">
        <v>2333</v>
      </c>
      <c r="H46" s="7795" t="s">
        <v>17</v>
      </c>
      <c r="I46" s="7795" t="s">
        <v>2334</v>
      </c>
      <c r="J46" s="0" t="s">
        <v>17</v>
      </c>
      <c r="K46" s="0" t="s">
        <v>2225</v>
      </c>
      <c r="L46" s="0" t="s">
        <v>2248</v>
      </c>
      <c r="M46" s="0" t="s">
        <v>2249</v>
      </c>
      <c r="N46" s="0" t="s">
        <v>392</v>
      </c>
    </row>
    <row customHeight="1" ht="11.25">
      <c r="A47" s="7795" t="s">
        <v>2195</v>
      </c>
      <c r="B47" s="7795" t="s">
        <v>14</v>
      </c>
      <c r="C47" s="7795" t="s">
        <v>2335</v>
      </c>
      <c r="D47" s="7795" t="s">
        <v>2336</v>
      </c>
      <c r="E47" s="7795" t="s">
        <v>2337</v>
      </c>
      <c r="F47" s="7795" t="s">
        <v>2264</v>
      </c>
      <c r="G47" s="7795" t="s">
        <v>2338</v>
      </c>
      <c r="H47" s="7795" t="s">
        <v>17</v>
      </c>
      <c r="I47" s="7795" t="s">
        <v>2339</v>
      </c>
      <c r="J47" s="0" t="s">
        <v>17</v>
      </c>
      <c r="K47" s="0" t="s">
        <v>2222</v>
      </c>
      <c r="L47" s="0" t="s">
        <v>2248</v>
      </c>
      <c r="M47" s="0" t="s">
        <v>2249</v>
      </c>
      <c r="N47" s="0" t="s">
        <v>392</v>
      </c>
    </row>
    <row customHeight="1" ht="11.25">
      <c r="A48" s="7795" t="s">
        <v>2195</v>
      </c>
      <c r="B48" s="7795" t="s">
        <v>14</v>
      </c>
      <c r="C48" s="7795" t="s">
        <v>2335</v>
      </c>
      <c r="D48" s="7795" t="s">
        <v>2336</v>
      </c>
      <c r="E48" s="7795" t="s">
        <v>2337</v>
      </c>
      <c r="F48" s="7795" t="s">
        <v>2264</v>
      </c>
      <c r="G48" s="7795" t="s">
        <v>2338</v>
      </c>
      <c r="H48" s="7795" t="s">
        <v>17</v>
      </c>
      <c r="I48" s="7795" t="s">
        <v>2339</v>
      </c>
      <c r="J48" s="0" t="s">
        <v>17</v>
      </c>
      <c r="K48" s="0" t="s">
        <v>2225</v>
      </c>
      <c r="L48" s="0" t="s">
        <v>2248</v>
      </c>
      <c r="M48" s="0" t="s">
        <v>2249</v>
      </c>
      <c r="N48" s="0" t="s">
        <v>392</v>
      </c>
    </row>
    <row customHeight="1" ht="11.25">
      <c r="A49" s="7795" t="s">
        <v>2195</v>
      </c>
      <c r="B49" s="7795" t="s">
        <v>14</v>
      </c>
      <c r="C49" s="7795" t="s">
        <v>2211</v>
      </c>
      <c r="D49" s="7795" t="s">
        <v>45</v>
      </c>
      <c r="E49" s="7795" t="s">
        <v>48</v>
      </c>
      <c r="F49" s="7795" t="s">
        <v>50</v>
      </c>
      <c r="G49" s="7795" t="s">
        <v>17</v>
      </c>
      <c r="H49" s="7795" t="s">
        <v>17</v>
      </c>
      <c r="I49" s="7795" t="s">
        <v>2340</v>
      </c>
      <c r="J49" s="0" t="s">
        <v>17</v>
      </c>
      <c r="K49" s="0" t="s">
        <v>2222</v>
      </c>
      <c r="L49" s="0" t="s">
        <v>2232</v>
      </c>
      <c r="M49" s="0" t="s">
        <v>2233</v>
      </c>
      <c r="N49" s="0" t="s">
        <v>392</v>
      </c>
    </row>
    <row customHeight="1" ht="11.25">
      <c r="A50" s="7795" t="s">
        <v>2195</v>
      </c>
      <c r="B50" s="7795" t="s">
        <v>14</v>
      </c>
      <c r="C50" s="7795" t="s">
        <v>2211</v>
      </c>
      <c r="D50" s="7795" t="s">
        <v>45</v>
      </c>
      <c r="E50" s="7795" t="s">
        <v>48</v>
      </c>
      <c r="F50" s="7795" t="s">
        <v>50</v>
      </c>
      <c r="G50" s="7795" t="s">
        <v>17</v>
      </c>
      <c r="H50" s="7795" t="s">
        <v>17</v>
      </c>
      <c r="I50" s="7795" t="s">
        <v>2340</v>
      </c>
      <c r="J50" s="0" t="s">
        <v>17</v>
      </c>
      <c r="K50" s="0" t="s">
        <v>2225</v>
      </c>
      <c r="L50" s="0" t="s">
        <v>2232</v>
      </c>
      <c r="M50" s="0" t="s">
        <v>2233</v>
      </c>
      <c r="N50" s="0" t="s">
        <v>392</v>
      </c>
    </row>
    <row customHeight="1" ht="11.25">
      <c r="A51" s="7795" t="s">
        <v>2195</v>
      </c>
      <c r="B51" s="7795" t="s">
        <v>14</v>
      </c>
      <c r="C51" s="7795" t="s">
        <v>2341</v>
      </c>
      <c r="D51" s="7795" t="s">
        <v>2342</v>
      </c>
      <c r="E51" s="7795" t="s">
        <v>2343</v>
      </c>
      <c r="F51" s="7795" t="s">
        <v>2344</v>
      </c>
      <c r="G51" s="7795" t="s">
        <v>2345</v>
      </c>
      <c r="H51" s="7795" t="s">
        <v>17</v>
      </c>
      <c r="I51" s="7795" t="s">
        <v>2212</v>
      </c>
      <c r="J51" s="0" t="s">
        <v>17</v>
      </c>
      <c r="K51" s="0" t="s">
        <v>2222</v>
      </c>
      <c r="L51" s="0" t="s">
        <v>2232</v>
      </c>
      <c r="M51" s="0" t="s">
        <v>2233</v>
      </c>
      <c r="N51" s="0" t="s">
        <v>392</v>
      </c>
    </row>
    <row customHeight="1" ht="11.25">
      <c r="A52" s="7795" t="s">
        <v>2195</v>
      </c>
      <c r="B52" s="7795" t="s">
        <v>14</v>
      </c>
      <c r="C52" s="7795" t="s">
        <v>2341</v>
      </c>
      <c r="D52" s="7795" t="s">
        <v>2342</v>
      </c>
      <c r="E52" s="7795" t="s">
        <v>2343</v>
      </c>
      <c r="F52" s="7795" t="s">
        <v>2344</v>
      </c>
      <c r="G52" s="7795" t="s">
        <v>2345</v>
      </c>
      <c r="H52" s="7795" t="s">
        <v>17</v>
      </c>
      <c r="I52" s="7795" t="s">
        <v>2212</v>
      </c>
      <c r="J52" s="0" t="s">
        <v>17</v>
      </c>
      <c r="K52" s="0" t="s">
        <v>2225</v>
      </c>
      <c r="L52" s="0" t="s">
        <v>2232</v>
      </c>
      <c r="M52" s="0" t="s">
        <v>2233</v>
      </c>
      <c r="N52" s="0" t="s">
        <v>392</v>
      </c>
    </row>
    <row customHeight="1" ht="11.25">
      <c r="A53" s="7795" t="s">
        <v>2195</v>
      </c>
      <c r="B53" s="7795" t="s">
        <v>14</v>
      </c>
      <c r="C53" s="7795" t="s">
        <v>2287</v>
      </c>
      <c r="D53" s="7795" t="s">
        <v>2288</v>
      </c>
      <c r="E53" s="7795" t="s">
        <v>2289</v>
      </c>
      <c r="F53" s="7795" t="s">
        <v>2206</v>
      </c>
      <c r="G53" s="7795" t="s">
        <v>2290</v>
      </c>
      <c r="H53" s="7795" t="s">
        <v>17</v>
      </c>
      <c r="I53" s="7795" t="s">
        <v>2291</v>
      </c>
      <c r="J53" s="0" t="s">
        <v>17</v>
      </c>
      <c r="K53" s="0" t="s">
        <v>2346</v>
      </c>
      <c r="L53" s="0" t="s">
        <v>2347</v>
      </c>
      <c r="M53" s="0" t="s">
        <v>2348</v>
      </c>
      <c r="N53" s="0" t="s">
        <v>393</v>
      </c>
    </row>
    <row customHeight="1" ht="11.25">
      <c r="A54" s="7795" t="s">
        <v>2195</v>
      </c>
      <c r="B54" s="7795" t="s">
        <v>14</v>
      </c>
      <c r="C54" s="7795" t="s">
        <v>2319</v>
      </c>
      <c r="D54" s="7795" t="s">
        <v>2320</v>
      </c>
      <c r="E54" s="7795" t="s">
        <v>2321</v>
      </c>
      <c r="F54" s="7795" t="s">
        <v>2238</v>
      </c>
      <c r="G54" s="7795" t="s">
        <v>2322</v>
      </c>
      <c r="H54" s="7795" t="s">
        <v>17</v>
      </c>
      <c r="I54" s="7795" t="s">
        <v>2323</v>
      </c>
      <c r="J54" s="0" t="s">
        <v>17</v>
      </c>
      <c r="K54" s="0" t="s">
        <v>2349</v>
      </c>
      <c r="L54" s="0" t="s">
        <v>2350</v>
      </c>
      <c r="M54" s="0" t="s">
        <v>2351</v>
      </c>
      <c r="N54" s="0" t="s">
        <v>393</v>
      </c>
    </row>
    <row customHeight="1" ht="11.25">
      <c r="A55" s="7795" t="s">
        <v>2195</v>
      </c>
      <c r="B55" s="7795" t="s">
        <v>14</v>
      </c>
      <c r="C55" s="7795" t="s">
        <v>2325</v>
      </c>
      <c r="D55" s="7795" t="s">
        <v>2326</v>
      </c>
      <c r="E55" s="7795" t="s">
        <v>2327</v>
      </c>
      <c r="F55" s="7795" t="s">
        <v>2264</v>
      </c>
      <c r="G55" s="7795" t="s">
        <v>2328</v>
      </c>
      <c r="H55" s="7795" t="s">
        <v>17</v>
      </c>
      <c r="I55" s="7795" t="s">
        <v>2329</v>
      </c>
      <c r="J55" s="0" t="s">
        <v>17</v>
      </c>
      <c r="K55" s="0" t="s">
        <v>2349</v>
      </c>
      <c r="L55" s="0" t="s">
        <v>2350</v>
      </c>
      <c r="M55" s="0" t="s">
        <v>2351</v>
      </c>
      <c r="N55" s="0" t="s">
        <v>393</v>
      </c>
    </row>
    <row customHeight="1" ht="11.25">
      <c r="A56" s="7795" t="s">
        <v>2195</v>
      </c>
      <c r="B56" s="7795" t="s">
        <v>14</v>
      </c>
      <c r="C56" s="7795" t="s">
        <v>2335</v>
      </c>
      <c r="D56" s="7795" t="s">
        <v>2336</v>
      </c>
      <c r="E56" s="7795" t="s">
        <v>2337</v>
      </c>
      <c r="F56" s="7795" t="s">
        <v>2264</v>
      </c>
      <c r="G56" s="7795" t="s">
        <v>2338</v>
      </c>
      <c r="H56" s="7795" t="s">
        <v>17</v>
      </c>
      <c r="I56" s="7795" t="s">
        <v>2339</v>
      </c>
      <c r="J56" s="0" t="s">
        <v>17</v>
      </c>
      <c r="K56" s="0" t="s">
        <v>2349</v>
      </c>
      <c r="L56" s="0" t="s">
        <v>2350</v>
      </c>
      <c r="M56" s="0" t="s">
        <v>2351</v>
      </c>
      <c r="N56" s="0" t="s">
        <v>393</v>
      </c>
    </row>
    <row customHeight="1" ht="11.25">
      <c r="A57" s="7795" t="s">
        <v>2195</v>
      </c>
      <c r="B57" s="7795" t="s">
        <v>14</v>
      </c>
      <c r="C57" s="7795" t="s">
        <v>2352</v>
      </c>
      <c r="D57" s="7795" t="s">
        <v>2353</v>
      </c>
      <c r="E57" s="7795" t="s">
        <v>2354</v>
      </c>
      <c r="F57" s="7795" t="s">
        <v>2206</v>
      </c>
      <c r="G57" s="7795" t="s">
        <v>2355</v>
      </c>
      <c r="H57" s="7795" t="s">
        <v>17</v>
      </c>
      <c r="I57" s="7795" t="s">
        <v>2356</v>
      </c>
      <c r="J57" s="0" t="s">
        <v>17</v>
      </c>
      <c r="K57" s="0" t="s">
        <v>1062</v>
      </c>
      <c r="L57" s="0" t="s">
        <v>2357</v>
      </c>
      <c r="M57" s="0" t="s">
        <v>2358</v>
      </c>
      <c r="N57" s="0" t="s">
        <v>395</v>
      </c>
    </row>
    <row customHeight="1" ht="11.25">
      <c r="A58" s="7795" t="s">
        <v>2195</v>
      </c>
      <c r="B58" s="7795" t="s">
        <v>14</v>
      </c>
      <c r="C58" s="7795" t="s">
        <v>2352</v>
      </c>
      <c r="D58" s="7795" t="s">
        <v>2353</v>
      </c>
      <c r="E58" s="7795" t="s">
        <v>2354</v>
      </c>
      <c r="F58" s="7795" t="s">
        <v>2206</v>
      </c>
      <c r="G58" s="7795" t="s">
        <v>2355</v>
      </c>
      <c r="H58" s="7795" t="s">
        <v>17</v>
      </c>
      <c r="I58" s="7795" t="s">
        <v>2356</v>
      </c>
      <c r="J58" s="0" t="s">
        <v>17</v>
      </c>
      <c r="K58" s="0" t="s">
        <v>1081</v>
      </c>
      <c r="L58" s="0" t="s">
        <v>2357</v>
      </c>
      <c r="M58" s="0" t="s">
        <v>2358</v>
      </c>
      <c r="N58" s="0" t="s">
        <v>395</v>
      </c>
    </row>
    <row customHeight="1" ht="11.25">
      <c r="A59" s="7795" t="s">
        <v>2195</v>
      </c>
      <c r="B59" s="7795" t="s">
        <v>14</v>
      </c>
      <c r="C59" s="7795" t="s">
        <v>2352</v>
      </c>
      <c r="D59" s="7795" t="s">
        <v>2353</v>
      </c>
      <c r="E59" s="7795" t="s">
        <v>2354</v>
      </c>
      <c r="F59" s="7795" t="s">
        <v>2206</v>
      </c>
      <c r="G59" s="7795" t="s">
        <v>2355</v>
      </c>
      <c r="H59" s="7795" t="s">
        <v>17</v>
      </c>
      <c r="I59" s="7795" t="s">
        <v>2359</v>
      </c>
      <c r="J59" s="0" t="s">
        <v>17</v>
      </c>
      <c r="K59" s="0" t="s">
        <v>284</v>
      </c>
      <c r="L59" s="0" t="s">
        <v>284</v>
      </c>
      <c r="M59" s="0" t="s">
        <v>2360</v>
      </c>
      <c r="N59" s="0" t="s">
        <v>395</v>
      </c>
    </row>
    <row customHeight="1" ht="11.25">
      <c r="A60" s="7795" t="s">
        <v>2195</v>
      </c>
      <c r="B60" s="7795" t="s">
        <v>14</v>
      </c>
      <c r="C60" s="7795" t="s">
        <v>2352</v>
      </c>
      <c r="D60" s="7795" t="s">
        <v>2353</v>
      </c>
      <c r="E60" s="7795" t="s">
        <v>2354</v>
      </c>
      <c r="F60" s="7795" t="s">
        <v>2206</v>
      </c>
      <c r="G60" s="7795" t="s">
        <v>2355</v>
      </c>
      <c r="H60" s="7795" t="s">
        <v>17</v>
      </c>
      <c r="I60" s="7795" t="s">
        <v>2361</v>
      </c>
      <c r="J60" s="0" t="s">
        <v>17</v>
      </c>
      <c r="K60" s="0" t="s">
        <v>284</v>
      </c>
      <c r="L60" s="0" t="s">
        <v>284</v>
      </c>
      <c r="M60" s="0" t="s">
        <v>2360</v>
      </c>
      <c r="N60" s="0" t="s">
        <v>395</v>
      </c>
    </row>
    <row customHeight="1" ht="11.25">
      <c r="A61" s="7795" t="s">
        <v>2195</v>
      </c>
      <c r="B61" s="7795" t="s">
        <v>14</v>
      </c>
      <c r="C61" s="7795" t="s">
        <v>2352</v>
      </c>
      <c r="D61" s="7795" t="s">
        <v>2353</v>
      </c>
      <c r="E61" s="7795" t="s">
        <v>2354</v>
      </c>
      <c r="F61" s="7795" t="s">
        <v>2206</v>
      </c>
      <c r="G61" s="7795" t="s">
        <v>2355</v>
      </c>
      <c r="H61" s="7795" t="s">
        <v>17</v>
      </c>
      <c r="I61" s="7795" t="s">
        <v>2362</v>
      </c>
      <c r="J61" s="0" t="s">
        <v>17</v>
      </c>
      <c r="K61" s="0" t="s">
        <v>284</v>
      </c>
      <c r="L61" s="0" t="s">
        <v>284</v>
      </c>
      <c r="M61" s="0" t="s">
        <v>2360</v>
      </c>
      <c r="N61"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D4C2-22C9-1D2E-C7E2-CDEF9D763637}" mc:Ignorable="x14ac xr xr2 xr3">
  <sheetPr>
    <tabColor rgb="FFFFCC99"/>
  </sheetPr>
  <dimension ref="A1:G128"/>
  <sheetViews>
    <sheetView topLeftCell="A1" showGridLines="0" workbookViewId="0">
      <selection activeCell="A1" sqref="A1"/>
    </sheetView>
  </sheetViews>
  <sheetFormatPr customHeight="1" defaultRowHeight="11.25"/>
  <cols>
    <col min="1" max="1" style="11340" width="9.140625"/>
  </cols>
  <sheetData>
    <row customHeight="1" ht="11.25">
      <c r="A1" s="663" t="s">
        <v>2363</v>
      </c>
      <c r="B1" s="320" t="s">
        <v>2364</v>
      </c>
      <c r="C1" s="320" t="s">
        <v>2365</v>
      </c>
      <c r="D1" s="320" t="s">
        <v>2366</v>
      </c>
      <c r="E1" s="152" t="s">
        <v>2367</v>
      </c>
      <c r="F1" s="152" t="s">
        <v>2368</v>
      </c>
      <c r="G1" s="152" t="s">
        <v>2369</v>
      </c>
    </row>
    <row customHeight="1" ht="11.25">
      <c r="A2" s="663" t="s">
        <v>14</v>
      </c>
      <c r="B2" s="0" t="s">
        <v>100</v>
      </c>
      <c r="C2" s="0" t="s">
        <v>101</v>
      </c>
      <c r="D2" s="0" t="s">
        <v>100</v>
      </c>
      <c r="E2" s="0" t="s">
        <v>101</v>
      </c>
      <c r="F2" s="0" t="s">
        <v>2370</v>
      </c>
      <c r="G2" s="0" t="s">
        <v>99</v>
      </c>
    </row>
    <row customHeight="1" ht="11.25">
      <c r="A3" s="663" t="s">
        <v>14</v>
      </c>
      <c r="B3" s="0" t="s">
        <v>2371</v>
      </c>
      <c r="C3" s="0" t="s">
        <v>2372</v>
      </c>
      <c r="D3" s="0" t="s">
        <v>2373</v>
      </c>
      <c r="E3" s="0" t="s">
        <v>2374</v>
      </c>
      <c r="F3" s="0" t="s">
        <v>2375</v>
      </c>
      <c r="G3" s="0" t="s">
        <v>109</v>
      </c>
    </row>
    <row customHeight="1" ht="11.25">
      <c r="A4" s="663" t="s">
        <v>14</v>
      </c>
      <c r="B4" s="0" t="s">
        <v>2371</v>
      </c>
      <c r="C4" s="0" t="s">
        <v>2372</v>
      </c>
      <c r="D4" s="0" t="s">
        <v>2376</v>
      </c>
      <c r="E4" s="0" t="s">
        <v>2377</v>
      </c>
      <c r="F4" s="0" t="s">
        <v>2378</v>
      </c>
      <c r="G4" s="0" t="s">
        <v>90</v>
      </c>
    </row>
    <row customHeight="1" ht="11.25">
      <c r="A5" s="663" t="s">
        <v>14</v>
      </c>
      <c r="B5" s="0" t="s">
        <v>2371</v>
      </c>
      <c r="C5" s="0" t="s">
        <v>2372</v>
      </c>
      <c r="D5" s="0" t="s">
        <v>2371</v>
      </c>
      <c r="E5" s="0" t="s">
        <v>2372</v>
      </c>
      <c r="F5" s="0" t="s">
        <v>2379</v>
      </c>
      <c r="G5" s="0" t="s">
        <v>91</v>
      </c>
    </row>
    <row customHeight="1" ht="11.25">
      <c r="A6" s="663" t="s">
        <v>14</v>
      </c>
      <c r="B6" s="0" t="s">
        <v>2371</v>
      </c>
      <c r="C6" s="0" t="s">
        <v>2372</v>
      </c>
      <c r="D6" s="0" t="s">
        <v>2380</v>
      </c>
      <c r="E6" s="0" t="s">
        <v>2381</v>
      </c>
      <c r="F6" s="0" t="s">
        <v>2375</v>
      </c>
      <c r="G6" s="0" t="s">
        <v>110</v>
      </c>
    </row>
    <row customHeight="1" ht="11.25">
      <c r="A7" s="663" t="s">
        <v>14</v>
      </c>
      <c r="B7" s="0" t="s">
        <v>2371</v>
      </c>
      <c r="C7" s="0" t="s">
        <v>2372</v>
      </c>
      <c r="D7" s="0" t="s">
        <v>2382</v>
      </c>
      <c r="E7" s="0" t="s">
        <v>2383</v>
      </c>
      <c r="F7" s="0" t="s">
        <v>2375</v>
      </c>
      <c r="G7" s="0" t="s">
        <v>92</v>
      </c>
    </row>
    <row customHeight="1" ht="11.25">
      <c r="A8" s="663" t="s">
        <v>14</v>
      </c>
      <c r="B8" s="0" t="s">
        <v>2371</v>
      </c>
      <c r="C8" s="0" t="s">
        <v>2372</v>
      </c>
      <c r="D8" s="0" t="s">
        <v>2384</v>
      </c>
      <c r="E8" s="0" t="s">
        <v>2385</v>
      </c>
      <c r="F8" s="0" t="s">
        <v>2375</v>
      </c>
      <c r="G8" s="0" t="s">
        <v>93</v>
      </c>
    </row>
    <row customHeight="1" ht="11.25">
      <c r="A9" s="663" t="s">
        <v>14</v>
      </c>
      <c r="B9" s="0" t="s">
        <v>2371</v>
      </c>
      <c r="C9" s="0" t="s">
        <v>2372</v>
      </c>
      <c r="D9" s="0" t="s">
        <v>2386</v>
      </c>
      <c r="E9" s="0" t="s">
        <v>2387</v>
      </c>
      <c r="F9" s="0" t="s">
        <v>2375</v>
      </c>
      <c r="G9" s="0" t="s">
        <v>111</v>
      </c>
    </row>
    <row customHeight="1" ht="11.25">
      <c r="A10" s="663" t="s">
        <v>14</v>
      </c>
      <c r="B10" s="0" t="s">
        <v>2371</v>
      </c>
      <c r="C10" s="0" t="s">
        <v>2372</v>
      </c>
      <c r="D10" s="0" t="s">
        <v>2388</v>
      </c>
      <c r="E10" s="0" t="s">
        <v>2389</v>
      </c>
      <c r="F10" s="0" t="s">
        <v>2375</v>
      </c>
      <c r="G10" s="0" t="s">
        <v>148</v>
      </c>
    </row>
    <row customHeight="1" ht="11.25">
      <c r="A11" s="663" t="s">
        <v>14</v>
      </c>
      <c r="B11" s="0" t="s">
        <v>2390</v>
      </c>
      <c r="C11" s="0" t="s">
        <v>2391</v>
      </c>
      <c r="D11" s="0" t="s">
        <v>2392</v>
      </c>
      <c r="E11" s="0" t="s">
        <v>2393</v>
      </c>
      <c r="F11" s="0" t="s">
        <v>2375</v>
      </c>
      <c r="G11" s="0" t="s">
        <v>149</v>
      </c>
    </row>
    <row customHeight="1" ht="11.25">
      <c r="A12" s="663" t="s">
        <v>14</v>
      </c>
      <c r="B12" s="0" t="s">
        <v>2390</v>
      </c>
      <c r="C12" s="0" t="s">
        <v>2391</v>
      </c>
      <c r="D12" s="0" t="s">
        <v>2394</v>
      </c>
      <c r="E12" s="0" t="s">
        <v>2395</v>
      </c>
      <c r="F12" s="0" t="s">
        <v>2375</v>
      </c>
      <c r="G12" s="0" t="s">
        <v>150</v>
      </c>
    </row>
    <row customHeight="1" ht="11.25">
      <c r="A13" s="663" t="s">
        <v>14</v>
      </c>
      <c r="B13" s="0" t="s">
        <v>2390</v>
      </c>
      <c r="C13" s="0" t="s">
        <v>2391</v>
      </c>
      <c r="D13" s="0" t="s">
        <v>2390</v>
      </c>
      <c r="E13" s="0" t="s">
        <v>2391</v>
      </c>
      <c r="F13" s="0" t="s">
        <v>2379</v>
      </c>
      <c r="G13" s="0" t="s">
        <v>151</v>
      </c>
    </row>
    <row customHeight="1" ht="11.25">
      <c r="A14" s="663" t="s">
        <v>14</v>
      </c>
      <c r="B14" s="0" t="s">
        <v>2390</v>
      </c>
      <c r="C14" s="0" t="s">
        <v>2391</v>
      </c>
      <c r="D14" s="0" t="s">
        <v>2396</v>
      </c>
      <c r="E14" s="0" t="s">
        <v>2397</v>
      </c>
      <c r="F14" s="0" t="s">
        <v>2375</v>
      </c>
      <c r="G14" s="0" t="s">
        <v>152</v>
      </c>
    </row>
    <row customHeight="1" ht="11.25">
      <c r="A15" s="663" t="s">
        <v>14</v>
      </c>
      <c r="B15" s="0" t="s">
        <v>2390</v>
      </c>
      <c r="C15" s="0" t="s">
        <v>2391</v>
      </c>
      <c r="D15" s="0" t="s">
        <v>2398</v>
      </c>
      <c r="E15" s="0" t="s">
        <v>2399</v>
      </c>
      <c r="F15" s="0" t="s">
        <v>2375</v>
      </c>
      <c r="G15" s="0" t="s">
        <v>153</v>
      </c>
    </row>
    <row customHeight="1" ht="11.25">
      <c r="A16" s="663" t="s">
        <v>14</v>
      </c>
      <c r="B16" s="0" t="s">
        <v>2390</v>
      </c>
      <c r="C16" s="0" t="s">
        <v>2391</v>
      </c>
      <c r="D16" s="0" t="s">
        <v>2400</v>
      </c>
      <c r="E16" s="0" t="s">
        <v>2401</v>
      </c>
      <c r="F16" s="0" t="s">
        <v>2375</v>
      </c>
      <c r="G16" s="0" t="s">
        <v>695</v>
      </c>
    </row>
    <row customHeight="1" ht="11.25">
      <c r="A17" s="663" t="s">
        <v>14</v>
      </c>
      <c r="B17" s="0" t="s">
        <v>2390</v>
      </c>
      <c r="C17" s="0" t="s">
        <v>2391</v>
      </c>
      <c r="D17" s="0" t="s">
        <v>2402</v>
      </c>
      <c r="E17" s="0" t="s">
        <v>2403</v>
      </c>
      <c r="F17" s="0" t="s">
        <v>2375</v>
      </c>
      <c r="G17" s="0" t="s">
        <v>397</v>
      </c>
    </row>
    <row customHeight="1" ht="11.25">
      <c r="A18" s="663" t="s">
        <v>14</v>
      </c>
      <c r="B18" s="0" t="s">
        <v>2390</v>
      </c>
      <c r="C18" s="0" t="s">
        <v>2391</v>
      </c>
      <c r="D18" s="0" t="s">
        <v>2404</v>
      </c>
      <c r="E18" s="0" t="s">
        <v>2405</v>
      </c>
      <c r="F18" s="0" t="s">
        <v>2375</v>
      </c>
      <c r="G18" s="0" t="s">
        <v>704</v>
      </c>
    </row>
    <row customHeight="1" ht="11.25">
      <c r="A19" s="663" t="s">
        <v>14</v>
      </c>
      <c r="B19" s="0" t="s">
        <v>2390</v>
      </c>
      <c r="C19" s="0" t="s">
        <v>2391</v>
      </c>
      <c r="D19" s="0" t="s">
        <v>2406</v>
      </c>
      <c r="E19" s="0" t="s">
        <v>2407</v>
      </c>
      <c r="F19" s="0" t="s">
        <v>2375</v>
      </c>
      <c r="G19" s="0" t="s">
        <v>708</v>
      </c>
    </row>
    <row customHeight="1" ht="11.25">
      <c r="A20" s="663" t="s">
        <v>14</v>
      </c>
      <c r="B20" s="0" t="s">
        <v>2390</v>
      </c>
      <c r="C20" s="0" t="s">
        <v>2391</v>
      </c>
      <c r="D20" s="0" t="s">
        <v>2408</v>
      </c>
      <c r="E20" s="0" t="s">
        <v>2409</v>
      </c>
      <c r="F20" s="0" t="s">
        <v>2375</v>
      </c>
      <c r="G20" s="0" t="s">
        <v>459</v>
      </c>
    </row>
    <row customHeight="1" ht="11.25">
      <c r="A21" s="663" t="s">
        <v>14</v>
      </c>
      <c r="B21" s="0" t="s">
        <v>2390</v>
      </c>
      <c r="C21" s="0" t="s">
        <v>2391</v>
      </c>
      <c r="D21" s="0" t="s">
        <v>2410</v>
      </c>
      <c r="E21" s="0" t="s">
        <v>2411</v>
      </c>
      <c r="F21" s="0" t="s">
        <v>2375</v>
      </c>
      <c r="G21" s="0" t="s">
        <v>1073</v>
      </c>
    </row>
    <row customHeight="1" ht="11.25">
      <c r="A22" s="663" t="s">
        <v>14</v>
      </c>
      <c r="B22" s="0" t="s">
        <v>2390</v>
      </c>
      <c r="C22" s="0" t="s">
        <v>2391</v>
      </c>
      <c r="D22" s="0" t="s">
        <v>2412</v>
      </c>
      <c r="E22" s="0" t="s">
        <v>2413</v>
      </c>
      <c r="F22" s="0" t="s">
        <v>2375</v>
      </c>
      <c r="G22" s="0" t="s">
        <v>1088</v>
      </c>
    </row>
    <row customHeight="1" ht="11.25">
      <c r="A23" s="663" t="s">
        <v>14</v>
      </c>
      <c r="B23" s="0" t="s">
        <v>2390</v>
      </c>
      <c r="C23" s="0" t="s">
        <v>2391</v>
      </c>
      <c r="D23" s="0" t="s">
        <v>2414</v>
      </c>
      <c r="E23" s="0" t="s">
        <v>2415</v>
      </c>
      <c r="F23" s="0" t="s">
        <v>2375</v>
      </c>
      <c r="G23" s="0" t="s">
        <v>1094</v>
      </c>
    </row>
    <row customHeight="1" ht="11.25">
      <c r="A24" s="663" t="s">
        <v>14</v>
      </c>
      <c r="B24" s="0" t="s">
        <v>2390</v>
      </c>
      <c r="C24" s="0" t="s">
        <v>2391</v>
      </c>
      <c r="D24" s="0" t="s">
        <v>2416</v>
      </c>
      <c r="E24" s="0" t="s">
        <v>2417</v>
      </c>
      <c r="F24" s="0" t="s">
        <v>2375</v>
      </c>
      <c r="G24" s="0" t="s">
        <v>1100</v>
      </c>
    </row>
    <row customHeight="1" ht="11.25">
      <c r="A25" s="663" t="s">
        <v>14</v>
      </c>
      <c r="B25" s="0" t="s">
        <v>2418</v>
      </c>
      <c r="C25" s="0" t="s">
        <v>2419</v>
      </c>
      <c r="D25" s="0" t="s">
        <v>2420</v>
      </c>
      <c r="E25" s="0" t="s">
        <v>2421</v>
      </c>
      <c r="F25" s="0" t="s">
        <v>2375</v>
      </c>
      <c r="G25" s="0" t="s">
        <v>472</v>
      </c>
    </row>
    <row customHeight="1" ht="11.25">
      <c r="A26" s="663" t="s">
        <v>14</v>
      </c>
      <c r="B26" s="0" t="s">
        <v>2418</v>
      </c>
      <c r="C26" s="0" t="s">
        <v>2419</v>
      </c>
      <c r="D26" s="0" t="s">
        <v>2422</v>
      </c>
      <c r="E26" s="0" t="s">
        <v>2423</v>
      </c>
      <c r="F26" s="0" t="s">
        <v>2375</v>
      </c>
      <c r="G26" s="0" t="s">
        <v>471</v>
      </c>
    </row>
    <row customHeight="1" ht="11.25">
      <c r="A27" s="663" t="s">
        <v>14</v>
      </c>
      <c r="B27" s="0" t="s">
        <v>2418</v>
      </c>
      <c r="C27" s="0" t="s">
        <v>2419</v>
      </c>
      <c r="D27" s="0" t="s">
        <v>2424</v>
      </c>
      <c r="E27" s="0" t="s">
        <v>2425</v>
      </c>
      <c r="F27" s="0" t="s">
        <v>2375</v>
      </c>
      <c r="G27" s="0" t="s">
        <v>719</v>
      </c>
    </row>
    <row customHeight="1" ht="11.25">
      <c r="A28" s="663" t="s">
        <v>14</v>
      </c>
      <c r="B28" s="0" t="s">
        <v>2418</v>
      </c>
      <c r="C28" s="0" t="s">
        <v>2419</v>
      </c>
      <c r="D28" s="0" t="s">
        <v>2426</v>
      </c>
      <c r="E28" s="0" t="s">
        <v>2427</v>
      </c>
      <c r="F28" s="0" t="s">
        <v>2375</v>
      </c>
      <c r="G28" s="0" t="s">
        <v>454</v>
      </c>
    </row>
    <row customHeight="1" ht="11.25">
      <c r="A29" s="663" t="s">
        <v>14</v>
      </c>
      <c r="B29" s="0" t="s">
        <v>2418</v>
      </c>
      <c r="C29" s="0" t="s">
        <v>2419</v>
      </c>
      <c r="D29" s="0" t="s">
        <v>2418</v>
      </c>
      <c r="E29" s="0" t="s">
        <v>2419</v>
      </c>
      <c r="F29" s="0" t="s">
        <v>2379</v>
      </c>
      <c r="G29" s="0" t="s">
        <v>1122</v>
      </c>
    </row>
    <row customHeight="1" ht="11.25">
      <c r="A30" s="663" t="s">
        <v>14</v>
      </c>
      <c r="B30" s="0" t="s">
        <v>2418</v>
      </c>
      <c r="C30" s="0" t="s">
        <v>2419</v>
      </c>
      <c r="D30" s="0" t="s">
        <v>2428</v>
      </c>
      <c r="E30" s="0" t="s">
        <v>2429</v>
      </c>
      <c r="F30" s="0" t="s">
        <v>2375</v>
      </c>
      <c r="G30" s="0" t="s">
        <v>1125</v>
      </c>
    </row>
    <row customHeight="1" ht="11.25">
      <c r="A31" s="663" t="s">
        <v>14</v>
      </c>
      <c r="B31" s="0" t="s">
        <v>2418</v>
      </c>
      <c r="C31" s="0" t="s">
        <v>2419</v>
      </c>
      <c r="D31" s="0" t="s">
        <v>2430</v>
      </c>
      <c r="E31" s="0" t="s">
        <v>2431</v>
      </c>
      <c r="F31" s="0" t="s">
        <v>2375</v>
      </c>
      <c r="G31" s="0" t="s">
        <v>1131</v>
      </c>
    </row>
    <row customHeight="1" ht="11.25">
      <c r="A32" s="663" t="s">
        <v>14</v>
      </c>
      <c r="B32" s="0" t="s">
        <v>2418</v>
      </c>
      <c r="C32" s="0" t="s">
        <v>2419</v>
      </c>
      <c r="D32" s="0" t="s">
        <v>2432</v>
      </c>
      <c r="E32" s="0" t="s">
        <v>2433</v>
      </c>
      <c r="F32" s="0" t="s">
        <v>2375</v>
      </c>
      <c r="G32" s="0" t="s">
        <v>1133</v>
      </c>
    </row>
    <row customHeight="1" ht="11.25">
      <c r="A33" s="663" t="s">
        <v>14</v>
      </c>
      <c r="B33" s="0" t="s">
        <v>2418</v>
      </c>
      <c r="C33" s="0" t="s">
        <v>2419</v>
      </c>
      <c r="D33" s="0" t="s">
        <v>2434</v>
      </c>
      <c r="E33" s="0" t="s">
        <v>2435</v>
      </c>
      <c r="F33" s="0" t="s">
        <v>2375</v>
      </c>
      <c r="G33" s="0" t="s">
        <v>1135</v>
      </c>
    </row>
    <row customHeight="1" ht="11.25">
      <c r="A34" s="663" t="s">
        <v>14</v>
      </c>
      <c r="B34" s="0" t="s">
        <v>2418</v>
      </c>
      <c r="C34" s="0" t="s">
        <v>2419</v>
      </c>
      <c r="D34" s="0" t="s">
        <v>2436</v>
      </c>
      <c r="E34" s="0" t="s">
        <v>2437</v>
      </c>
      <c r="F34" s="0" t="s">
        <v>2375</v>
      </c>
      <c r="G34" s="0" t="s">
        <v>1137</v>
      </c>
    </row>
    <row customHeight="1" ht="11.25">
      <c r="A35" s="663" t="s">
        <v>14</v>
      </c>
      <c r="B35" s="0" t="s">
        <v>2438</v>
      </c>
      <c r="C35" s="0" t="s">
        <v>2439</v>
      </c>
      <c r="D35" s="0" t="s">
        <v>2440</v>
      </c>
      <c r="E35" s="0" t="s">
        <v>2441</v>
      </c>
      <c r="F35" s="0" t="s">
        <v>2378</v>
      </c>
      <c r="G35" s="0" t="s">
        <v>1142</v>
      </c>
    </row>
    <row customHeight="1" ht="11.25">
      <c r="A36" s="663" t="s">
        <v>14</v>
      </c>
      <c r="B36" s="0" t="s">
        <v>2438</v>
      </c>
      <c r="C36" s="0" t="s">
        <v>2439</v>
      </c>
      <c r="D36" s="0" t="s">
        <v>2442</v>
      </c>
      <c r="E36" s="0" t="s">
        <v>2443</v>
      </c>
      <c r="F36" s="0" t="s">
        <v>2375</v>
      </c>
      <c r="G36" s="0" t="s">
        <v>1147</v>
      </c>
    </row>
    <row customHeight="1" ht="11.25">
      <c r="A37" s="663" t="s">
        <v>14</v>
      </c>
      <c r="B37" s="0" t="s">
        <v>2438</v>
      </c>
      <c r="C37" s="0" t="s">
        <v>2439</v>
      </c>
      <c r="D37" s="0" t="s">
        <v>2444</v>
      </c>
      <c r="E37" s="0" t="s">
        <v>2445</v>
      </c>
      <c r="F37" s="0" t="s">
        <v>2375</v>
      </c>
      <c r="G37" s="0" t="s">
        <v>1151</v>
      </c>
    </row>
    <row customHeight="1" ht="11.25">
      <c r="A38" s="663" t="s">
        <v>14</v>
      </c>
      <c r="B38" s="0" t="s">
        <v>2438</v>
      </c>
      <c r="C38" s="0" t="s">
        <v>2439</v>
      </c>
      <c r="D38" s="0" t="s">
        <v>2438</v>
      </c>
      <c r="E38" s="0" t="s">
        <v>2439</v>
      </c>
      <c r="F38" s="0" t="s">
        <v>2379</v>
      </c>
      <c r="G38" s="0" t="s">
        <v>1159</v>
      </c>
    </row>
    <row customHeight="1" ht="11.25">
      <c r="A39" s="663" t="s">
        <v>14</v>
      </c>
      <c r="B39" s="0" t="s">
        <v>2438</v>
      </c>
      <c r="C39" s="0" t="s">
        <v>2439</v>
      </c>
      <c r="D39" s="0" t="s">
        <v>2446</v>
      </c>
      <c r="E39" s="0" t="s">
        <v>2447</v>
      </c>
      <c r="F39" s="0" t="s">
        <v>2375</v>
      </c>
      <c r="G39" s="0" t="s">
        <v>1165</v>
      </c>
    </row>
    <row customHeight="1" ht="11.25">
      <c r="A40" s="663" t="s">
        <v>14</v>
      </c>
      <c r="B40" s="0" t="s">
        <v>2438</v>
      </c>
      <c r="C40" s="0" t="s">
        <v>2439</v>
      </c>
      <c r="D40" s="0" t="s">
        <v>2448</v>
      </c>
      <c r="E40" s="0" t="s">
        <v>2449</v>
      </c>
      <c r="F40" s="0" t="s">
        <v>2375</v>
      </c>
      <c r="G40" s="0" t="s">
        <v>1171</v>
      </c>
    </row>
    <row customHeight="1" ht="11.25">
      <c r="A41" s="663" t="s">
        <v>14</v>
      </c>
      <c r="B41" s="0" t="s">
        <v>2450</v>
      </c>
      <c r="C41" s="0" t="s">
        <v>2451</v>
      </c>
      <c r="D41" s="0" t="s">
        <v>2452</v>
      </c>
      <c r="E41" s="0" t="s">
        <v>2453</v>
      </c>
      <c r="F41" s="0" t="s">
        <v>2375</v>
      </c>
      <c r="G41" s="0" t="s">
        <v>1177</v>
      </c>
    </row>
    <row customHeight="1" ht="11.25">
      <c r="A42" s="663" t="s">
        <v>14</v>
      </c>
      <c r="B42" s="0" t="s">
        <v>2450</v>
      </c>
      <c r="C42" s="0" t="s">
        <v>2451</v>
      </c>
      <c r="D42" s="0" t="s">
        <v>2450</v>
      </c>
      <c r="E42" s="0" t="s">
        <v>2451</v>
      </c>
      <c r="F42" s="0" t="s">
        <v>2379</v>
      </c>
      <c r="G42" s="0" t="s">
        <v>1182</v>
      </c>
    </row>
    <row customHeight="1" ht="11.25">
      <c r="A43" s="663" t="s">
        <v>14</v>
      </c>
      <c r="B43" s="0" t="s">
        <v>2450</v>
      </c>
      <c r="C43" s="0" t="s">
        <v>2451</v>
      </c>
      <c r="D43" s="0" t="s">
        <v>2454</v>
      </c>
      <c r="E43" s="0" t="s">
        <v>2455</v>
      </c>
      <c r="F43" s="0" t="s">
        <v>2375</v>
      </c>
      <c r="G43" s="0" t="s">
        <v>1189</v>
      </c>
    </row>
    <row customHeight="1" ht="11.25">
      <c r="A44" s="663" t="s">
        <v>14</v>
      </c>
      <c r="B44" s="0" t="s">
        <v>2450</v>
      </c>
      <c r="C44" s="0" t="s">
        <v>2451</v>
      </c>
      <c r="D44" s="0" t="s">
        <v>2456</v>
      </c>
      <c r="E44" s="0" t="s">
        <v>2457</v>
      </c>
      <c r="F44" s="0" t="s">
        <v>2375</v>
      </c>
      <c r="G44" s="0" t="s">
        <v>1198</v>
      </c>
    </row>
    <row customHeight="1" ht="11.25">
      <c r="A45" s="663" t="s">
        <v>14</v>
      </c>
      <c r="B45" s="0" t="s">
        <v>2450</v>
      </c>
      <c r="C45" s="0" t="s">
        <v>2451</v>
      </c>
      <c r="D45" s="0" t="s">
        <v>2458</v>
      </c>
      <c r="E45" s="0" t="s">
        <v>2459</v>
      </c>
      <c r="F45" s="0" t="s">
        <v>2375</v>
      </c>
      <c r="G45" s="0" t="s">
        <v>1204</v>
      </c>
    </row>
    <row customHeight="1" ht="11.25">
      <c r="A46" s="663" t="s">
        <v>14</v>
      </c>
      <c r="B46" s="0" t="s">
        <v>2450</v>
      </c>
      <c r="C46" s="0" t="s">
        <v>2451</v>
      </c>
      <c r="D46" s="0" t="s">
        <v>2460</v>
      </c>
      <c r="E46" s="0" t="s">
        <v>2461</v>
      </c>
      <c r="F46" s="0" t="s">
        <v>2375</v>
      </c>
      <c r="G46" s="0" t="s">
        <v>473</v>
      </c>
    </row>
    <row customHeight="1" ht="11.25">
      <c r="A47" s="663" t="s">
        <v>14</v>
      </c>
      <c r="B47" s="0" t="s">
        <v>2450</v>
      </c>
      <c r="C47" s="0" t="s">
        <v>2451</v>
      </c>
      <c r="D47" s="0" t="s">
        <v>2462</v>
      </c>
      <c r="E47" s="0" t="s">
        <v>2463</v>
      </c>
      <c r="F47" s="0" t="s">
        <v>2375</v>
      </c>
      <c r="G47" s="0" t="s">
        <v>1213</v>
      </c>
    </row>
    <row customHeight="1" ht="11.25">
      <c r="A48" s="663" t="s">
        <v>14</v>
      </c>
      <c r="B48" s="0" t="s">
        <v>2464</v>
      </c>
      <c r="C48" s="0" t="s">
        <v>2465</v>
      </c>
      <c r="D48" s="0" t="s">
        <v>2466</v>
      </c>
      <c r="E48" s="0" t="s">
        <v>2467</v>
      </c>
      <c r="F48" s="0" t="s">
        <v>2375</v>
      </c>
      <c r="G48" s="0" t="s">
        <v>720</v>
      </c>
    </row>
    <row customHeight="1" ht="11.25">
      <c r="A49" s="663" t="s">
        <v>14</v>
      </c>
      <c r="B49" s="0" t="s">
        <v>2464</v>
      </c>
      <c r="C49" s="0" t="s">
        <v>2465</v>
      </c>
      <c r="D49" s="0" t="s">
        <v>2468</v>
      </c>
      <c r="E49" s="0" t="s">
        <v>2469</v>
      </c>
      <c r="F49" s="0" t="s">
        <v>2375</v>
      </c>
      <c r="G49" s="0" t="s">
        <v>1222</v>
      </c>
    </row>
    <row customHeight="1" ht="11.25">
      <c r="A50" s="663" t="s">
        <v>14</v>
      </c>
      <c r="B50" s="0" t="s">
        <v>2464</v>
      </c>
      <c r="C50" s="0" t="s">
        <v>2465</v>
      </c>
      <c r="D50" s="0" t="s">
        <v>2470</v>
      </c>
      <c r="E50" s="0" t="s">
        <v>2471</v>
      </c>
      <c r="F50" s="0" t="s">
        <v>2375</v>
      </c>
      <c r="G50" s="0" t="s">
        <v>1226</v>
      </c>
    </row>
    <row customHeight="1" ht="11.25">
      <c r="A51" s="663" t="s">
        <v>14</v>
      </c>
      <c r="B51" s="0" t="s">
        <v>2464</v>
      </c>
      <c r="C51" s="0" t="s">
        <v>2465</v>
      </c>
      <c r="D51" s="0" t="s">
        <v>2472</v>
      </c>
      <c r="E51" s="0" t="s">
        <v>2473</v>
      </c>
      <c r="F51" s="0" t="s">
        <v>2375</v>
      </c>
      <c r="G51" s="0" t="s">
        <v>1230</v>
      </c>
    </row>
    <row customHeight="1" ht="11.25">
      <c r="A52" s="663" t="s">
        <v>14</v>
      </c>
      <c r="B52" s="0" t="s">
        <v>2464</v>
      </c>
      <c r="C52" s="0" t="s">
        <v>2465</v>
      </c>
      <c r="D52" s="0" t="s">
        <v>2474</v>
      </c>
      <c r="E52" s="0" t="s">
        <v>2475</v>
      </c>
      <c r="F52" s="0" t="s">
        <v>2375</v>
      </c>
      <c r="G52" s="0" t="s">
        <v>1234</v>
      </c>
    </row>
    <row customHeight="1" ht="11.25">
      <c r="A53" s="663" t="s">
        <v>14</v>
      </c>
      <c r="B53" s="0" t="s">
        <v>2464</v>
      </c>
      <c r="C53" s="0" t="s">
        <v>2465</v>
      </c>
      <c r="D53" s="0" t="s">
        <v>2464</v>
      </c>
      <c r="E53" s="0" t="s">
        <v>2465</v>
      </c>
      <c r="F53" s="0" t="s">
        <v>2379</v>
      </c>
      <c r="G53" s="0" t="s">
        <v>1235</v>
      </c>
    </row>
    <row customHeight="1" ht="11.25">
      <c r="A54" s="663" t="s">
        <v>14</v>
      </c>
      <c r="B54" s="0" t="s">
        <v>2464</v>
      </c>
      <c r="C54" s="0" t="s">
        <v>2465</v>
      </c>
      <c r="D54" s="0" t="s">
        <v>2476</v>
      </c>
      <c r="E54" s="0" t="s">
        <v>2477</v>
      </c>
      <c r="F54" s="0" t="s">
        <v>2375</v>
      </c>
      <c r="G54" s="0" t="s">
        <v>1238</v>
      </c>
    </row>
    <row customHeight="1" ht="11.25">
      <c r="A55" s="663" t="s">
        <v>14</v>
      </c>
      <c r="B55" s="0" t="s">
        <v>2464</v>
      </c>
      <c r="C55" s="0" t="s">
        <v>2465</v>
      </c>
      <c r="D55" s="0" t="s">
        <v>2478</v>
      </c>
      <c r="E55" s="0" t="s">
        <v>2479</v>
      </c>
      <c r="F55" s="0" t="s">
        <v>2375</v>
      </c>
      <c r="G55" s="0" t="s">
        <v>1242</v>
      </c>
    </row>
    <row customHeight="1" ht="11.25">
      <c r="A56" s="663" t="s">
        <v>14</v>
      </c>
      <c r="B56" s="0" t="s">
        <v>2480</v>
      </c>
      <c r="C56" s="0" t="s">
        <v>2481</v>
      </c>
      <c r="D56" s="0" t="s">
        <v>2482</v>
      </c>
      <c r="E56" s="0" t="s">
        <v>2483</v>
      </c>
      <c r="F56" s="0" t="s">
        <v>2375</v>
      </c>
      <c r="G56" s="0" t="s">
        <v>1245</v>
      </c>
    </row>
    <row customHeight="1" ht="11.25">
      <c r="A57" s="663" t="s">
        <v>14</v>
      </c>
      <c r="B57" s="0" t="s">
        <v>2480</v>
      </c>
      <c r="C57" s="0" t="s">
        <v>2481</v>
      </c>
      <c r="D57" s="0" t="s">
        <v>2484</v>
      </c>
      <c r="E57" s="0" t="s">
        <v>2485</v>
      </c>
      <c r="F57" s="0" t="s">
        <v>2375</v>
      </c>
      <c r="G57" s="0" t="s">
        <v>1248</v>
      </c>
    </row>
    <row customHeight="1" ht="11.25">
      <c r="A58" s="663" t="s">
        <v>14</v>
      </c>
      <c r="B58" s="0" t="s">
        <v>2480</v>
      </c>
      <c r="C58" s="0" t="s">
        <v>2481</v>
      </c>
      <c r="D58" s="0" t="s">
        <v>2486</v>
      </c>
      <c r="E58" s="0" t="s">
        <v>2487</v>
      </c>
      <c r="F58" s="0" t="s">
        <v>2375</v>
      </c>
      <c r="G58" s="0" t="s">
        <v>1251</v>
      </c>
    </row>
    <row customHeight="1" ht="11.25">
      <c r="A59" s="663" t="s">
        <v>14</v>
      </c>
      <c r="B59" s="0" t="s">
        <v>2480</v>
      </c>
      <c r="C59" s="0" t="s">
        <v>2481</v>
      </c>
      <c r="D59" s="0" t="s">
        <v>2488</v>
      </c>
      <c r="E59" s="0" t="s">
        <v>2489</v>
      </c>
      <c r="F59" s="0" t="s">
        <v>2375</v>
      </c>
      <c r="G59" s="0" t="s">
        <v>1255</v>
      </c>
    </row>
    <row customHeight="1" ht="11.25">
      <c r="A60" s="663" t="s">
        <v>14</v>
      </c>
      <c r="B60" s="0" t="s">
        <v>2480</v>
      </c>
      <c r="C60" s="0" t="s">
        <v>2481</v>
      </c>
      <c r="D60" s="0" t="s">
        <v>2490</v>
      </c>
      <c r="E60" s="0" t="s">
        <v>2491</v>
      </c>
      <c r="F60" s="0" t="s">
        <v>2375</v>
      </c>
      <c r="G60" s="0" t="s">
        <v>1258</v>
      </c>
    </row>
    <row customHeight="1" ht="11.25">
      <c r="A61" s="663" t="s">
        <v>14</v>
      </c>
      <c r="B61" s="0" t="s">
        <v>2480</v>
      </c>
      <c r="C61" s="0" t="s">
        <v>2481</v>
      </c>
      <c r="D61" s="0" t="s">
        <v>2492</v>
      </c>
      <c r="E61" s="0" t="s">
        <v>2493</v>
      </c>
      <c r="F61" s="0" t="s">
        <v>2375</v>
      </c>
      <c r="G61" s="0" t="s">
        <v>2494</v>
      </c>
    </row>
    <row customHeight="1" ht="11.25">
      <c r="A62" s="663" t="s">
        <v>14</v>
      </c>
      <c r="B62" s="0" t="s">
        <v>2480</v>
      </c>
      <c r="C62" s="0" t="s">
        <v>2481</v>
      </c>
      <c r="D62" s="0" t="s">
        <v>2480</v>
      </c>
      <c r="E62" s="0" t="s">
        <v>2481</v>
      </c>
      <c r="F62" s="0" t="s">
        <v>2379</v>
      </c>
      <c r="G62" s="0" t="s">
        <v>2495</v>
      </c>
    </row>
    <row customHeight="1" ht="11.25">
      <c r="A63" s="663" t="s">
        <v>14</v>
      </c>
      <c r="B63" s="0" t="s">
        <v>2480</v>
      </c>
      <c r="C63" s="0" t="s">
        <v>2481</v>
      </c>
      <c r="D63" s="0" t="s">
        <v>2496</v>
      </c>
      <c r="E63" s="0" t="s">
        <v>2497</v>
      </c>
      <c r="F63" s="0" t="s">
        <v>2375</v>
      </c>
      <c r="G63" s="0" t="s">
        <v>2498</v>
      </c>
    </row>
    <row customHeight="1" ht="11.25">
      <c r="A64" s="663" t="s">
        <v>14</v>
      </c>
      <c r="B64" s="0" t="s">
        <v>2480</v>
      </c>
      <c r="C64" s="0" t="s">
        <v>2481</v>
      </c>
      <c r="D64" s="0" t="s">
        <v>2499</v>
      </c>
      <c r="E64" s="0" t="s">
        <v>2500</v>
      </c>
      <c r="F64" s="0" t="s">
        <v>2375</v>
      </c>
      <c r="G64" s="0" t="s">
        <v>2501</v>
      </c>
    </row>
    <row customHeight="1" ht="11.25">
      <c r="A65" s="663" t="s">
        <v>14</v>
      </c>
      <c r="B65" s="0" t="s">
        <v>2502</v>
      </c>
      <c r="C65" s="0" t="s">
        <v>2503</v>
      </c>
      <c r="D65" s="0" t="s">
        <v>2504</v>
      </c>
      <c r="E65" s="0" t="s">
        <v>2505</v>
      </c>
      <c r="F65" s="0" t="s">
        <v>2375</v>
      </c>
      <c r="G65" s="0" t="s">
        <v>2506</v>
      </c>
    </row>
    <row customHeight="1" ht="11.25">
      <c r="A66" s="663" t="s">
        <v>14</v>
      </c>
      <c r="B66" s="0" t="s">
        <v>2502</v>
      </c>
      <c r="C66" s="0" t="s">
        <v>2503</v>
      </c>
      <c r="D66" s="0" t="s">
        <v>2507</v>
      </c>
      <c r="E66" s="0" t="s">
        <v>2508</v>
      </c>
      <c r="F66" s="0" t="s">
        <v>2375</v>
      </c>
      <c r="G66" s="0" t="s">
        <v>2509</v>
      </c>
    </row>
    <row customHeight="1" ht="11.25">
      <c r="A67" s="663" t="s">
        <v>14</v>
      </c>
      <c r="B67" s="0" t="s">
        <v>2502</v>
      </c>
      <c r="C67" s="0" t="s">
        <v>2503</v>
      </c>
      <c r="D67" s="0" t="s">
        <v>2510</v>
      </c>
      <c r="E67" s="0" t="s">
        <v>2511</v>
      </c>
      <c r="F67" s="0" t="s">
        <v>2375</v>
      </c>
      <c r="G67" s="0" t="s">
        <v>474</v>
      </c>
    </row>
    <row customHeight="1" ht="11.25">
      <c r="A68" s="663" t="s">
        <v>14</v>
      </c>
      <c r="B68" s="0" t="s">
        <v>2502</v>
      </c>
      <c r="C68" s="0" t="s">
        <v>2503</v>
      </c>
      <c r="D68" s="0" t="s">
        <v>2512</v>
      </c>
      <c r="E68" s="0" t="s">
        <v>2513</v>
      </c>
      <c r="F68" s="0" t="s">
        <v>2375</v>
      </c>
      <c r="G68" s="0" t="s">
        <v>2514</v>
      </c>
    </row>
    <row customHeight="1" ht="11.25">
      <c r="A69" s="663" t="s">
        <v>14</v>
      </c>
      <c r="B69" s="0" t="s">
        <v>2502</v>
      </c>
      <c r="C69" s="0" t="s">
        <v>2503</v>
      </c>
      <c r="D69" s="0" t="s">
        <v>2515</v>
      </c>
      <c r="E69" s="0" t="s">
        <v>2516</v>
      </c>
      <c r="F69" s="0" t="s">
        <v>2375</v>
      </c>
      <c r="G69" s="0" t="s">
        <v>721</v>
      </c>
    </row>
    <row customHeight="1" ht="11.25">
      <c r="A70" s="663" t="s">
        <v>14</v>
      </c>
      <c r="B70" s="0" t="s">
        <v>2502</v>
      </c>
      <c r="C70" s="0" t="s">
        <v>2503</v>
      </c>
      <c r="D70" s="0" t="s">
        <v>2517</v>
      </c>
      <c r="E70" s="0" t="s">
        <v>2518</v>
      </c>
      <c r="F70" s="0" t="s">
        <v>2375</v>
      </c>
      <c r="G70" s="0" t="s">
        <v>2519</v>
      </c>
    </row>
    <row customHeight="1" ht="11.25">
      <c r="A71" s="663" t="s">
        <v>14</v>
      </c>
      <c r="B71" s="0" t="s">
        <v>2502</v>
      </c>
      <c r="C71" s="0" t="s">
        <v>2503</v>
      </c>
      <c r="D71" s="0" t="s">
        <v>2520</v>
      </c>
      <c r="E71" s="0" t="s">
        <v>2521</v>
      </c>
      <c r="F71" s="0" t="s">
        <v>2375</v>
      </c>
      <c r="G71" s="0" t="s">
        <v>2522</v>
      </c>
    </row>
    <row customHeight="1" ht="11.25">
      <c r="A72" s="663" t="s">
        <v>14</v>
      </c>
      <c r="B72" s="0" t="s">
        <v>2502</v>
      </c>
      <c r="C72" s="0" t="s">
        <v>2503</v>
      </c>
      <c r="D72" s="0" t="s">
        <v>2502</v>
      </c>
      <c r="E72" s="0" t="s">
        <v>2503</v>
      </c>
      <c r="F72" s="0" t="s">
        <v>2379</v>
      </c>
      <c r="G72" s="0" t="s">
        <v>2523</v>
      </c>
    </row>
    <row customHeight="1" ht="11.25">
      <c r="A73" s="663" t="s">
        <v>14</v>
      </c>
      <c r="B73" s="0" t="s">
        <v>2502</v>
      </c>
      <c r="C73" s="0" t="s">
        <v>2503</v>
      </c>
      <c r="D73" s="0" t="s">
        <v>2524</v>
      </c>
      <c r="E73" s="0" t="s">
        <v>2525</v>
      </c>
      <c r="F73" s="0" t="s">
        <v>2375</v>
      </c>
      <c r="G73" s="0" t="s">
        <v>2526</v>
      </c>
    </row>
    <row customHeight="1" ht="11.25">
      <c r="A74" s="663" t="s">
        <v>14</v>
      </c>
      <c r="B74" s="0" t="s">
        <v>2502</v>
      </c>
      <c r="C74" s="0" t="s">
        <v>2503</v>
      </c>
      <c r="D74" s="0" t="s">
        <v>2527</v>
      </c>
      <c r="E74" s="0" t="s">
        <v>2528</v>
      </c>
      <c r="F74" s="0" t="s">
        <v>2375</v>
      </c>
      <c r="G74" s="0" t="s">
        <v>2529</v>
      </c>
    </row>
    <row customHeight="1" ht="11.25">
      <c r="A75" s="663" t="s">
        <v>14</v>
      </c>
      <c r="B75" s="0" t="s">
        <v>2530</v>
      </c>
      <c r="C75" s="0" t="s">
        <v>2531</v>
      </c>
      <c r="D75" s="0" t="s">
        <v>2532</v>
      </c>
      <c r="E75" s="0" t="s">
        <v>2533</v>
      </c>
      <c r="F75" s="0" t="s">
        <v>2375</v>
      </c>
      <c r="G75" s="0" t="s">
        <v>2534</v>
      </c>
    </row>
    <row customHeight="1" ht="11.25">
      <c r="A76" s="663" t="s">
        <v>14</v>
      </c>
      <c r="B76" s="0" t="s">
        <v>2530</v>
      </c>
      <c r="C76" s="0" t="s">
        <v>2531</v>
      </c>
      <c r="D76" s="0" t="s">
        <v>2535</v>
      </c>
      <c r="E76" s="0" t="s">
        <v>2536</v>
      </c>
      <c r="F76" s="0" t="s">
        <v>2375</v>
      </c>
      <c r="G76" s="0" t="s">
        <v>2537</v>
      </c>
    </row>
    <row customHeight="1" ht="11.25">
      <c r="A77" s="663" t="s">
        <v>14</v>
      </c>
      <c r="B77" s="0" t="s">
        <v>2530</v>
      </c>
      <c r="C77" s="0" t="s">
        <v>2531</v>
      </c>
      <c r="D77" s="0" t="s">
        <v>2538</v>
      </c>
      <c r="E77" s="0" t="s">
        <v>2539</v>
      </c>
      <c r="F77" s="0" t="s">
        <v>2375</v>
      </c>
      <c r="G77" s="0" t="s">
        <v>2540</v>
      </c>
    </row>
    <row customHeight="1" ht="11.25">
      <c r="A78" s="663" t="s">
        <v>14</v>
      </c>
      <c r="B78" s="0" t="s">
        <v>2530</v>
      </c>
      <c r="C78" s="0" t="s">
        <v>2531</v>
      </c>
      <c r="D78" s="0" t="s">
        <v>2541</v>
      </c>
      <c r="E78" s="0" t="s">
        <v>2542</v>
      </c>
      <c r="F78" s="0" t="s">
        <v>2375</v>
      </c>
      <c r="G78" s="0" t="s">
        <v>2543</v>
      </c>
    </row>
    <row customHeight="1" ht="11.25">
      <c r="A79" s="663" t="s">
        <v>14</v>
      </c>
      <c r="B79" s="0" t="s">
        <v>2530</v>
      </c>
      <c r="C79" s="0" t="s">
        <v>2531</v>
      </c>
      <c r="D79" s="0" t="s">
        <v>2544</v>
      </c>
      <c r="E79" s="0" t="s">
        <v>2545</v>
      </c>
      <c r="F79" s="0" t="s">
        <v>2375</v>
      </c>
      <c r="G79" s="0" t="s">
        <v>2546</v>
      </c>
    </row>
    <row customHeight="1" ht="11.25">
      <c r="A80" s="663" t="s">
        <v>14</v>
      </c>
      <c r="B80" s="0" t="s">
        <v>2530</v>
      </c>
      <c r="C80" s="0" t="s">
        <v>2531</v>
      </c>
      <c r="D80" s="0" t="s">
        <v>2547</v>
      </c>
      <c r="E80" s="0" t="s">
        <v>2548</v>
      </c>
      <c r="F80" s="0" t="s">
        <v>2375</v>
      </c>
      <c r="G80" s="0" t="s">
        <v>2549</v>
      </c>
    </row>
    <row customHeight="1" ht="11.25">
      <c r="A81" s="663" t="s">
        <v>14</v>
      </c>
      <c r="B81" s="0" t="s">
        <v>2530</v>
      </c>
      <c r="C81" s="0" t="s">
        <v>2531</v>
      </c>
      <c r="D81" s="0" t="s">
        <v>2550</v>
      </c>
      <c r="E81" s="0" t="s">
        <v>2551</v>
      </c>
      <c r="F81" s="0" t="s">
        <v>2375</v>
      </c>
      <c r="G81" s="0" t="s">
        <v>2552</v>
      </c>
    </row>
    <row customHeight="1" ht="11.25">
      <c r="A82" s="663" t="s">
        <v>14</v>
      </c>
      <c r="B82" s="0" t="s">
        <v>2530</v>
      </c>
      <c r="C82" s="0" t="s">
        <v>2531</v>
      </c>
      <c r="D82" s="0" t="s">
        <v>2553</v>
      </c>
      <c r="E82" s="0" t="s">
        <v>2554</v>
      </c>
      <c r="F82" s="0" t="s">
        <v>2375</v>
      </c>
      <c r="G82" s="0" t="s">
        <v>2555</v>
      </c>
    </row>
    <row customHeight="1" ht="11.25">
      <c r="A83" s="663" t="s">
        <v>14</v>
      </c>
      <c r="B83" s="0" t="s">
        <v>2530</v>
      </c>
      <c r="C83" s="0" t="s">
        <v>2531</v>
      </c>
      <c r="D83" s="0" t="s">
        <v>2556</v>
      </c>
      <c r="E83" s="0" t="s">
        <v>2557</v>
      </c>
      <c r="F83" s="0" t="s">
        <v>2375</v>
      </c>
      <c r="G83" s="0" t="s">
        <v>2558</v>
      </c>
    </row>
    <row customHeight="1" ht="11.25">
      <c r="A84" s="663" t="s">
        <v>14</v>
      </c>
      <c r="B84" s="0" t="s">
        <v>2530</v>
      </c>
      <c r="C84" s="0" t="s">
        <v>2531</v>
      </c>
      <c r="D84" s="0" t="s">
        <v>2530</v>
      </c>
      <c r="E84" s="0" t="s">
        <v>2531</v>
      </c>
      <c r="F84" s="0" t="s">
        <v>2379</v>
      </c>
      <c r="G84" s="0" t="s">
        <v>2559</v>
      </c>
    </row>
    <row customHeight="1" ht="11.25">
      <c r="A85" s="663" t="s">
        <v>14</v>
      </c>
      <c r="B85" s="0" t="s">
        <v>2530</v>
      </c>
      <c r="C85" s="0" t="s">
        <v>2531</v>
      </c>
      <c r="D85" s="0" t="s">
        <v>2560</v>
      </c>
      <c r="E85" s="0" t="s">
        <v>2561</v>
      </c>
      <c r="F85" s="0" t="s">
        <v>2375</v>
      </c>
      <c r="G85" s="0" t="s">
        <v>2562</v>
      </c>
    </row>
    <row customHeight="1" ht="11.25">
      <c r="A86" s="663" t="s">
        <v>14</v>
      </c>
      <c r="B86" s="0" t="s">
        <v>2530</v>
      </c>
      <c r="C86" s="0" t="s">
        <v>2531</v>
      </c>
      <c r="D86" s="0" t="s">
        <v>2563</v>
      </c>
      <c r="E86" s="0" t="s">
        <v>2564</v>
      </c>
      <c r="F86" s="0" t="s">
        <v>2375</v>
      </c>
      <c r="G86" s="0" t="s">
        <v>2565</v>
      </c>
    </row>
    <row customHeight="1" ht="11.25">
      <c r="A87" s="663" t="s">
        <v>14</v>
      </c>
      <c r="B87" s="0" t="s">
        <v>2566</v>
      </c>
      <c r="C87" s="0" t="s">
        <v>2567</v>
      </c>
      <c r="D87" s="0" t="s">
        <v>2568</v>
      </c>
      <c r="E87" s="0" t="s">
        <v>2569</v>
      </c>
      <c r="F87" s="0" t="s">
        <v>2375</v>
      </c>
      <c r="G87" s="0" t="s">
        <v>2570</v>
      </c>
    </row>
    <row customHeight="1" ht="11.25">
      <c r="A88" s="663" t="s">
        <v>14</v>
      </c>
      <c r="B88" s="0" t="s">
        <v>2566</v>
      </c>
      <c r="C88" s="0" t="s">
        <v>2567</v>
      </c>
      <c r="D88" s="0" t="s">
        <v>2571</v>
      </c>
      <c r="E88" s="0" t="s">
        <v>2572</v>
      </c>
      <c r="F88" s="0" t="s">
        <v>2375</v>
      </c>
      <c r="G88" s="0" t="s">
        <v>2573</v>
      </c>
    </row>
    <row customHeight="1" ht="11.25">
      <c r="A89" s="663" t="s">
        <v>14</v>
      </c>
      <c r="B89" s="0" t="s">
        <v>2566</v>
      </c>
      <c r="C89" s="0" t="s">
        <v>2567</v>
      </c>
      <c r="D89" s="0" t="s">
        <v>2574</v>
      </c>
      <c r="E89" s="0" t="s">
        <v>2575</v>
      </c>
      <c r="F89" s="0" t="s">
        <v>2375</v>
      </c>
      <c r="G89" s="0" t="s">
        <v>2576</v>
      </c>
    </row>
    <row customHeight="1" ht="11.25">
      <c r="A90" s="663" t="s">
        <v>14</v>
      </c>
      <c r="B90" s="0" t="s">
        <v>2566</v>
      </c>
      <c r="C90" s="0" t="s">
        <v>2567</v>
      </c>
      <c r="D90" s="0" t="s">
        <v>2577</v>
      </c>
      <c r="E90" s="0" t="s">
        <v>2578</v>
      </c>
      <c r="F90" s="0" t="s">
        <v>2375</v>
      </c>
      <c r="G90" s="0" t="s">
        <v>2579</v>
      </c>
    </row>
    <row customHeight="1" ht="11.25">
      <c r="A91" s="663" t="s">
        <v>14</v>
      </c>
      <c r="B91" s="0" t="s">
        <v>2566</v>
      </c>
      <c r="C91" s="0" t="s">
        <v>2567</v>
      </c>
      <c r="D91" s="0" t="s">
        <v>2580</v>
      </c>
      <c r="E91" s="0" t="s">
        <v>2581</v>
      </c>
      <c r="F91" s="0" t="s">
        <v>2375</v>
      </c>
      <c r="G91" s="0" t="s">
        <v>2582</v>
      </c>
    </row>
    <row customHeight="1" ht="11.25">
      <c r="A92" s="663" t="s">
        <v>14</v>
      </c>
      <c r="B92" s="0" t="s">
        <v>2566</v>
      </c>
      <c r="C92" s="0" t="s">
        <v>2567</v>
      </c>
      <c r="D92" s="0" t="s">
        <v>2583</v>
      </c>
      <c r="E92" s="0" t="s">
        <v>2584</v>
      </c>
      <c r="F92" s="0" t="s">
        <v>2375</v>
      </c>
      <c r="G92" s="0" t="s">
        <v>2585</v>
      </c>
    </row>
    <row customHeight="1" ht="11.25">
      <c r="A93" s="663" t="s">
        <v>14</v>
      </c>
      <c r="B93" s="0" t="s">
        <v>2566</v>
      </c>
      <c r="C93" s="0" t="s">
        <v>2567</v>
      </c>
      <c r="D93" s="0" t="s">
        <v>2586</v>
      </c>
      <c r="E93" s="0" t="s">
        <v>2587</v>
      </c>
      <c r="F93" s="0" t="s">
        <v>2375</v>
      </c>
      <c r="G93" s="0" t="s">
        <v>2588</v>
      </c>
    </row>
    <row customHeight="1" ht="11.25">
      <c r="A94" s="663" t="s">
        <v>14</v>
      </c>
      <c r="B94" s="0" t="s">
        <v>2566</v>
      </c>
      <c r="C94" s="0" t="s">
        <v>2567</v>
      </c>
      <c r="D94" s="0" t="s">
        <v>2589</v>
      </c>
      <c r="E94" s="0" t="s">
        <v>2590</v>
      </c>
      <c r="F94" s="0" t="s">
        <v>2375</v>
      </c>
      <c r="G94" s="0" t="s">
        <v>2591</v>
      </c>
    </row>
    <row customHeight="1" ht="11.25">
      <c r="A95" s="663" t="s">
        <v>14</v>
      </c>
      <c r="B95" s="0" t="s">
        <v>2566</v>
      </c>
      <c r="C95" s="0" t="s">
        <v>2567</v>
      </c>
      <c r="D95" s="0" t="s">
        <v>2566</v>
      </c>
      <c r="E95" s="0" t="s">
        <v>2567</v>
      </c>
      <c r="F95" s="0" t="s">
        <v>2379</v>
      </c>
      <c r="G95" s="0" t="s">
        <v>2592</v>
      </c>
    </row>
    <row customHeight="1" ht="11.25">
      <c r="A96" s="663" t="s">
        <v>14</v>
      </c>
      <c r="B96" s="0" t="s">
        <v>2593</v>
      </c>
      <c r="C96" s="0" t="s">
        <v>2594</v>
      </c>
      <c r="D96" s="0" t="s">
        <v>2595</v>
      </c>
      <c r="E96" s="0" t="s">
        <v>2596</v>
      </c>
      <c r="F96" s="0" t="s">
        <v>2375</v>
      </c>
      <c r="G96" s="0" t="s">
        <v>2597</v>
      </c>
    </row>
    <row customHeight="1" ht="11.25">
      <c r="A97" s="663" t="s">
        <v>14</v>
      </c>
      <c r="B97" s="0" t="s">
        <v>2593</v>
      </c>
      <c r="C97" s="0" t="s">
        <v>2594</v>
      </c>
      <c r="D97" s="0" t="s">
        <v>2598</v>
      </c>
      <c r="E97" s="0" t="s">
        <v>2599</v>
      </c>
      <c r="F97" s="0" t="s">
        <v>2375</v>
      </c>
      <c r="G97" s="0" t="s">
        <v>2600</v>
      </c>
    </row>
    <row customHeight="1" ht="11.25">
      <c r="A98" s="663" t="s">
        <v>14</v>
      </c>
      <c r="B98" s="0" t="s">
        <v>2593</v>
      </c>
      <c r="C98" s="0" t="s">
        <v>2594</v>
      </c>
      <c r="D98" s="0" t="s">
        <v>2601</v>
      </c>
      <c r="E98" s="0" t="s">
        <v>2602</v>
      </c>
      <c r="F98" s="0" t="s">
        <v>2375</v>
      </c>
      <c r="G98" s="0" t="s">
        <v>2603</v>
      </c>
    </row>
    <row customHeight="1" ht="11.25">
      <c r="A99" s="663" t="s">
        <v>14</v>
      </c>
      <c r="B99" s="0" t="s">
        <v>2593</v>
      </c>
      <c r="C99" s="0" t="s">
        <v>2594</v>
      </c>
      <c r="D99" s="0" t="s">
        <v>2604</v>
      </c>
      <c r="E99" s="0" t="s">
        <v>2605</v>
      </c>
      <c r="F99" s="0" t="s">
        <v>2375</v>
      </c>
      <c r="G99" s="0" t="s">
        <v>2606</v>
      </c>
    </row>
    <row customHeight="1" ht="11.25">
      <c r="A100" s="663" t="s">
        <v>14</v>
      </c>
      <c r="B100" s="0" t="s">
        <v>2593</v>
      </c>
      <c r="C100" s="0" t="s">
        <v>2594</v>
      </c>
      <c r="D100" s="0" t="s">
        <v>2607</v>
      </c>
      <c r="E100" s="0" t="s">
        <v>2608</v>
      </c>
      <c r="F100" s="0" t="s">
        <v>2375</v>
      </c>
      <c r="G100" s="0" t="s">
        <v>2609</v>
      </c>
    </row>
    <row customHeight="1" ht="11.25">
      <c r="A101" s="663" t="s">
        <v>14</v>
      </c>
      <c r="B101" s="0" t="s">
        <v>2593</v>
      </c>
      <c r="C101" s="0" t="s">
        <v>2594</v>
      </c>
      <c r="D101" s="0" t="s">
        <v>2610</v>
      </c>
      <c r="E101" s="0" t="s">
        <v>2611</v>
      </c>
      <c r="F101" s="0" t="s">
        <v>2375</v>
      </c>
      <c r="G101" s="0" t="s">
        <v>2612</v>
      </c>
    </row>
    <row customHeight="1" ht="11.25">
      <c r="A102" s="663" t="s">
        <v>14</v>
      </c>
      <c r="B102" s="0" t="s">
        <v>2593</v>
      </c>
      <c r="C102" s="0" t="s">
        <v>2594</v>
      </c>
      <c r="D102" s="0" t="s">
        <v>2593</v>
      </c>
      <c r="E102" s="0" t="s">
        <v>2594</v>
      </c>
      <c r="F102" s="0" t="s">
        <v>2379</v>
      </c>
      <c r="G102" s="0" t="s">
        <v>2613</v>
      </c>
    </row>
    <row customHeight="1" ht="11.25">
      <c r="A103" s="663" t="s">
        <v>14</v>
      </c>
      <c r="B103" s="0" t="s">
        <v>2593</v>
      </c>
      <c r="C103" s="0" t="s">
        <v>2594</v>
      </c>
      <c r="D103" s="0" t="s">
        <v>2614</v>
      </c>
      <c r="E103" s="0" t="s">
        <v>2615</v>
      </c>
      <c r="F103" s="0" t="s">
        <v>2375</v>
      </c>
      <c r="G103" s="0" t="s">
        <v>2616</v>
      </c>
    </row>
    <row customHeight="1" ht="11.25">
      <c r="A104" s="663" t="s">
        <v>14</v>
      </c>
      <c r="B104" s="0" t="s">
        <v>2617</v>
      </c>
      <c r="C104" s="0" t="s">
        <v>2618</v>
      </c>
      <c r="D104" s="0" t="s">
        <v>2619</v>
      </c>
      <c r="E104" s="0" t="s">
        <v>2620</v>
      </c>
      <c r="F104" s="0" t="s">
        <v>2375</v>
      </c>
      <c r="G104" s="0" t="s">
        <v>2621</v>
      </c>
    </row>
    <row customHeight="1" ht="11.25">
      <c r="A105" s="663" t="s">
        <v>14</v>
      </c>
      <c r="B105" s="0" t="s">
        <v>2617</v>
      </c>
      <c r="C105" s="0" t="s">
        <v>2618</v>
      </c>
      <c r="D105" s="0" t="s">
        <v>2622</v>
      </c>
      <c r="E105" s="0" t="s">
        <v>2623</v>
      </c>
      <c r="F105" s="0" t="s">
        <v>2375</v>
      </c>
      <c r="G105" s="0" t="s">
        <v>2624</v>
      </c>
    </row>
    <row customHeight="1" ht="11.25">
      <c r="A106" s="663" t="s">
        <v>14</v>
      </c>
      <c r="B106" s="0" t="s">
        <v>2617</v>
      </c>
      <c r="C106" s="0" t="s">
        <v>2618</v>
      </c>
      <c r="D106" s="0" t="s">
        <v>2625</v>
      </c>
      <c r="E106" s="0" t="s">
        <v>2626</v>
      </c>
      <c r="F106" s="0" t="s">
        <v>2375</v>
      </c>
      <c r="G106" s="0" t="s">
        <v>2627</v>
      </c>
    </row>
    <row customHeight="1" ht="11.25">
      <c r="A107" s="663" t="s">
        <v>14</v>
      </c>
      <c r="B107" s="0" t="s">
        <v>2617</v>
      </c>
      <c r="C107" s="0" t="s">
        <v>2618</v>
      </c>
      <c r="D107" s="0" t="s">
        <v>2628</v>
      </c>
      <c r="E107" s="0" t="s">
        <v>2629</v>
      </c>
      <c r="F107" s="0" t="s">
        <v>2375</v>
      </c>
      <c r="G107" s="0" t="s">
        <v>2630</v>
      </c>
    </row>
    <row customHeight="1" ht="11.25">
      <c r="A108" s="663" t="s">
        <v>14</v>
      </c>
      <c r="B108" s="0" t="s">
        <v>2617</v>
      </c>
      <c r="C108" s="0" t="s">
        <v>2618</v>
      </c>
      <c r="D108" s="0" t="s">
        <v>2631</v>
      </c>
      <c r="E108" s="0" t="s">
        <v>2632</v>
      </c>
      <c r="F108" s="0" t="s">
        <v>2375</v>
      </c>
      <c r="G108" s="0" t="s">
        <v>2633</v>
      </c>
    </row>
    <row customHeight="1" ht="11.25">
      <c r="A109" s="663" t="s">
        <v>14</v>
      </c>
      <c r="B109" s="0" t="s">
        <v>2617</v>
      </c>
      <c r="C109" s="0" t="s">
        <v>2618</v>
      </c>
      <c r="D109" s="0" t="s">
        <v>2402</v>
      </c>
      <c r="E109" s="0" t="s">
        <v>2634</v>
      </c>
      <c r="F109" s="0" t="s">
        <v>2375</v>
      </c>
      <c r="G109" s="0" t="s">
        <v>2635</v>
      </c>
    </row>
    <row customHeight="1" ht="11.25">
      <c r="A110" s="663" t="s">
        <v>14</v>
      </c>
      <c r="B110" s="0" t="s">
        <v>2617</v>
      </c>
      <c r="C110" s="0" t="s">
        <v>2618</v>
      </c>
      <c r="D110" s="0" t="s">
        <v>2488</v>
      </c>
      <c r="E110" s="0" t="s">
        <v>2636</v>
      </c>
      <c r="F110" s="0" t="s">
        <v>2375</v>
      </c>
      <c r="G110" s="0" t="s">
        <v>2637</v>
      </c>
    </row>
    <row customHeight="1" ht="11.25">
      <c r="A111" s="663" t="s">
        <v>14</v>
      </c>
      <c r="B111" s="0" t="s">
        <v>2617</v>
      </c>
      <c r="C111" s="0" t="s">
        <v>2618</v>
      </c>
      <c r="D111" s="0" t="s">
        <v>2638</v>
      </c>
      <c r="E111" s="0" t="s">
        <v>2639</v>
      </c>
      <c r="F111" s="0" t="s">
        <v>2375</v>
      </c>
      <c r="G111" s="0" t="s">
        <v>2640</v>
      </c>
    </row>
    <row customHeight="1" ht="11.25">
      <c r="A112" s="663" t="s">
        <v>14</v>
      </c>
      <c r="B112" s="0" t="s">
        <v>2617</v>
      </c>
      <c r="C112" s="0" t="s">
        <v>2618</v>
      </c>
      <c r="D112" s="0" t="s">
        <v>2641</v>
      </c>
      <c r="E112" s="0" t="s">
        <v>2642</v>
      </c>
      <c r="F112" s="0" t="s">
        <v>2375</v>
      </c>
      <c r="G112" s="0" t="s">
        <v>2643</v>
      </c>
    </row>
    <row customHeight="1" ht="11.25">
      <c r="A113" s="663" t="s">
        <v>14</v>
      </c>
      <c r="B113" s="0" t="s">
        <v>2617</v>
      </c>
      <c r="C113" s="0" t="s">
        <v>2618</v>
      </c>
      <c r="D113" s="0" t="s">
        <v>2644</v>
      </c>
      <c r="E113" s="0" t="s">
        <v>2645</v>
      </c>
      <c r="F113" s="0" t="s">
        <v>2375</v>
      </c>
      <c r="G113" s="0" t="s">
        <v>2646</v>
      </c>
    </row>
    <row customHeight="1" ht="11.25">
      <c r="A114" s="663" t="s">
        <v>14</v>
      </c>
      <c r="B114" s="0" t="s">
        <v>2617</v>
      </c>
      <c r="C114" s="0" t="s">
        <v>2618</v>
      </c>
      <c r="D114" s="0" t="s">
        <v>2617</v>
      </c>
      <c r="E114" s="0" t="s">
        <v>2618</v>
      </c>
      <c r="F114" s="0" t="s">
        <v>2379</v>
      </c>
      <c r="G114" s="0" t="s">
        <v>2647</v>
      </c>
    </row>
    <row customHeight="1" ht="11.25">
      <c r="A115" s="663" t="s">
        <v>14</v>
      </c>
      <c r="B115" s="0" t="s">
        <v>2617</v>
      </c>
      <c r="C115" s="0" t="s">
        <v>2618</v>
      </c>
      <c r="D115" s="0" t="s">
        <v>2648</v>
      </c>
      <c r="E115" s="0" t="s">
        <v>2649</v>
      </c>
      <c r="F115" s="0" t="s">
        <v>2375</v>
      </c>
      <c r="G115" s="0" t="s">
        <v>2650</v>
      </c>
    </row>
    <row customHeight="1" ht="11.25">
      <c r="A116" s="663" t="s">
        <v>14</v>
      </c>
      <c r="B116" s="0" t="s">
        <v>2651</v>
      </c>
      <c r="C116" s="0" t="s">
        <v>2652</v>
      </c>
      <c r="D116" s="0" t="s">
        <v>2653</v>
      </c>
      <c r="E116" s="0" t="s">
        <v>2654</v>
      </c>
      <c r="F116" s="0" t="s">
        <v>2375</v>
      </c>
      <c r="G116" s="0" t="s">
        <v>2655</v>
      </c>
    </row>
    <row customHeight="1" ht="11.25">
      <c r="A117" s="663" t="s">
        <v>14</v>
      </c>
      <c r="B117" s="0" t="s">
        <v>2651</v>
      </c>
      <c r="C117" s="0" t="s">
        <v>2652</v>
      </c>
      <c r="D117" s="0" t="s">
        <v>2656</v>
      </c>
      <c r="E117" s="0" t="s">
        <v>2657</v>
      </c>
      <c r="F117" s="0" t="s">
        <v>2375</v>
      </c>
      <c r="G117" s="0" t="s">
        <v>2658</v>
      </c>
    </row>
    <row customHeight="1" ht="11.25">
      <c r="A118" s="663" t="s">
        <v>14</v>
      </c>
      <c r="B118" s="0" t="s">
        <v>2651</v>
      </c>
      <c r="C118" s="0" t="s">
        <v>2652</v>
      </c>
      <c r="D118" s="0" t="s">
        <v>2659</v>
      </c>
      <c r="E118" s="0" t="s">
        <v>2660</v>
      </c>
      <c r="F118" s="0" t="s">
        <v>2375</v>
      </c>
      <c r="G118" s="0" t="s">
        <v>2661</v>
      </c>
    </row>
    <row customHeight="1" ht="11.25">
      <c r="A119" s="663" t="s">
        <v>14</v>
      </c>
      <c r="B119" s="0" t="s">
        <v>2651</v>
      </c>
      <c r="C119" s="0" t="s">
        <v>2652</v>
      </c>
      <c r="D119" s="0" t="s">
        <v>2662</v>
      </c>
      <c r="E119" s="0" t="s">
        <v>2663</v>
      </c>
      <c r="F119" s="0" t="s">
        <v>2375</v>
      </c>
      <c r="G119" s="0" t="s">
        <v>2664</v>
      </c>
    </row>
    <row customHeight="1" ht="11.25">
      <c r="A120" s="663" t="s">
        <v>14</v>
      </c>
      <c r="B120" s="0" t="s">
        <v>2651</v>
      </c>
      <c r="C120" s="0" t="s">
        <v>2652</v>
      </c>
      <c r="D120" s="0" t="s">
        <v>2665</v>
      </c>
      <c r="E120" s="0" t="s">
        <v>2666</v>
      </c>
      <c r="F120" s="0" t="s">
        <v>2375</v>
      </c>
      <c r="G120" s="0" t="s">
        <v>2667</v>
      </c>
    </row>
    <row customHeight="1" ht="11.25">
      <c r="A121" s="663" t="s">
        <v>14</v>
      </c>
      <c r="B121" s="0" t="s">
        <v>2651</v>
      </c>
      <c r="C121" s="0" t="s">
        <v>2652</v>
      </c>
      <c r="D121" s="0" t="s">
        <v>2668</v>
      </c>
      <c r="E121" s="0" t="s">
        <v>2669</v>
      </c>
      <c r="F121" s="0" t="s">
        <v>2375</v>
      </c>
      <c r="G121" s="0" t="s">
        <v>2670</v>
      </c>
    </row>
    <row customHeight="1" ht="11.25">
      <c r="A122" s="663" t="s">
        <v>14</v>
      </c>
      <c r="B122" s="0" t="s">
        <v>2651</v>
      </c>
      <c r="C122" s="0" t="s">
        <v>2652</v>
      </c>
      <c r="D122" s="0" t="s">
        <v>2671</v>
      </c>
      <c r="E122" s="0" t="s">
        <v>2672</v>
      </c>
      <c r="F122" s="0" t="s">
        <v>2375</v>
      </c>
      <c r="G122" s="0" t="s">
        <v>2673</v>
      </c>
    </row>
    <row customHeight="1" ht="11.25">
      <c r="A123" s="663" t="s">
        <v>14</v>
      </c>
      <c r="B123" s="0" t="s">
        <v>2651</v>
      </c>
      <c r="C123" s="0" t="s">
        <v>2652</v>
      </c>
      <c r="D123" s="0" t="s">
        <v>2674</v>
      </c>
      <c r="E123" s="0" t="s">
        <v>2675</v>
      </c>
      <c r="F123" s="0" t="s">
        <v>2375</v>
      </c>
      <c r="G123" s="0" t="s">
        <v>2676</v>
      </c>
    </row>
    <row customHeight="1" ht="11.25">
      <c r="A124" s="663" t="s">
        <v>14</v>
      </c>
      <c r="B124" s="0" t="s">
        <v>2651</v>
      </c>
      <c r="C124" s="0" t="s">
        <v>2652</v>
      </c>
      <c r="D124" s="0" t="s">
        <v>2677</v>
      </c>
      <c r="E124" s="0" t="s">
        <v>2678</v>
      </c>
      <c r="F124" s="0" t="s">
        <v>2375</v>
      </c>
      <c r="G124" s="0" t="s">
        <v>2679</v>
      </c>
    </row>
    <row customHeight="1" ht="11.25">
      <c r="A125" s="663" t="s">
        <v>14</v>
      </c>
      <c r="B125" s="0" t="s">
        <v>2651</v>
      </c>
      <c r="C125" s="0" t="s">
        <v>2652</v>
      </c>
      <c r="D125" s="0" t="s">
        <v>2680</v>
      </c>
      <c r="E125" s="0" t="s">
        <v>2681</v>
      </c>
      <c r="F125" s="0" t="s">
        <v>2375</v>
      </c>
      <c r="G125" s="0" t="s">
        <v>2682</v>
      </c>
    </row>
    <row customHeight="1" ht="11.25">
      <c r="A126" s="663" t="s">
        <v>14</v>
      </c>
      <c r="B126" s="0" t="s">
        <v>2651</v>
      </c>
      <c r="C126" s="0" t="s">
        <v>2652</v>
      </c>
      <c r="D126" s="0" t="s">
        <v>2683</v>
      </c>
      <c r="E126" s="0" t="s">
        <v>2684</v>
      </c>
      <c r="F126" s="0" t="s">
        <v>2375</v>
      </c>
      <c r="G126" s="0" t="s">
        <v>2685</v>
      </c>
    </row>
    <row customHeight="1" ht="11.25">
      <c r="A127" s="663" t="s">
        <v>14</v>
      </c>
      <c r="B127" s="0" t="s">
        <v>2651</v>
      </c>
      <c r="C127" s="0" t="s">
        <v>2652</v>
      </c>
      <c r="D127" s="0" t="s">
        <v>2651</v>
      </c>
      <c r="E127" s="0" t="s">
        <v>2652</v>
      </c>
      <c r="F127" s="0" t="s">
        <v>2379</v>
      </c>
      <c r="G127" s="0" t="s">
        <v>2686</v>
      </c>
    </row>
    <row customHeight="1" ht="11.25">
      <c r="A128" s="663" t="s">
        <v>14</v>
      </c>
      <c r="B128" s="0" t="s">
        <v>2651</v>
      </c>
      <c r="C128" s="0" t="s">
        <v>2652</v>
      </c>
      <c r="D128" s="0" t="s">
        <v>2687</v>
      </c>
      <c r="E128" s="0" t="s">
        <v>2688</v>
      </c>
      <c r="F128" s="0" t="s">
        <v>2375</v>
      </c>
      <c r="G128" s="0" t="s">
        <v>2689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E6866-FEA4-7F33-5A4B-EC57B6F4D6F6}"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12985" width="9.140625"/>
  </cols>
  <sheetData>
    <row customHeight="1" ht="11.25">
      <c r="A1" s="1145" t="s">
        <v>2690</v>
      </c>
      <c r="B1" s="1145" t="s">
        <v>2691</v>
      </c>
      <c r="C1" s="1145" t="s">
        <v>2692</v>
      </c>
      <c r="D1" s="1145" t="s">
        <v>2693</v>
      </c>
    </row>
    <row customHeight="1" ht="11.25">
      <c r="A2" s="7798" t="s">
        <v>99</v>
      </c>
      <c r="B2" s="7798" t="s">
        <v>2694</v>
      </c>
      <c r="C2" s="7798" t="s">
        <v>2695</v>
      </c>
      <c r="D2" s="7798" t="s">
        <v>2696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114C6-5B78-C585-2041-DC37255AC8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56BCA-6245-06AD-BB36-2CA0CBD89C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130</v>
      </c>
      <c r="B1" s="78" t="s">
        <v>2697</v>
      </c>
    </row>
    <row customHeight="1" ht="11.25">
      <c r="A2" s="78" t="s">
        <v>98</v>
      </c>
      <c r="B2" s="78" t="s">
        <v>2698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4375D-884D-0386-E858-86ED277958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5" width="9.140625"/>
    <col min="2" max="2" style="12985" width="65.28125" customWidth="1"/>
  </cols>
  <sheetData>
    <row customHeight="1" ht="11.25">
      <c r="A1" s="1145" t="s">
        <v>2699</v>
      </c>
      <c r="B1" s="1145" t="s">
        <v>2700</v>
      </c>
    </row>
    <row customHeight="1" ht="11.25">
      <c r="A2" s="1145">
        <v>4213775</v>
      </c>
      <c r="B2" s="1145" t="s">
        <v>781</v>
      </c>
    </row>
    <row customHeight="1" ht="11.25">
      <c r="A3" s="1145">
        <v>4213784</v>
      </c>
      <c r="B3" s="1145" t="s">
        <v>816</v>
      </c>
    </row>
    <row customHeight="1" ht="11.25">
      <c r="A4" s="1145">
        <v>4213781</v>
      </c>
      <c r="B4" s="1145" t="s">
        <v>809</v>
      </c>
    </row>
    <row customHeight="1" ht="11.25">
      <c r="A5" s="1145">
        <v>4213776</v>
      </c>
      <c r="B5" s="1145" t="s">
        <v>168</v>
      </c>
    </row>
    <row customHeight="1" ht="11.25">
      <c r="A6" s="1145">
        <v>4213777</v>
      </c>
      <c r="B6" s="1145" t="s">
        <v>174</v>
      </c>
    </row>
    <row customHeight="1" ht="11.25">
      <c r="A7" s="1145">
        <v>4213778</v>
      </c>
      <c r="B7" s="1145" t="s">
        <v>180</v>
      </c>
    </row>
    <row customHeight="1" ht="11.25">
      <c r="A8" s="1145">
        <v>4213780</v>
      </c>
      <c r="B8" s="1145" t="s">
        <v>186</v>
      </c>
    </row>
    <row customHeight="1" ht="11.25">
      <c r="A9" s="1145">
        <v>4213779</v>
      </c>
      <c r="B9" s="1145" t="s">
        <v>949</v>
      </c>
    </row>
    <row customHeight="1" ht="11.25">
      <c r="A10" s="1145">
        <v>4213783</v>
      </c>
      <c r="B10" s="1145" t="s">
        <v>964</v>
      </c>
    </row>
    <row customHeight="1" ht="11.25">
      <c r="A11" s="1145">
        <v>4213782</v>
      </c>
      <c r="B11" s="114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38E2-6F7D-EA41-FB52-31F73AA309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5" width="9.140625"/>
    <col min="2" max="2" style="12985" width="65.28125" customWidth="1"/>
  </cols>
  <sheetData>
    <row customHeight="1" ht="11.25">
      <c r="A1" s="1145" t="s">
        <v>2699</v>
      </c>
      <c r="B1" s="1145" t="s">
        <v>2701</v>
      </c>
    </row>
    <row customHeight="1" ht="11.25">
      <c r="A2" s="1145" t="s">
        <v>2702</v>
      </c>
      <c r="B2" s="1145" t="s">
        <v>1058</v>
      </c>
    </row>
    <row customHeight="1" ht="11.25">
      <c r="A3" s="1145" t="s">
        <v>2703</v>
      </c>
      <c r="B3" s="1145" t="s">
        <v>1067</v>
      </c>
    </row>
    <row customHeight="1" ht="11.25">
      <c r="A4" s="1145" t="s">
        <v>2704</v>
      </c>
      <c r="B4" s="1145" t="s">
        <v>1077</v>
      </c>
    </row>
    <row customHeight="1" ht="11.25">
      <c r="A5" s="1145" t="s">
        <v>2705</v>
      </c>
      <c r="B5" s="1145" t="s">
        <v>1086</v>
      </c>
    </row>
    <row customHeight="1" ht="11.25">
      <c r="A6" s="1145" t="s">
        <v>2706</v>
      </c>
      <c r="B6" s="1145" t="s">
        <v>1091</v>
      </c>
    </row>
    <row customHeight="1" ht="11.25">
      <c r="A7" s="1145" t="s">
        <v>2707</v>
      </c>
      <c r="B7" s="1145" t="s">
        <v>1098</v>
      </c>
    </row>
    <row customHeight="1" ht="11.25">
      <c r="A8" s="1145" t="s">
        <v>2708</v>
      </c>
      <c r="B8" s="1145" t="s">
        <v>1103</v>
      </c>
    </row>
    <row customHeight="1" ht="11.25">
      <c r="A9" s="1145" t="s">
        <v>2709</v>
      </c>
      <c r="B9" s="1145" t="s">
        <v>1107</v>
      </c>
    </row>
    <row customHeight="1" ht="11.25">
      <c r="A10" s="1145" t="s">
        <v>2710</v>
      </c>
      <c r="B10" s="1145" t="s">
        <v>1111</v>
      </c>
    </row>
    <row customHeight="1" ht="11.25">
      <c r="A11" s="1145" t="s">
        <v>2711</v>
      </c>
      <c r="B11" s="1145" t="s">
        <v>1117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474A8-04B1-9DA1-0274-919554A2DB3A}"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663" t="s">
        <v>2363</v>
      </c>
      <c r="B1" s="663" t="s">
        <v>2364</v>
      </c>
      <c r="C1" s="663" t="s">
        <v>2365</v>
      </c>
      <c r="D1" s="663" t="s">
        <v>2366</v>
      </c>
      <c r="E1" s="0" t="s">
        <v>2367</v>
      </c>
      <c r="F1" s="0" t="s">
        <v>2368</v>
      </c>
      <c r="G1" s="0" t="s">
        <v>2369</v>
      </c>
    </row>
    <row customHeight="1" ht="11.25">
      <c r="A2" s="0" t="s">
        <v>14</v>
      </c>
      <c r="B2" s="0" t="s">
        <v>100</v>
      </c>
      <c r="C2" s="0" t="s">
        <v>101</v>
      </c>
      <c r="D2" s="0" t="s">
        <v>100</v>
      </c>
      <c r="E2" s="0" t="s">
        <v>101</v>
      </c>
      <c r="F2" s="0" t="s">
        <v>2370</v>
      </c>
      <c r="G2" s="0" t="s">
        <v>99</v>
      </c>
    </row>
    <row customHeight="1" ht="11.25">
      <c r="A3" s="0" t="s">
        <v>14</v>
      </c>
      <c r="B3" s="0" t="s">
        <v>2371</v>
      </c>
      <c r="C3" s="0" t="s">
        <v>2372</v>
      </c>
      <c r="D3" s="0" t="s">
        <v>2373</v>
      </c>
      <c r="E3" s="0" t="s">
        <v>2374</v>
      </c>
      <c r="F3" s="0" t="s">
        <v>2375</v>
      </c>
      <c r="G3" s="0" t="s">
        <v>109</v>
      </c>
    </row>
    <row customHeight="1" ht="11.25">
      <c r="A4" s="0" t="s">
        <v>14</v>
      </c>
      <c r="B4" s="0" t="s">
        <v>2371</v>
      </c>
      <c r="C4" s="0" t="s">
        <v>2372</v>
      </c>
      <c r="D4" s="0" t="s">
        <v>2376</v>
      </c>
      <c r="E4" s="0" t="s">
        <v>2377</v>
      </c>
      <c r="F4" s="0" t="s">
        <v>2378</v>
      </c>
      <c r="G4" s="0" t="s">
        <v>90</v>
      </c>
    </row>
    <row customHeight="1" ht="11.25">
      <c r="A5" s="0" t="s">
        <v>14</v>
      </c>
      <c r="B5" s="0" t="s">
        <v>2371</v>
      </c>
      <c r="C5" s="0" t="s">
        <v>2372</v>
      </c>
      <c r="D5" s="0" t="s">
        <v>2371</v>
      </c>
      <c r="E5" s="0" t="s">
        <v>2372</v>
      </c>
      <c r="F5" s="0" t="s">
        <v>2379</v>
      </c>
      <c r="G5" s="0" t="s">
        <v>91</v>
      </c>
    </row>
    <row customHeight="1" ht="11.25">
      <c r="A6" s="0" t="s">
        <v>14</v>
      </c>
      <c r="B6" s="0" t="s">
        <v>2371</v>
      </c>
      <c r="C6" s="0" t="s">
        <v>2372</v>
      </c>
      <c r="D6" s="0" t="s">
        <v>2380</v>
      </c>
      <c r="E6" s="0" t="s">
        <v>2381</v>
      </c>
      <c r="F6" s="0" t="s">
        <v>2375</v>
      </c>
      <c r="G6" s="0" t="s">
        <v>110</v>
      </c>
    </row>
    <row customHeight="1" ht="11.25">
      <c r="A7" s="0" t="s">
        <v>14</v>
      </c>
      <c r="B7" s="0" t="s">
        <v>2371</v>
      </c>
      <c r="C7" s="0" t="s">
        <v>2372</v>
      </c>
      <c r="D7" s="0" t="s">
        <v>2382</v>
      </c>
      <c r="E7" s="0" t="s">
        <v>2383</v>
      </c>
      <c r="F7" s="0" t="s">
        <v>2375</v>
      </c>
      <c r="G7" s="0" t="s">
        <v>92</v>
      </c>
    </row>
    <row customHeight="1" ht="11.25">
      <c r="A8" s="0" t="s">
        <v>14</v>
      </c>
      <c r="B8" s="0" t="s">
        <v>2371</v>
      </c>
      <c r="C8" s="0" t="s">
        <v>2372</v>
      </c>
      <c r="D8" s="0" t="s">
        <v>2384</v>
      </c>
      <c r="E8" s="0" t="s">
        <v>2385</v>
      </c>
      <c r="F8" s="0" t="s">
        <v>2375</v>
      </c>
      <c r="G8" s="0" t="s">
        <v>93</v>
      </c>
    </row>
    <row customHeight="1" ht="11.25">
      <c r="A9" s="0" t="s">
        <v>14</v>
      </c>
      <c r="B9" s="0" t="s">
        <v>2371</v>
      </c>
      <c r="C9" s="0" t="s">
        <v>2372</v>
      </c>
      <c r="D9" s="0" t="s">
        <v>2386</v>
      </c>
      <c r="E9" s="0" t="s">
        <v>2387</v>
      </c>
      <c r="F9" s="0" t="s">
        <v>2375</v>
      </c>
      <c r="G9" s="0" t="s">
        <v>111</v>
      </c>
    </row>
    <row customHeight="1" ht="11.25">
      <c r="A10" s="0" t="s">
        <v>14</v>
      </c>
      <c r="B10" s="0" t="s">
        <v>2371</v>
      </c>
      <c r="C10" s="0" t="s">
        <v>2372</v>
      </c>
      <c r="D10" s="0" t="s">
        <v>2388</v>
      </c>
      <c r="E10" s="0" t="s">
        <v>2389</v>
      </c>
      <c r="F10" s="0" t="s">
        <v>2375</v>
      </c>
      <c r="G10" s="0" t="s">
        <v>148</v>
      </c>
    </row>
    <row customHeight="1" ht="11.25">
      <c r="A11" s="0" t="s">
        <v>14</v>
      </c>
      <c r="B11" s="0" t="s">
        <v>2390</v>
      </c>
      <c r="C11" s="0" t="s">
        <v>2391</v>
      </c>
      <c r="D11" s="0" t="s">
        <v>2392</v>
      </c>
      <c r="E11" s="0" t="s">
        <v>2393</v>
      </c>
      <c r="F11" s="0" t="s">
        <v>2375</v>
      </c>
      <c r="G11" s="0" t="s">
        <v>149</v>
      </c>
    </row>
    <row customHeight="1" ht="11.25">
      <c r="A12" s="0" t="s">
        <v>14</v>
      </c>
      <c r="B12" s="0" t="s">
        <v>2390</v>
      </c>
      <c r="C12" s="0" t="s">
        <v>2391</v>
      </c>
      <c r="D12" s="0" t="s">
        <v>2394</v>
      </c>
      <c r="E12" s="0" t="s">
        <v>2395</v>
      </c>
      <c r="F12" s="0" t="s">
        <v>2375</v>
      </c>
      <c r="G12" s="0" t="s">
        <v>150</v>
      </c>
    </row>
    <row customHeight="1" ht="11.25">
      <c r="A13" s="0" t="s">
        <v>14</v>
      </c>
      <c r="B13" s="0" t="s">
        <v>2390</v>
      </c>
      <c r="C13" s="0" t="s">
        <v>2391</v>
      </c>
      <c r="D13" s="0" t="s">
        <v>2390</v>
      </c>
      <c r="E13" s="0" t="s">
        <v>2391</v>
      </c>
      <c r="F13" s="0" t="s">
        <v>2379</v>
      </c>
      <c r="G13" s="0" t="s">
        <v>151</v>
      </c>
    </row>
    <row customHeight="1" ht="11.25">
      <c r="A14" s="0" t="s">
        <v>14</v>
      </c>
      <c r="B14" s="0" t="s">
        <v>2390</v>
      </c>
      <c r="C14" s="0" t="s">
        <v>2391</v>
      </c>
      <c r="D14" s="0" t="s">
        <v>2396</v>
      </c>
      <c r="E14" s="0" t="s">
        <v>2397</v>
      </c>
      <c r="F14" s="0" t="s">
        <v>2375</v>
      </c>
      <c r="G14" s="0" t="s">
        <v>152</v>
      </c>
    </row>
    <row customHeight="1" ht="11.25">
      <c r="A15" s="0" t="s">
        <v>14</v>
      </c>
      <c r="B15" s="0" t="s">
        <v>2390</v>
      </c>
      <c r="C15" s="0" t="s">
        <v>2391</v>
      </c>
      <c r="D15" s="0" t="s">
        <v>2398</v>
      </c>
      <c r="E15" s="0" t="s">
        <v>2399</v>
      </c>
      <c r="F15" s="0" t="s">
        <v>2375</v>
      </c>
      <c r="G15" s="0" t="s">
        <v>153</v>
      </c>
    </row>
    <row customHeight="1" ht="11.25">
      <c r="A16" s="0" t="s">
        <v>14</v>
      </c>
      <c r="B16" s="0" t="s">
        <v>2390</v>
      </c>
      <c r="C16" s="0" t="s">
        <v>2391</v>
      </c>
      <c r="D16" s="0" t="s">
        <v>2400</v>
      </c>
      <c r="E16" s="0" t="s">
        <v>2401</v>
      </c>
      <c r="F16" s="0" t="s">
        <v>2375</v>
      </c>
      <c r="G16" s="0" t="s">
        <v>695</v>
      </c>
    </row>
    <row customHeight="1" ht="11.25">
      <c r="A17" s="0" t="s">
        <v>14</v>
      </c>
      <c r="B17" s="0" t="s">
        <v>2390</v>
      </c>
      <c r="C17" s="0" t="s">
        <v>2391</v>
      </c>
      <c r="D17" s="0" t="s">
        <v>2402</v>
      </c>
      <c r="E17" s="0" t="s">
        <v>2403</v>
      </c>
      <c r="F17" s="0" t="s">
        <v>2375</v>
      </c>
      <c r="G17" s="0" t="s">
        <v>397</v>
      </c>
    </row>
    <row customHeight="1" ht="11.25">
      <c r="A18" s="0" t="s">
        <v>14</v>
      </c>
      <c r="B18" s="0" t="s">
        <v>2390</v>
      </c>
      <c r="C18" s="0" t="s">
        <v>2391</v>
      </c>
      <c r="D18" s="0" t="s">
        <v>2404</v>
      </c>
      <c r="E18" s="0" t="s">
        <v>2405</v>
      </c>
      <c r="F18" s="0" t="s">
        <v>2375</v>
      </c>
      <c r="G18" s="0" t="s">
        <v>704</v>
      </c>
    </row>
    <row customHeight="1" ht="11.25">
      <c r="A19" s="0" t="s">
        <v>14</v>
      </c>
      <c r="B19" s="0" t="s">
        <v>2390</v>
      </c>
      <c r="C19" s="0" t="s">
        <v>2391</v>
      </c>
      <c r="D19" s="0" t="s">
        <v>2406</v>
      </c>
      <c r="E19" s="0" t="s">
        <v>2407</v>
      </c>
      <c r="F19" s="0" t="s">
        <v>2375</v>
      </c>
      <c r="G19" s="0" t="s">
        <v>708</v>
      </c>
    </row>
    <row customHeight="1" ht="11.25">
      <c r="A20" s="0" t="s">
        <v>14</v>
      </c>
      <c r="B20" s="0" t="s">
        <v>2390</v>
      </c>
      <c r="C20" s="0" t="s">
        <v>2391</v>
      </c>
      <c r="D20" s="0" t="s">
        <v>2408</v>
      </c>
      <c r="E20" s="0" t="s">
        <v>2409</v>
      </c>
      <c r="F20" s="0" t="s">
        <v>2375</v>
      </c>
      <c r="G20" s="0" t="s">
        <v>459</v>
      </c>
    </row>
    <row customHeight="1" ht="11.25">
      <c r="A21" s="0" t="s">
        <v>14</v>
      </c>
      <c r="B21" s="0" t="s">
        <v>2390</v>
      </c>
      <c r="C21" s="0" t="s">
        <v>2391</v>
      </c>
      <c r="D21" s="0" t="s">
        <v>2410</v>
      </c>
      <c r="E21" s="0" t="s">
        <v>2411</v>
      </c>
      <c r="F21" s="0" t="s">
        <v>2375</v>
      </c>
      <c r="G21" s="0" t="s">
        <v>1073</v>
      </c>
    </row>
    <row customHeight="1" ht="11.25">
      <c r="A22" s="0" t="s">
        <v>14</v>
      </c>
      <c r="B22" s="0" t="s">
        <v>2390</v>
      </c>
      <c r="C22" s="0" t="s">
        <v>2391</v>
      </c>
      <c r="D22" s="0" t="s">
        <v>2412</v>
      </c>
      <c r="E22" s="0" t="s">
        <v>2413</v>
      </c>
      <c r="F22" s="0" t="s">
        <v>2375</v>
      </c>
      <c r="G22" s="0" t="s">
        <v>1088</v>
      </c>
    </row>
    <row customHeight="1" ht="11.25">
      <c r="A23" s="0" t="s">
        <v>14</v>
      </c>
      <c r="B23" s="0" t="s">
        <v>2390</v>
      </c>
      <c r="C23" s="0" t="s">
        <v>2391</v>
      </c>
      <c r="D23" s="0" t="s">
        <v>2414</v>
      </c>
      <c r="E23" s="0" t="s">
        <v>2415</v>
      </c>
      <c r="F23" s="0" t="s">
        <v>2375</v>
      </c>
      <c r="G23" s="0" t="s">
        <v>1094</v>
      </c>
    </row>
    <row customHeight="1" ht="11.25">
      <c r="A24" s="0" t="s">
        <v>14</v>
      </c>
      <c r="B24" s="0" t="s">
        <v>2390</v>
      </c>
      <c r="C24" s="0" t="s">
        <v>2391</v>
      </c>
      <c r="D24" s="0" t="s">
        <v>2416</v>
      </c>
      <c r="E24" s="0" t="s">
        <v>2417</v>
      </c>
      <c r="F24" s="0" t="s">
        <v>2375</v>
      </c>
      <c r="G24" s="0" t="s">
        <v>1100</v>
      </c>
    </row>
    <row customHeight="1" ht="11.25">
      <c r="A25" s="0" t="s">
        <v>14</v>
      </c>
      <c r="B25" s="0" t="s">
        <v>2418</v>
      </c>
      <c r="C25" s="0" t="s">
        <v>2419</v>
      </c>
      <c r="D25" s="0" t="s">
        <v>2420</v>
      </c>
      <c r="E25" s="0" t="s">
        <v>2421</v>
      </c>
      <c r="F25" s="0" t="s">
        <v>2375</v>
      </c>
      <c r="G25" s="0" t="s">
        <v>472</v>
      </c>
    </row>
    <row customHeight="1" ht="11.25">
      <c r="A26" s="0" t="s">
        <v>14</v>
      </c>
      <c r="B26" s="0" t="s">
        <v>2418</v>
      </c>
      <c r="C26" s="0" t="s">
        <v>2419</v>
      </c>
      <c r="D26" s="0" t="s">
        <v>2422</v>
      </c>
      <c r="E26" s="0" t="s">
        <v>2423</v>
      </c>
      <c r="F26" s="0" t="s">
        <v>2375</v>
      </c>
      <c r="G26" s="0" t="s">
        <v>471</v>
      </c>
    </row>
    <row customHeight="1" ht="11.25">
      <c r="A27" s="0" t="s">
        <v>14</v>
      </c>
      <c r="B27" s="0" t="s">
        <v>2418</v>
      </c>
      <c r="C27" s="0" t="s">
        <v>2419</v>
      </c>
      <c r="D27" s="0" t="s">
        <v>2424</v>
      </c>
      <c r="E27" s="0" t="s">
        <v>2425</v>
      </c>
      <c r="F27" s="0" t="s">
        <v>2375</v>
      </c>
      <c r="G27" s="0" t="s">
        <v>719</v>
      </c>
    </row>
    <row customHeight="1" ht="11.25">
      <c r="A28" s="0" t="s">
        <v>14</v>
      </c>
      <c r="B28" s="0" t="s">
        <v>2418</v>
      </c>
      <c r="C28" s="0" t="s">
        <v>2419</v>
      </c>
      <c r="D28" s="0" t="s">
        <v>2426</v>
      </c>
      <c r="E28" s="0" t="s">
        <v>2427</v>
      </c>
      <c r="F28" s="0" t="s">
        <v>2375</v>
      </c>
      <c r="G28" s="0" t="s">
        <v>454</v>
      </c>
    </row>
    <row customHeight="1" ht="11.25">
      <c r="A29" s="0" t="s">
        <v>14</v>
      </c>
      <c r="B29" s="0" t="s">
        <v>2418</v>
      </c>
      <c r="C29" s="0" t="s">
        <v>2419</v>
      </c>
      <c r="D29" s="0" t="s">
        <v>2418</v>
      </c>
      <c r="E29" s="0" t="s">
        <v>2419</v>
      </c>
      <c r="F29" s="0" t="s">
        <v>2379</v>
      </c>
      <c r="G29" s="0" t="s">
        <v>1122</v>
      </c>
    </row>
    <row customHeight="1" ht="11.25">
      <c r="A30" s="0" t="s">
        <v>14</v>
      </c>
      <c r="B30" s="0" t="s">
        <v>2418</v>
      </c>
      <c r="C30" s="0" t="s">
        <v>2419</v>
      </c>
      <c r="D30" s="0" t="s">
        <v>2428</v>
      </c>
      <c r="E30" s="0" t="s">
        <v>2429</v>
      </c>
      <c r="F30" s="0" t="s">
        <v>2375</v>
      </c>
      <c r="G30" s="0" t="s">
        <v>1125</v>
      </c>
    </row>
    <row customHeight="1" ht="11.25">
      <c r="A31" s="0" t="s">
        <v>14</v>
      </c>
      <c r="B31" s="0" t="s">
        <v>2418</v>
      </c>
      <c r="C31" s="0" t="s">
        <v>2419</v>
      </c>
      <c r="D31" s="0" t="s">
        <v>2430</v>
      </c>
      <c r="E31" s="0" t="s">
        <v>2431</v>
      </c>
      <c r="F31" s="0" t="s">
        <v>2375</v>
      </c>
      <c r="G31" s="0" t="s">
        <v>1131</v>
      </c>
    </row>
    <row customHeight="1" ht="11.25">
      <c r="A32" s="0" t="s">
        <v>14</v>
      </c>
      <c r="B32" s="0" t="s">
        <v>2418</v>
      </c>
      <c r="C32" s="0" t="s">
        <v>2419</v>
      </c>
      <c r="D32" s="0" t="s">
        <v>2432</v>
      </c>
      <c r="E32" s="0" t="s">
        <v>2433</v>
      </c>
      <c r="F32" s="0" t="s">
        <v>2375</v>
      </c>
      <c r="G32" s="0" t="s">
        <v>1133</v>
      </c>
    </row>
    <row customHeight="1" ht="11.25">
      <c r="A33" s="0" t="s">
        <v>14</v>
      </c>
      <c r="B33" s="0" t="s">
        <v>2418</v>
      </c>
      <c r="C33" s="0" t="s">
        <v>2419</v>
      </c>
      <c r="D33" s="0" t="s">
        <v>2434</v>
      </c>
      <c r="E33" s="0" t="s">
        <v>2435</v>
      </c>
      <c r="F33" s="0" t="s">
        <v>2375</v>
      </c>
      <c r="G33" s="0" t="s">
        <v>1135</v>
      </c>
    </row>
    <row customHeight="1" ht="11.25">
      <c r="A34" s="0" t="s">
        <v>14</v>
      </c>
      <c r="B34" s="0" t="s">
        <v>2418</v>
      </c>
      <c r="C34" s="0" t="s">
        <v>2419</v>
      </c>
      <c r="D34" s="0" t="s">
        <v>2436</v>
      </c>
      <c r="E34" s="0" t="s">
        <v>2437</v>
      </c>
      <c r="F34" s="0" t="s">
        <v>2375</v>
      </c>
      <c r="G34" s="0" t="s">
        <v>1137</v>
      </c>
    </row>
    <row customHeight="1" ht="11.25">
      <c r="A35" s="0" t="s">
        <v>14</v>
      </c>
      <c r="B35" s="0" t="s">
        <v>2438</v>
      </c>
      <c r="C35" s="0" t="s">
        <v>2439</v>
      </c>
      <c r="D35" s="0" t="s">
        <v>2440</v>
      </c>
      <c r="E35" s="0" t="s">
        <v>2441</v>
      </c>
      <c r="F35" s="0" t="s">
        <v>2378</v>
      </c>
      <c r="G35" s="0" t="s">
        <v>1142</v>
      </c>
    </row>
    <row customHeight="1" ht="11.25">
      <c r="A36" s="0" t="s">
        <v>14</v>
      </c>
      <c r="B36" s="0" t="s">
        <v>2438</v>
      </c>
      <c r="C36" s="0" t="s">
        <v>2439</v>
      </c>
      <c r="D36" s="0" t="s">
        <v>2442</v>
      </c>
      <c r="E36" s="0" t="s">
        <v>2443</v>
      </c>
      <c r="F36" s="0" t="s">
        <v>2375</v>
      </c>
      <c r="G36" s="0" t="s">
        <v>1147</v>
      </c>
    </row>
    <row customHeight="1" ht="11.25">
      <c r="A37" s="0" t="s">
        <v>14</v>
      </c>
      <c r="B37" s="0" t="s">
        <v>2438</v>
      </c>
      <c r="C37" s="0" t="s">
        <v>2439</v>
      </c>
      <c r="D37" s="0" t="s">
        <v>2444</v>
      </c>
      <c r="E37" s="0" t="s">
        <v>2445</v>
      </c>
      <c r="F37" s="0" t="s">
        <v>2375</v>
      </c>
      <c r="G37" s="0" t="s">
        <v>1151</v>
      </c>
    </row>
    <row customHeight="1" ht="11.25">
      <c r="A38" s="0" t="s">
        <v>14</v>
      </c>
      <c r="B38" s="0" t="s">
        <v>2438</v>
      </c>
      <c r="C38" s="0" t="s">
        <v>2439</v>
      </c>
      <c r="D38" s="0" t="s">
        <v>2438</v>
      </c>
      <c r="E38" s="0" t="s">
        <v>2439</v>
      </c>
      <c r="F38" s="0" t="s">
        <v>2379</v>
      </c>
      <c r="G38" s="0" t="s">
        <v>1159</v>
      </c>
    </row>
    <row customHeight="1" ht="11.25">
      <c r="A39" s="0" t="s">
        <v>14</v>
      </c>
      <c r="B39" s="0" t="s">
        <v>2438</v>
      </c>
      <c r="C39" s="0" t="s">
        <v>2439</v>
      </c>
      <c r="D39" s="0" t="s">
        <v>2446</v>
      </c>
      <c r="E39" s="0" t="s">
        <v>2447</v>
      </c>
      <c r="F39" s="0" t="s">
        <v>2375</v>
      </c>
      <c r="G39" s="0" t="s">
        <v>1165</v>
      </c>
    </row>
    <row customHeight="1" ht="11.25">
      <c r="A40" s="0" t="s">
        <v>14</v>
      </c>
      <c r="B40" s="0" t="s">
        <v>2438</v>
      </c>
      <c r="C40" s="0" t="s">
        <v>2439</v>
      </c>
      <c r="D40" s="0" t="s">
        <v>2448</v>
      </c>
      <c r="E40" s="0" t="s">
        <v>2449</v>
      </c>
      <c r="F40" s="0" t="s">
        <v>2375</v>
      </c>
      <c r="G40" s="0" t="s">
        <v>1171</v>
      </c>
    </row>
    <row customHeight="1" ht="11.25">
      <c r="A41" s="0" t="s">
        <v>14</v>
      </c>
      <c r="B41" s="0" t="s">
        <v>2450</v>
      </c>
      <c r="C41" s="0" t="s">
        <v>2451</v>
      </c>
      <c r="D41" s="0" t="s">
        <v>2452</v>
      </c>
      <c r="E41" s="0" t="s">
        <v>2453</v>
      </c>
      <c r="F41" s="0" t="s">
        <v>2375</v>
      </c>
      <c r="G41" s="0" t="s">
        <v>1177</v>
      </c>
    </row>
    <row customHeight="1" ht="11.25">
      <c r="A42" s="0" t="s">
        <v>14</v>
      </c>
      <c r="B42" s="0" t="s">
        <v>2450</v>
      </c>
      <c r="C42" s="0" t="s">
        <v>2451</v>
      </c>
      <c r="D42" s="0" t="s">
        <v>2450</v>
      </c>
      <c r="E42" s="0" t="s">
        <v>2451</v>
      </c>
      <c r="F42" s="0" t="s">
        <v>2379</v>
      </c>
      <c r="G42" s="0" t="s">
        <v>1182</v>
      </c>
    </row>
    <row customHeight="1" ht="11.25">
      <c r="A43" s="0" t="s">
        <v>14</v>
      </c>
      <c r="B43" s="0" t="s">
        <v>2450</v>
      </c>
      <c r="C43" s="0" t="s">
        <v>2451</v>
      </c>
      <c r="D43" s="0" t="s">
        <v>2454</v>
      </c>
      <c r="E43" s="0" t="s">
        <v>2455</v>
      </c>
      <c r="F43" s="0" t="s">
        <v>2375</v>
      </c>
      <c r="G43" s="0" t="s">
        <v>1189</v>
      </c>
    </row>
    <row customHeight="1" ht="11.25">
      <c r="A44" s="0" t="s">
        <v>14</v>
      </c>
      <c r="B44" s="0" t="s">
        <v>2450</v>
      </c>
      <c r="C44" s="0" t="s">
        <v>2451</v>
      </c>
      <c r="D44" s="0" t="s">
        <v>2456</v>
      </c>
      <c r="E44" s="0" t="s">
        <v>2457</v>
      </c>
      <c r="F44" s="0" t="s">
        <v>2375</v>
      </c>
      <c r="G44" s="0" t="s">
        <v>1198</v>
      </c>
    </row>
    <row customHeight="1" ht="11.25">
      <c r="A45" s="0" t="s">
        <v>14</v>
      </c>
      <c r="B45" s="0" t="s">
        <v>2450</v>
      </c>
      <c r="C45" s="0" t="s">
        <v>2451</v>
      </c>
      <c r="D45" s="0" t="s">
        <v>2458</v>
      </c>
      <c r="E45" s="0" t="s">
        <v>2459</v>
      </c>
      <c r="F45" s="0" t="s">
        <v>2375</v>
      </c>
      <c r="G45" s="0" t="s">
        <v>1204</v>
      </c>
    </row>
    <row customHeight="1" ht="11.25">
      <c r="A46" s="0" t="s">
        <v>14</v>
      </c>
      <c r="B46" s="0" t="s">
        <v>2450</v>
      </c>
      <c r="C46" s="0" t="s">
        <v>2451</v>
      </c>
      <c r="D46" s="0" t="s">
        <v>2460</v>
      </c>
      <c r="E46" s="0" t="s">
        <v>2461</v>
      </c>
      <c r="F46" s="0" t="s">
        <v>2375</v>
      </c>
      <c r="G46" s="0" t="s">
        <v>473</v>
      </c>
    </row>
    <row customHeight="1" ht="11.25">
      <c r="A47" s="0" t="s">
        <v>14</v>
      </c>
      <c r="B47" s="0" t="s">
        <v>2450</v>
      </c>
      <c r="C47" s="0" t="s">
        <v>2451</v>
      </c>
      <c r="D47" s="0" t="s">
        <v>2462</v>
      </c>
      <c r="E47" s="0" t="s">
        <v>2463</v>
      </c>
      <c r="F47" s="0" t="s">
        <v>2375</v>
      </c>
      <c r="G47" s="0" t="s">
        <v>1213</v>
      </c>
    </row>
    <row customHeight="1" ht="11.25">
      <c r="A48" s="0" t="s">
        <v>14</v>
      </c>
      <c r="B48" s="0" t="s">
        <v>2464</v>
      </c>
      <c r="C48" s="0" t="s">
        <v>2465</v>
      </c>
      <c r="D48" s="0" t="s">
        <v>2466</v>
      </c>
      <c r="E48" s="0" t="s">
        <v>2467</v>
      </c>
      <c r="F48" s="0" t="s">
        <v>2375</v>
      </c>
      <c r="G48" s="0" t="s">
        <v>720</v>
      </c>
    </row>
    <row customHeight="1" ht="11.25">
      <c r="A49" s="0" t="s">
        <v>14</v>
      </c>
      <c r="B49" s="0" t="s">
        <v>2464</v>
      </c>
      <c r="C49" s="0" t="s">
        <v>2465</v>
      </c>
      <c r="D49" s="0" t="s">
        <v>2468</v>
      </c>
      <c r="E49" s="0" t="s">
        <v>2469</v>
      </c>
      <c r="F49" s="0" t="s">
        <v>2375</v>
      </c>
      <c r="G49" s="0" t="s">
        <v>1222</v>
      </c>
    </row>
    <row customHeight="1" ht="11.25">
      <c r="A50" s="0" t="s">
        <v>14</v>
      </c>
      <c r="B50" s="0" t="s">
        <v>2464</v>
      </c>
      <c r="C50" s="0" t="s">
        <v>2465</v>
      </c>
      <c r="D50" s="0" t="s">
        <v>2470</v>
      </c>
      <c r="E50" s="0" t="s">
        <v>2471</v>
      </c>
      <c r="F50" s="0" t="s">
        <v>2375</v>
      </c>
      <c r="G50" s="0" t="s">
        <v>1226</v>
      </c>
    </row>
    <row customHeight="1" ht="11.25">
      <c r="A51" s="0" t="s">
        <v>14</v>
      </c>
      <c r="B51" s="0" t="s">
        <v>2464</v>
      </c>
      <c r="C51" s="0" t="s">
        <v>2465</v>
      </c>
      <c r="D51" s="0" t="s">
        <v>2472</v>
      </c>
      <c r="E51" s="0" t="s">
        <v>2473</v>
      </c>
      <c r="F51" s="0" t="s">
        <v>2375</v>
      </c>
      <c r="G51" s="0" t="s">
        <v>1230</v>
      </c>
    </row>
    <row customHeight="1" ht="11.25">
      <c r="A52" s="0" t="s">
        <v>14</v>
      </c>
      <c r="B52" s="0" t="s">
        <v>2464</v>
      </c>
      <c r="C52" s="0" t="s">
        <v>2465</v>
      </c>
      <c r="D52" s="0" t="s">
        <v>2474</v>
      </c>
      <c r="E52" s="0" t="s">
        <v>2475</v>
      </c>
      <c r="F52" s="0" t="s">
        <v>2375</v>
      </c>
      <c r="G52" s="0" t="s">
        <v>1234</v>
      </c>
    </row>
    <row customHeight="1" ht="11.25">
      <c r="A53" s="0" t="s">
        <v>14</v>
      </c>
      <c r="B53" s="0" t="s">
        <v>2464</v>
      </c>
      <c r="C53" s="0" t="s">
        <v>2465</v>
      </c>
      <c r="D53" s="0" t="s">
        <v>2464</v>
      </c>
      <c r="E53" s="0" t="s">
        <v>2465</v>
      </c>
      <c r="F53" s="0" t="s">
        <v>2379</v>
      </c>
      <c r="G53" s="0" t="s">
        <v>1235</v>
      </c>
    </row>
    <row customHeight="1" ht="11.25">
      <c r="A54" s="0" t="s">
        <v>14</v>
      </c>
      <c r="B54" s="0" t="s">
        <v>2464</v>
      </c>
      <c r="C54" s="0" t="s">
        <v>2465</v>
      </c>
      <c r="D54" s="0" t="s">
        <v>2476</v>
      </c>
      <c r="E54" s="0" t="s">
        <v>2477</v>
      </c>
      <c r="F54" s="0" t="s">
        <v>2375</v>
      </c>
      <c r="G54" s="0" t="s">
        <v>1238</v>
      </c>
    </row>
    <row customHeight="1" ht="11.25">
      <c r="A55" s="0" t="s">
        <v>14</v>
      </c>
      <c r="B55" s="0" t="s">
        <v>2464</v>
      </c>
      <c r="C55" s="0" t="s">
        <v>2465</v>
      </c>
      <c r="D55" s="0" t="s">
        <v>2478</v>
      </c>
      <c r="E55" s="0" t="s">
        <v>2479</v>
      </c>
      <c r="F55" s="0" t="s">
        <v>2375</v>
      </c>
      <c r="G55" s="0" t="s">
        <v>1242</v>
      </c>
    </row>
    <row customHeight="1" ht="11.25">
      <c r="A56" s="0" t="s">
        <v>14</v>
      </c>
      <c r="B56" s="0" t="s">
        <v>2480</v>
      </c>
      <c r="C56" s="0" t="s">
        <v>2481</v>
      </c>
      <c r="D56" s="0" t="s">
        <v>2482</v>
      </c>
      <c r="E56" s="0" t="s">
        <v>2483</v>
      </c>
      <c r="F56" s="0" t="s">
        <v>2375</v>
      </c>
      <c r="G56" s="0" t="s">
        <v>1245</v>
      </c>
    </row>
    <row customHeight="1" ht="11.25">
      <c r="A57" s="0" t="s">
        <v>14</v>
      </c>
      <c r="B57" s="0" t="s">
        <v>2480</v>
      </c>
      <c r="C57" s="0" t="s">
        <v>2481</v>
      </c>
      <c r="D57" s="0" t="s">
        <v>2484</v>
      </c>
      <c r="E57" s="0" t="s">
        <v>2485</v>
      </c>
      <c r="F57" s="0" t="s">
        <v>2375</v>
      </c>
      <c r="G57" s="0" t="s">
        <v>1248</v>
      </c>
    </row>
    <row customHeight="1" ht="11.25">
      <c r="A58" s="0" t="s">
        <v>14</v>
      </c>
      <c r="B58" s="0" t="s">
        <v>2480</v>
      </c>
      <c r="C58" s="0" t="s">
        <v>2481</v>
      </c>
      <c r="D58" s="0" t="s">
        <v>2486</v>
      </c>
      <c r="E58" s="0" t="s">
        <v>2487</v>
      </c>
      <c r="F58" s="0" t="s">
        <v>2375</v>
      </c>
      <c r="G58" s="0" t="s">
        <v>1251</v>
      </c>
    </row>
    <row customHeight="1" ht="11.25">
      <c r="A59" s="0" t="s">
        <v>14</v>
      </c>
      <c r="B59" s="0" t="s">
        <v>2480</v>
      </c>
      <c r="C59" s="0" t="s">
        <v>2481</v>
      </c>
      <c r="D59" s="0" t="s">
        <v>2488</v>
      </c>
      <c r="E59" s="0" t="s">
        <v>2489</v>
      </c>
      <c r="F59" s="0" t="s">
        <v>2375</v>
      </c>
      <c r="G59" s="0" t="s">
        <v>1255</v>
      </c>
    </row>
    <row customHeight="1" ht="11.25">
      <c r="A60" s="0" t="s">
        <v>14</v>
      </c>
      <c r="B60" s="0" t="s">
        <v>2480</v>
      </c>
      <c r="C60" s="0" t="s">
        <v>2481</v>
      </c>
      <c r="D60" s="0" t="s">
        <v>2490</v>
      </c>
      <c r="E60" s="0" t="s">
        <v>2491</v>
      </c>
      <c r="F60" s="0" t="s">
        <v>2375</v>
      </c>
      <c r="G60" s="0" t="s">
        <v>1258</v>
      </c>
    </row>
    <row customHeight="1" ht="11.25">
      <c r="A61" s="0" t="s">
        <v>14</v>
      </c>
      <c r="B61" s="0" t="s">
        <v>2480</v>
      </c>
      <c r="C61" s="0" t="s">
        <v>2481</v>
      </c>
      <c r="D61" s="0" t="s">
        <v>2492</v>
      </c>
      <c r="E61" s="0" t="s">
        <v>2493</v>
      </c>
      <c r="F61" s="0" t="s">
        <v>2375</v>
      </c>
      <c r="G61" s="0" t="s">
        <v>2494</v>
      </c>
    </row>
    <row customHeight="1" ht="11.25">
      <c r="A62" s="0" t="s">
        <v>14</v>
      </c>
      <c r="B62" s="0" t="s">
        <v>2480</v>
      </c>
      <c r="C62" s="0" t="s">
        <v>2481</v>
      </c>
      <c r="D62" s="0" t="s">
        <v>2480</v>
      </c>
      <c r="E62" s="0" t="s">
        <v>2481</v>
      </c>
      <c r="F62" s="0" t="s">
        <v>2379</v>
      </c>
      <c r="G62" s="0" t="s">
        <v>2495</v>
      </c>
    </row>
    <row customHeight="1" ht="11.25">
      <c r="A63" s="0" t="s">
        <v>14</v>
      </c>
      <c r="B63" s="0" t="s">
        <v>2480</v>
      </c>
      <c r="C63" s="0" t="s">
        <v>2481</v>
      </c>
      <c r="D63" s="0" t="s">
        <v>2496</v>
      </c>
      <c r="E63" s="0" t="s">
        <v>2497</v>
      </c>
      <c r="F63" s="0" t="s">
        <v>2375</v>
      </c>
      <c r="G63" s="0" t="s">
        <v>2498</v>
      </c>
    </row>
    <row customHeight="1" ht="11.25">
      <c r="A64" s="0" t="s">
        <v>14</v>
      </c>
      <c r="B64" s="0" t="s">
        <v>2480</v>
      </c>
      <c r="C64" s="0" t="s">
        <v>2481</v>
      </c>
      <c r="D64" s="0" t="s">
        <v>2499</v>
      </c>
      <c r="E64" s="0" t="s">
        <v>2500</v>
      </c>
      <c r="F64" s="0" t="s">
        <v>2375</v>
      </c>
      <c r="G64" s="0" t="s">
        <v>2501</v>
      </c>
    </row>
    <row customHeight="1" ht="11.25">
      <c r="A65" s="0" t="s">
        <v>14</v>
      </c>
      <c r="B65" s="0" t="s">
        <v>2502</v>
      </c>
      <c r="C65" s="0" t="s">
        <v>2503</v>
      </c>
      <c r="D65" s="0" t="s">
        <v>2504</v>
      </c>
      <c r="E65" s="0" t="s">
        <v>2505</v>
      </c>
      <c r="F65" s="0" t="s">
        <v>2375</v>
      </c>
      <c r="G65" s="0" t="s">
        <v>2506</v>
      </c>
    </row>
    <row customHeight="1" ht="11.25">
      <c r="A66" s="0" t="s">
        <v>14</v>
      </c>
      <c r="B66" s="0" t="s">
        <v>2502</v>
      </c>
      <c r="C66" s="0" t="s">
        <v>2503</v>
      </c>
      <c r="D66" s="0" t="s">
        <v>2507</v>
      </c>
      <c r="E66" s="0" t="s">
        <v>2508</v>
      </c>
      <c r="F66" s="0" t="s">
        <v>2375</v>
      </c>
      <c r="G66" s="0" t="s">
        <v>2509</v>
      </c>
    </row>
    <row customHeight="1" ht="11.25">
      <c r="A67" s="0" t="s">
        <v>14</v>
      </c>
      <c r="B67" s="0" t="s">
        <v>2502</v>
      </c>
      <c r="C67" s="0" t="s">
        <v>2503</v>
      </c>
      <c r="D67" s="0" t="s">
        <v>2510</v>
      </c>
      <c r="E67" s="0" t="s">
        <v>2511</v>
      </c>
      <c r="F67" s="0" t="s">
        <v>2375</v>
      </c>
      <c r="G67" s="0" t="s">
        <v>474</v>
      </c>
    </row>
    <row customHeight="1" ht="11.25">
      <c r="A68" s="0" t="s">
        <v>14</v>
      </c>
      <c r="B68" s="0" t="s">
        <v>2502</v>
      </c>
      <c r="C68" s="0" t="s">
        <v>2503</v>
      </c>
      <c r="D68" s="0" t="s">
        <v>2512</v>
      </c>
      <c r="E68" s="0" t="s">
        <v>2513</v>
      </c>
      <c r="F68" s="0" t="s">
        <v>2375</v>
      </c>
      <c r="G68" s="0" t="s">
        <v>2514</v>
      </c>
    </row>
    <row customHeight="1" ht="11.25">
      <c r="A69" s="0" t="s">
        <v>14</v>
      </c>
      <c r="B69" s="0" t="s">
        <v>2502</v>
      </c>
      <c r="C69" s="0" t="s">
        <v>2503</v>
      </c>
      <c r="D69" s="0" t="s">
        <v>2515</v>
      </c>
      <c r="E69" s="0" t="s">
        <v>2516</v>
      </c>
      <c r="F69" s="0" t="s">
        <v>2375</v>
      </c>
      <c r="G69" s="0" t="s">
        <v>721</v>
      </c>
    </row>
    <row customHeight="1" ht="11.25">
      <c r="A70" s="0" t="s">
        <v>14</v>
      </c>
      <c r="B70" s="0" t="s">
        <v>2502</v>
      </c>
      <c r="C70" s="0" t="s">
        <v>2503</v>
      </c>
      <c r="D70" s="0" t="s">
        <v>2517</v>
      </c>
      <c r="E70" s="0" t="s">
        <v>2518</v>
      </c>
      <c r="F70" s="0" t="s">
        <v>2375</v>
      </c>
      <c r="G70" s="0" t="s">
        <v>2519</v>
      </c>
    </row>
    <row customHeight="1" ht="11.25">
      <c r="A71" s="0" t="s">
        <v>14</v>
      </c>
      <c r="B71" s="0" t="s">
        <v>2502</v>
      </c>
      <c r="C71" s="0" t="s">
        <v>2503</v>
      </c>
      <c r="D71" s="0" t="s">
        <v>2520</v>
      </c>
      <c r="E71" s="0" t="s">
        <v>2521</v>
      </c>
      <c r="F71" s="0" t="s">
        <v>2375</v>
      </c>
      <c r="G71" s="0" t="s">
        <v>2522</v>
      </c>
    </row>
    <row customHeight="1" ht="11.25">
      <c r="A72" s="0" t="s">
        <v>14</v>
      </c>
      <c r="B72" s="0" t="s">
        <v>2502</v>
      </c>
      <c r="C72" s="0" t="s">
        <v>2503</v>
      </c>
      <c r="D72" s="0" t="s">
        <v>2502</v>
      </c>
      <c r="E72" s="0" t="s">
        <v>2503</v>
      </c>
      <c r="F72" s="0" t="s">
        <v>2379</v>
      </c>
      <c r="G72" s="0" t="s">
        <v>2523</v>
      </c>
    </row>
    <row customHeight="1" ht="11.25">
      <c r="A73" s="0" t="s">
        <v>14</v>
      </c>
      <c r="B73" s="0" t="s">
        <v>2502</v>
      </c>
      <c r="C73" s="0" t="s">
        <v>2503</v>
      </c>
      <c r="D73" s="0" t="s">
        <v>2524</v>
      </c>
      <c r="E73" s="0" t="s">
        <v>2525</v>
      </c>
      <c r="F73" s="0" t="s">
        <v>2375</v>
      </c>
      <c r="G73" s="0" t="s">
        <v>2526</v>
      </c>
    </row>
    <row customHeight="1" ht="11.25">
      <c r="A74" s="0" t="s">
        <v>14</v>
      </c>
      <c r="B74" s="0" t="s">
        <v>2502</v>
      </c>
      <c r="C74" s="0" t="s">
        <v>2503</v>
      </c>
      <c r="D74" s="0" t="s">
        <v>2527</v>
      </c>
      <c r="E74" s="0" t="s">
        <v>2528</v>
      </c>
      <c r="F74" s="0" t="s">
        <v>2375</v>
      </c>
      <c r="G74" s="0" t="s">
        <v>2529</v>
      </c>
    </row>
    <row customHeight="1" ht="11.25">
      <c r="A75" s="0" t="s">
        <v>14</v>
      </c>
      <c r="B75" s="0" t="s">
        <v>2530</v>
      </c>
      <c r="C75" s="0" t="s">
        <v>2531</v>
      </c>
      <c r="D75" s="0" t="s">
        <v>2532</v>
      </c>
      <c r="E75" s="0" t="s">
        <v>2533</v>
      </c>
      <c r="F75" s="0" t="s">
        <v>2375</v>
      </c>
      <c r="G75" s="0" t="s">
        <v>2534</v>
      </c>
    </row>
    <row customHeight="1" ht="11.25">
      <c r="A76" s="0" t="s">
        <v>14</v>
      </c>
      <c r="B76" s="0" t="s">
        <v>2530</v>
      </c>
      <c r="C76" s="0" t="s">
        <v>2531</v>
      </c>
      <c r="D76" s="0" t="s">
        <v>2535</v>
      </c>
      <c r="E76" s="0" t="s">
        <v>2536</v>
      </c>
      <c r="F76" s="0" t="s">
        <v>2375</v>
      </c>
      <c r="G76" s="0" t="s">
        <v>2537</v>
      </c>
    </row>
    <row customHeight="1" ht="11.25">
      <c r="A77" s="0" t="s">
        <v>14</v>
      </c>
      <c r="B77" s="0" t="s">
        <v>2530</v>
      </c>
      <c r="C77" s="0" t="s">
        <v>2531</v>
      </c>
      <c r="D77" s="0" t="s">
        <v>2538</v>
      </c>
      <c r="E77" s="0" t="s">
        <v>2539</v>
      </c>
      <c r="F77" s="0" t="s">
        <v>2375</v>
      </c>
      <c r="G77" s="0" t="s">
        <v>2540</v>
      </c>
    </row>
    <row customHeight="1" ht="11.25">
      <c r="A78" s="0" t="s">
        <v>14</v>
      </c>
      <c r="B78" s="0" t="s">
        <v>2530</v>
      </c>
      <c r="C78" s="0" t="s">
        <v>2531</v>
      </c>
      <c r="D78" s="0" t="s">
        <v>2541</v>
      </c>
      <c r="E78" s="0" t="s">
        <v>2542</v>
      </c>
      <c r="F78" s="0" t="s">
        <v>2375</v>
      </c>
      <c r="G78" s="0" t="s">
        <v>2543</v>
      </c>
    </row>
    <row customHeight="1" ht="11.25">
      <c r="A79" s="0" t="s">
        <v>14</v>
      </c>
      <c r="B79" s="0" t="s">
        <v>2530</v>
      </c>
      <c r="C79" s="0" t="s">
        <v>2531</v>
      </c>
      <c r="D79" s="0" t="s">
        <v>2544</v>
      </c>
      <c r="E79" s="0" t="s">
        <v>2545</v>
      </c>
      <c r="F79" s="0" t="s">
        <v>2375</v>
      </c>
      <c r="G79" s="0" t="s">
        <v>2546</v>
      </c>
    </row>
    <row customHeight="1" ht="11.25">
      <c r="A80" s="0" t="s">
        <v>14</v>
      </c>
      <c r="B80" s="0" t="s">
        <v>2530</v>
      </c>
      <c r="C80" s="0" t="s">
        <v>2531</v>
      </c>
      <c r="D80" s="0" t="s">
        <v>2547</v>
      </c>
      <c r="E80" s="0" t="s">
        <v>2548</v>
      </c>
      <c r="F80" s="0" t="s">
        <v>2375</v>
      </c>
      <c r="G80" s="0" t="s">
        <v>2549</v>
      </c>
    </row>
    <row customHeight="1" ht="11.25">
      <c r="A81" s="0" t="s">
        <v>14</v>
      </c>
      <c r="B81" s="0" t="s">
        <v>2530</v>
      </c>
      <c r="C81" s="0" t="s">
        <v>2531</v>
      </c>
      <c r="D81" s="0" t="s">
        <v>2550</v>
      </c>
      <c r="E81" s="0" t="s">
        <v>2551</v>
      </c>
      <c r="F81" s="0" t="s">
        <v>2375</v>
      </c>
      <c r="G81" s="0" t="s">
        <v>2552</v>
      </c>
    </row>
    <row customHeight="1" ht="11.25">
      <c r="A82" s="0" t="s">
        <v>14</v>
      </c>
      <c r="B82" s="0" t="s">
        <v>2530</v>
      </c>
      <c r="C82" s="0" t="s">
        <v>2531</v>
      </c>
      <c r="D82" s="0" t="s">
        <v>2553</v>
      </c>
      <c r="E82" s="0" t="s">
        <v>2554</v>
      </c>
      <c r="F82" s="0" t="s">
        <v>2375</v>
      </c>
      <c r="G82" s="0" t="s">
        <v>2555</v>
      </c>
    </row>
    <row customHeight="1" ht="11.25">
      <c r="A83" s="0" t="s">
        <v>14</v>
      </c>
      <c r="B83" s="0" t="s">
        <v>2530</v>
      </c>
      <c r="C83" s="0" t="s">
        <v>2531</v>
      </c>
      <c r="D83" s="0" t="s">
        <v>2556</v>
      </c>
      <c r="E83" s="0" t="s">
        <v>2557</v>
      </c>
      <c r="F83" s="0" t="s">
        <v>2375</v>
      </c>
      <c r="G83" s="0" t="s">
        <v>2558</v>
      </c>
    </row>
    <row customHeight="1" ht="11.25">
      <c r="A84" s="0" t="s">
        <v>14</v>
      </c>
      <c r="B84" s="0" t="s">
        <v>2530</v>
      </c>
      <c r="C84" s="0" t="s">
        <v>2531</v>
      </c>
      <c r="D84" s="0" t="s">
        <v>2530</v>
      </c>
      <c r="E84" s="0" t="s">
        <v>2531</v>
      </c>
      <c r="F84" s="0" t="s">
        <v>2379</v>
      </c>
      <c r="G84" s="0" t="s">
        <v>2559</v>
      </c>
    </row>
    <row customHeight="1" ht="11.25">
      <c r="A85" s="0" t="s">
        <v>14</v>
      </c>
      <c r="B85" s="0" t="s">
        <v>2530</v>
      </c>
      <c r="C85" s="0" t="s">
        <v>2531</v>
      </c>
      <c r="D85" s="0" t="s">
        <v>2560</v>
      </c>
      <c r="E85" s="0" t="s">
        <v>2561</v>
      </c>
      <c r="F85" s="0" t="s">
        <v>2375</v>
      </c>
      <c r="G85" s="0" t="s">
        <v>2562</v>
      </c>
    </row>
    <row customHeight="1" ht="11.25">
      <c r="A86" s="0" t="s">
        <v>14</v>
      </c>
      <c r="B86" s="0" t="s">
        <v>2530</v>
      </c>
      <c r="C86" s="0" t="s">
        <v>2531</v>
      </c>
      <c r="D86" s="0" t="s">
        <v>2563</v>
      </c>
      <c r="E86" s="0" t="s">
        <v>2564</v>
      </c>
      <c r="F86" s="0" t="s">
        <v>2375</v>
      </c>
      <c r="G86" s="0" t="s">
        <v>2565</v>
      </c>
    </row>
    <row customHeight="1" ht="11.25">
      <c r="A87" s="0" t="s">
        <v>14</v>
      </c>
      <c r="B87" s="0" t="s">
        <v>2566</v>
      </c>
      <c r="C87" s="0" t="s">
        <v>2567</v>
      </c>
      <c r="D87" s="0" t="s">
        <v>2568</v>
      </c>
      <c r="E87" s="0" t="s">
        <v>2569</v>
      </c>
      <c r="F87" s="0" t="s">
        <v>2375</v>
      </c>
      <c r="G87" s="0" t="s">
        <v>2570</v>
      </c>
    </row>
    <row customHeight="1" ht="11.25">
      <c r="A88" s="0" t="s">
        <v>14</v>
      </c>
      <c r="B88" s="0" t="s">
        <v>2566</v>
      </c>
      <c r="C88" s="0" t="s">
        <v>2567</v>
      </c>
      <c r="D88" s="0" t="s">
        <v>2571</v>
      </c>
      <c r="E88" s="0" t="s">
        <v>2572</v>
      </c>
      <c r="F88" s="0" t="s">
        <v>2375</v>
      </c>
      <c r="G88" s="0" t="s">
        <v>2573</v>
      </c>
    </row>
    <row customHeight="1" ht="11.25">
      <c r="A89" s="0" t="s">
        <v>14</v>
      </c>
      <c r="B89" s="0" t="s">
        <v>2566</v>
      </c>
      <c r="C89" s="0" t="s">
        <v>2567</v>
      </c>
      <c r="D89" s="0" t="s">
        <v>2574</v>
      </c>
      <c r="E89" s="0" t="s">
        <v>2575</v>
      </c>
      <c r="F89" s="0" t="s">
        <v>2375</v>
      </c>
      <c r="G89" s="0" t="s">
        <v>2576</v>
      </c>
    </row>
    <row customHeight="1" ht="11.25">
      <c r="A90" s="0" t="s">
        <v>14</v>
      </c>
      <c r="B90" s="0" t="s">
        <v>2566</v>
      </c>
      <c r="C90" s="0" t="s">
        <v>2567</v>
      </c>
      <c r="D90" s="0" t="s">
        <v>2577</v>
      </c>
      <c r="E90" s="0" t="s">
        <v>2578</v>
      </c>
      <c r="F90" s="0" t="s">
        <v>2375</v>
      </c>
      <c r="G90" s="0" t="s">
        <v>2579</v>
      </c>
    </row>
    <row customHeight="1" ht="11.25">
      <c r="A91" s="0" t="s">
        <v>14</v>
      </c>
      <c r="B91" s="0" t="s">
        <v>2566</v>
      </c>
      <c r="C91" s="0" t="s">
        <v>2567</v>
      </c>
      <c r="D91" s="0" t="s">
        <v>2580</v>
      </c>
      <c r="E91" s="0" t="s">
        <v>2581</v>
      </c>
      <c r="F91" s="0" t="s">
        <v>2375</v>
      </c>
      <c r="G91" s="0" t="s">
        <v>2582</v>
      </c>
    </row>
    <row customHeight="1" ht="11.25">
      <c r="A92" s="0" t="s">
        <v>14</v>
      </c>
      <c r="B92" s="0" t="s">
        <v>2566</v>
      </c>
      <c r="C92" s="0" t="s">
        <v>2567</v>
      </c>
      <c r="D92" s="0" t="s">
        <v>2583</v>
      </c>
      <c r="E92" s="0" t="s">
        <v>2584</v>
      </c>
      <c r="F92" s="0" t="s">
        <v>2375</v>
      </c>
      <c r="G92" s="0" t="s">
        <v>2585</v>
      </c>
    </row>
    <row customHeight="1" ht="11.25">
      <c r="A93" s="0" t="s">
        <v>14</v>
      </c>
      <c r="B93" s="0" t="s">
        <v>2566</v>
      </c>
      <c r="C93" s="0" t="s">
        <v>2567</v>
      </c>
      <c r="D93" s="0" t="s">
        <v>2586</v>
      </c>
      <c r="E93" s="0" t="s">
        <v>2587</v>
      </c>
      <c r="F93" s="0" t="s">
        <v>2375</v>
      </c>
      <c r="G93" s="0" t="s">
        <v>2588</v>
      </c>
    </row>
    <row customHeight="1" ht="11.25">
      <c r="A94" s="0" t="s">
        <v>14</v>
      </c>
      <c r="B94" s="0" t="s">
        <v>2566</v>
      </c>
      <c r="C94" s="0" t="s">
        <v>2567</v>
      </c>
      <c r="D94" s="0" t="s">
        <v>2589</v>
      </c>
      <c r="E94" s="0" t="s">
        <v>2590</v>
      </c>
      <c r="F94" s="0" t="s">
        <v>2375</v>
      </c>
      <c r="G94" s="0" t="s">
        <v>2591</v>
      </c>
    </row>
    <row customHeight="1" ht="11.25">
      <c r="A95" s="0" t="s">
        <v>14</v>
      </c>
      <c r="B95" s="0" t="s">
        <v>2566</v>
      </c>
      <c r="C95" s="0" t="s">
        <v>2567</v>
      </c>
      <c r="D95" s="0" t="s">
        <v>2566</v>
      </c>
      <c r="E95" s="0" t="s">
        <v>2567</v>
      </c>
      <c r="F95" s="0" t="s">
        <v>2379</v>
      </c>
      <c r="G95" s="0" t="s">
        <v>2592</v>
      </c>
    </row>
    <row customHeight="1" ht="11.25">
      <c r="A96" s="0" t="s">
        <v>14</v>
      </c>
      <c r="B96" s="0" t="s">
        <v>2593</v>
      </c>
      <c r="C96" s="0" t="s">
        <v>2594</v>
      </c>
      <c r="D96" s="0" t="s">
        <v>2595</v>
      </c>
      <c r="E96" s="0" t="s">
        <v>2596</v>
      </c>
      <c r="F96" s="0" t="s">
        <v>2375</v>
      </c>
      <c r="G96" s="0" t="s">
        <v>2597</v>
      </c>
    </row>
    <row customHeight="1" ht="11.25">
      <c r="A97" s="0" t="s">
        <v>14</v>
      </c>
      <c r="B97" s="0" t="s">
        <v>2593</v>
      </c>
      <c r="C97" s="0" t="s">
        <v>2594</v>
      </c>
      <c r="D97" s="0" t="s">
        <v>2598</v>
      </c>
      <c r="E97" s="0" t="s">
        <v>2599</v>
      </c>
      <c r="F97" s="0" t="s">
        <v>2375</v>
      </c>
      <c r="G97" s="0" t="s">
        <v>2600</v>
      </c>
    </row>
    <row customHeight="1" ht="11.25">
      <c r="A98" s="0" t="s">
        <v>14</v>
      </c>
      <c r="B98" s="0" t="s">
        <v>2593</v>
      </c>
      <c r="C98" s="0" t="s">
        <v>2594</v>
      </c>
      <c r="D98" s="0" t="s">
        <v>2601</v>
      </c>
      <c r="E98" s="0" t="s">
        <v>2602</v>
      </c>
      <c r="F98" s="0" t="s">
        <v>2375</v>
      </c>
      <c r="G98" s="0" t="s">
        <v>2603</v>
      </c>
    </row>
    <row customHeight="1" ht="11.25">
      <c r="A99" s="0" t="s">
        <v>14</v>
      </c>
      <c r="B99" s="0" t="s">
        <v>2593</v>
      </c>
      <c r="C99" s="0" t="s">
        <v>2594</v>
      </c>
      <c r="D99" s="0" t="s">
        <v>2604</v>
      </c>
      <c r="E99" s="0" t="s">
        <v>2605</v>
      </c>
      <c r="F99" s="0" t="s">
        <v>2375</v>
      </c>
      <c r="G99" s="0" t="s">
        <v>2606</v>
      </c>
    </row>
    <row customHeight="1" ht="11.25">
      <c r="A100" s="0" t="s">
        <v>14</v>
      </c>
      <c r="B100" s="0" t="s">
        <v>2593</v>
      </c>
      <c r="C100" s="0" t="s">
        <v>2594</v>
      </c>
      <c r="D100" s="0" t="s">
        <v>2607</v>
      </c>
      <c r="E100" s="0" t="s">
        <v>2608</v>
      </c>
      <c r="F100" s="0" t="s">
        <v>2375</v>
      </c>
      <c r="G100" s="0" t="s">
        <v>2609</v>
      </c>
    </row>
    <row customHeight="1" ht="11.25">
      <c r="A101" s="0" t="s">
        <v>14</v>
      </c>
      <c r="B101" s="0" t="s">
        <v>2593</v>
      </c>
      <c r="C101" s="0" t="s">
        <v>2594</v>
      </c>
      <c r="D101" s="0" t="s">
        <v>2610</v>
      </c>
      <c r="E101" s="0" t="s">
        <v>2611</v>
      </c>
      <c r="F101" s="0" t="s">
        <v>2375</v>
      </c>
      <c r="G101" s="0" t="s">
        <v>2612</v>
      </c>
    </row>
    <row customHeight="1" ht="11.25">
      <c r="A102" s="0" t="s">
        <v>14</v>
      </c>
      <c r="B102" s="0" t="s">
        <v>2593</v>
      </c>
      <c r="C102" s="0" t="s">
        <v>2594</v>
      </c>
      <c r="D102" s="0" t="s">
        <v>2593</v>
      </c>
      <c r="E102" s="0" t="s">
        <v>2594</v>
      </c>
      <c r="F102" s="0" t="s">
        <v>2379</v>
      </c>
      <c r="G102" s="0" t="s">
        <v>2613</v>
      </c>
    </row>
    <row customHeight="1" ht="11.25">
      <c r="A103" s="0" t="s">
        <v>14</v>
      </c>
      <c r="B103" s="0" t="s">
        <v>2593</v>
      </c>
      <c r="C103" s="0" t="s">
        <v>2594</v>
      </c>
      <c r="D103" s="0" t="s">
        <v>2614</v>
      </c>
      <c r="E103" s="0" t="s">
        <v>2615</v>
      </c>
      <c r="F103" s="0" t="s">
        <v>2375</v>
      </c>
      <c r="G103" s="0" t="s">
        <v>2616</v>
      </c>
    </row>
    <row customHeight="1" ht="11.25">
      <c r="A104" s="0" t="s">
        <v>14</v>
      </c>
      <c r="B104" s="0" t="s">
        <v>2617</v>
      </c>
      <c r="C104" s="0" t="s">
        <v>2618</v>
      </c>
      <c r="D104" s="0" t="s">
        <v>2619</v>
      </c>
      <c r="E104" s="0" t="s">
        <v>2620</v>
      </c>
      <c r="F104" s="0" t="s">
        <v>2375</v>
      </c>
      <c r="G104" s="0" t="s">
        <v>2621</v>
      </c>
    </row>
    <row customHeight="1" ht="11.25">
      <c r="A105" s="0" t="s">
        <v>14</v>
      </c>
      <c r="B105" s="0" t="s">
        <v>2617</v>
      </c>
      <c r="C105" s="0" t="s">
        <v>2618</v>
      </c>
      <c r="D105" s="0" t="s">
        <v>2622</v>
      </c>
      <c r="E105" s="0" t="s">
        <v>2623</v>
      </c>
      <c r="F105" s="0" t="s">
        <v>2375</v>
      </c>
      <c r="G105" s="0" t="s">
        <v>2624</v>
      </c>
    </row>
    <row customHeight="1" ht="11.25">
      <c r="A106" s="0" t="s">
        <v>14</v>
      </c>
      <c r="B106" s="0" t="s">
        <v>2617</v>
      </c>
      <c r="C106" s="0" t="s">
        <v>2618</v>
      </c>
      <c r="D106" s="0" t="s">
        <v>2625</v>
      </c>
      <c r="E106" s="0" t="s">
        <v>2626</v>
      </c>
      <c r="F106" s="0" t="s">
        <v>2375</v>
      </c>
      <c r="G106" s="0" t="s">
        <v>2627</v>
      </c>
    </row>
    <row customHeight="1" ht="11.25">
      <c r="A107" s="0" t="s">
        <v>14</v>
      </c>
      <c r="B107" s="0" t="s">
        <v>2617</v>
      </c>
      <c r="C107" s="0" t="s">
        <v>2618</v>
      </c>
      <c r="D107" s="0" t="s">
        <v>2628</v>
      </c>
      <c r="E107" s="0" t="s">
        <v>2629</v>
      </c>
      <c r="F107" s="0" t="s">
        <v>2375</v>
      </c>
      <c r="G107" s="0" t="s">
        <v>2630</v>
      </c>
    </row>
    <row customHeight="1" ht="11.25">
      <c r="A108" s="0" t="s">
        <v>14</v>
      </c>
      <c r="B108" s="0" t="s">
        <v>2617</v>
      </c>
      <c r="C108" s="0" t="s">
        <v>2618</v>
      </c>
      <c r="D108" s="0" t="s">
        <v>2631</v>
      </c>
      <c r="E108" s="0" t="s">
        <v>2632</v>
      </c>
      <c r="F108" s="0" t="s">
        <v>2375</v>
      </c>
      <c r="G108" s="0" t="s">
        <v>2633</v>
      </c>
    </row>
    <row customHeight="1" ht="11.25">
      <c r="A109" s="0" t="s">
        <v>14</v>
      </c>
      <c r="B109" s="0" t="s">
        <v>2617</v>
      </c>
      <c r="C109" s="0" t="s">
        <v>2618</v>
      </c>
      <c r="D109" s="0" t="s">
        <v>2402</v>
      </c>
      <c r="E109" s="0" t="s">
        <v>2634</v>
      </c>
      <c r="F109" s="0" t="s">
        <v>2375</v>
      </c>
      <c r="G109" s="0" t="s">
        <v>2635</v>
      </c>
    </row>
    <row customHeight="1" ht="11.25">
      <c r="A110" s="0" t="s">
        <v>14</v>
      </c>
      <c r="B110" s="0" t="s">
        <v>2617</v>
      </c>
      <c r="C110" s="0" t="s">
        <v>2618</v>
      </c>
      <c r="D110" s="0" t="s">
        <v>2488</v>
      </c>
      <c r="E110" s="0" t="s">
        <v>2636</v>
      </c>
      <c r="F110" s="0" t="s">
        <v>2375</v>
      </c>
      <c r="G110" s="0" t="s">
        <v>2637</v>
      </c>
    </row>
    <row customHeight="1" ht="11.25">
      <c r="A111" s="0" t="s">
        <v>14</v>
      </c>
      <c r="B111" s="0" t="s">
        <v>2617</v>
      </c>
      <c r="C111" s="0" t="s">
        <v>2618</v>
      </c>
      <c r="D111" s="0" t="s">
        <v>2638</v>
      </c>
      <c r="E111" s="0" t="s">
        <v>2639</v>
      </c>
      <c r="F111" s="0" t="s">
        <v>2375</v>
      </c>
      <c r="G111" s="0" t="s">
        <v>2640</v>
      </c>
    </row>
    <row customHeight="1" ht="11.25">
      <c r="A112" s="0" t="s">
        <v>14</v>
      </c>
      <c r="B112" s="0" t="s">
        <v>2617</v>
      </c>
      <c r="C112" s="0" t="s">
        <v>2618</v>
      </c>
      <c r="D112" s="0" t="s">
        <v>2641</v>
      </c>
      <c r="E112" s="0" t="s">
        <v>2642</v>
      </c>
      <c r="F112" s="0" t="s">
        <v>2375</v>
      </c>
      <c r="G112" s="0" t="s">
        <v>2643</v>
      </c>
    </row>
    <row customHeight="1" ht="11.25">
      <c r="A113" s="0" t="s">
        <v>14</v>
      </c>
      <c r="B113" s="0" t="s">
        <v>2617</v>
      </c>
      <c r="C113" s="0" t="s">
        <v>2618</v>
      </c>
      <c r="D113" s="0" t="s">
        <v>2644</v>
      </c>
      <c r="E113" s="0" t="s">
        <v>2645</v>
      </c>
      <c r="F113" s="0" t="s">
        <v>2375</v>
      </c>
      <c r="G113" s="0" t="s">
        <v>2646</v>
      </c>
    </row>
    <row customHeight="1" ht="11.25">
      <c r="A114" s="0" t="s">
        <v>14</v>
      </c>
      <c r="B114" s="0" t="s">
        <v>2617</v>
      </c>
      <c r="C114" s="0" t="s">
        <v>2618</v>
      </c>
      <c r="D114" s="0" t="s">
        <v>2617</v>
      </c>
      <c r="E114" s="0" t="s">
        <v>2618</v>
      </c>
      <c r="F114" s="0" t="s">
        <v>2379</v>
      </c>
      <c r="G114" s="0" t="s">
        <v>2647</v>
      </c>
    </row>
    <row customHeight="1" ht="11.25">
      <c r="A115" s="0" t="s">
        <v>14</v>
      </c>
      <c r="B115" s="0" t="s">
        <v>2617</v>
      </c>
      <c r="C115" s="0" t="s">
        <v>2618</v>
      </c>
      <c r="D115" s="0" t="s">
        <v>2648</v>
      </c>
      <c r="E115" s="0" t="s">
        <v>2649</v>
      </c>
      <c r="F115" s="0" t="s">
        <v>2375</v>
      </c>
      <c r="G115" s="0" t="s">
        <v>2650</v>
      </c>
    </row>
    <row customHeight="1" ht="11.25">
      <c r="A116" s="0" t="s">
        <v>14</v>
      </c>
      <c r="B116" s="0" t="s">
        <v>2651</v>
      </c>
      <c r="C116" s="0" t="s">
        <v>2652</v>
      </c>
      <c r="D116" s="0" t="s">
        <v>2653</v>
      </c>
      <c r="E116" s="0" t="s">
        <v>2654</v>
      </c>
      <c r="F116" s="0" t="s">
        <v>2375</v>
      </c>
      <c r="G116" s="0" t="s">
        <v>2655</v>
      </c>
    </row>
    <row customHeight="1" ht="11.25">
      <c r="A117" s="0" t="s">
        <v>14</v>
      </c>
      <c r="B117" s="0" t="s">
        <v>2651</v>
      </c>
      <c r="C117" s="0" t="s">
        <v>2652</v>
      </c>
      <c r="D117" s="0" t="s">
        <v>2656</v>
      </c>
      <c r="E117" s="0" t="s">
        <v>2657</v>
      </c>
      <c r="F117" s="0" t="s">
        <v>2375</v>
      </c>
      <c r="G117" s="0" t="s">
        <v>2658</v>
      </c>
    </row>
    <row customHeight="1" ht="11.25">
      <c r="A118" s="0" t="s">
        <v>14</v>
      </c>
      <c r="B118" s="0" t="s">
        <v>2651</v>
      </c>
      <c r="C118" s="0" t="s">
        <v>2652</v>
      </c>
      <c r="D118" s="0" t="s">
        <v>2659</v>
      </c>
      <c r="E118" s="0" t="s">
        <v>2660</v>
      </c>
      <c r="F118" s="0" t="s">
        <v>2375</v>
      </c>
      <c r="G118" s="0" t="s">
        <v>2661</v>
      </c>
    </row>
    <row customHeight="1" ht="11.25">
      <c r="A119" s="0" t="s">
        <v>14</v>
      </c>
      <c r="B119" s="0" t="s">
        <v>2651</v>
      </c>
      <c r="C119" s="0" t="s">
        <v>2652</v>
      </c>
      <c r="D119" s="0" t="s">
        <v>2662</v>
      </c>
      <c r="E119" s="0" t="s">
        <v>2663</v>
      </c>
      <c r="F119" s="0" t="s">
        <v>2375</v>
      </c>
      <c r="G119" s="0" t="s">
        <v>2664</v>
      </c>
    </row>
    <row customHeight="1" ht="11.25">
      <c r="A120" s="0" t="s">
        <v>14</v>
      </c>
      <c r="B120" s="0" t="s">
        <v>2651</v>
      </c>
      <c r="C120" s="0" t="s">
        <v>2652</v>
      </c>
      <c r="D120" s="0" t="s">
        <v>2665</v>
      </c>
      <c r="E120" s="0" t="s">
        <v>2666</v>
      </c>
      <c r="F120" s="0" t="s">
        <v>2375</v>
      </c>
      <c r="G120" s="0" t="s">
        <v>2667</v>
      </c>
    </row>
    <row customHeight="1" ht="11.25">
      <c r="A121" s="0" t="s">
        <v>14</v>
      </c>
      <c r="B121" s="0" t="s">
        <v>2651</v>
      </c>
      <c r="C121" s="0" t="s">
        <v>2652</v>
      </c>
      <c r="D121" s="0" t="s">
        <v>2668</v>
      </c>
      <c r="E121" s="0" t="s">
        <v>2669</v>
      </c>
      <c r="F121" s="0" t="s">
        <v>2375</v>
      </c>
      <c r="G121" s="0" t="s">
        <v>2670</v>
      </c>
    </row>
    <row customHeight="1" ht="11.25">
      <c r="A122" s="0" t="s">
        <v>14</v>
      </c>
      <c r="B122" s="0" t="s">
        <v>2651</v>
      </c>
      <c r="C122" s="0" t="s">
        <v>2652</v>
      </c>
      <c r="D122" s="0" t="s">
        <v>2671</v>
      </c>
      <c r="E122" s="0" t="s">
        <v>2672</v>
      </c>
      <c r="F122" s="0" t="s">
        <v>2375</v>
      </c>
      <c r="G122" s="0" t="s">
        <v>2673</v>
      </c>
    </row>
    <row customHeight="1" ht="11.25">
      <c r="A123" s="0" t="s">
        <v>14</v>
      </c>
      <c r="B123" s="0" t="s">
        <v>2651</v>
      </c>
      <c r="C123" s="0" t="s">
        <v>2652</v>
      </c>
      <c r="D123" s="0" t="s">
        <v>2674</v>
      </c>
      <c r="E123" s="0" t="s">
        <v>2675</v>
      </c>
      <c r="F123" s="0" t="s">
        <v>2375</v>
      </c>
      <c r="G123" s="0" t="s">
        <v>2676</v>
      </c>
    </row>
    <row customHeight="1" ht="11.25">
      <c r="A124" s="0" t="s">
        <v>14</v>
      </c>
      <c r="B124" s="0" t="s">
        <v>2651</v>
      </c>
      <c r="C124" s="0" t="s">
        <v>2652</v>
      </c>
      <c r="D124" s="0" t="s">
        <v>2677</v>
      </c>
      <c r="E124" s="0" t="s">
        <v>2678</v>
      </c>
      <c r="F124" s="0" t="s">
        <v>2375</v>
      </c>
      <c r="G124" s="0" t="s">
        <v>2679</v>
      </c>
    </row>
    <row customHeight="1" ht="11.25">
      <c r="A125" s="0" t="s">
        <v>14</v>
      </c>
      <c r="B125" s="0" t="s">
        <v>2651</v>
      </c>
      <c r="C125" s="0" t="s">
        <v>2652</v>
      </c>
      <c r="D125" s="0" t="s">
        <v>2680</v>
      </c>
      <c r="E125" s="0" t="s">
        <v>2681</v>
      </c>
      <c r="F125" s="0" t="s">
        <v>2375</v>
      </c>
      <c r="G125" s="0" t="s">
        <v>2682</v>
      </c>
    </row>
    <row customHeight="1" ht="11.25">
      <c r="A126" s="0" t="s">
        <v>14</v>
      </c>
      <c r="B126" s="0" t="s">
        <v>2651</v>
      </c>
      <c r="C126" s="0" t="s">
        <v>2652</v>
      </c>
      <c r="D126" s="0" t="s">
        <v>2683</v>
      </c>
      <c r="E126" s="0" t="s">
        <v>2684</v>
      </c>
      <c r="F126" s="0" t="s">
        <v>2375</v>
      </c>
      <c r="G126" s="0" t="s">
        <v>2685</v>
      </c>
    </row>
    <row customHeight="1" ht="11.25">
      <c r="A127" s="0" t="s">
        <v>14</v>
      </c>
      <c r="B127" s="0" t="s">
        <v>2651</v>
      </c>
      <c r="C127" s="0" t="s">
        <v>2652</v>
      </c>
      <c r="D127" s="0" t="s">
        <v>2651</v>
      </c>
      <c r="E127" s="0" t="s">
        <v>2652</v>
      </c>
      <c r="F127" s="0" t="s">
        <v>2379</v>
      </c>
      <c r="G127" s="0" t="s">
        <v>2686</v>
      </c>
    </row>
    <row customHeight="1" ht="11.25">
      <c r="A128" s="0" t="s">
        <v>14</v>
      </c>
      <c r="B128" s="0" t="s">
        <v>2651</v>
      </c>
      <c r="C128" s="0" t="s">
        <v>2652</v>
      </c>
      <c r="D128" s="0" t="s">
        <v>2687</v>
      </c>
      <c r="E128" s="0" t="s">
        <v>2688</v>
      </c>
      <c r="F128" s="0" t="s">
        <v>2375</v>
      </c>
      <c r="G128" s="0" t="s">
        <v>2689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DC2ED-D2BE-07B8-5A81-3C178D1314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85" width="9.140625"/>
    <col min="2" max="2" style="12985" width="84.28125" customWidth="1"/>
    <col min="3" max="3" style="12985" width="9.140625"/>
  </cols>
  <sheetData>
    <row customHeight="1" ht="11.25">
      <c r="A1" s="1145" t="s">
        <v>2712</v>
      </c>
      <c r="B1" s="1145" t="s">
        <v>2713</v>
      </c>
      <c r="C1" s="1145" t="s">
        <v>727</v>
      </c>
    </row>
    <row customHeight="1" ht="11.25">
      <c r="A2" s="1145">
        <v>4189678</v>
      </c>
      <c r="B2" s="1145" t="s">
        <v>2714</v>
      </c>
      <c r="C2" s="1145" t="s">
        <v>2715</v>
      </c>
    </row>
    <row customHeight="1" ht="11.25">
      <c r="A3" s="1145">
        <v>4190415</v>
      </c>
      <c r="B3" s="1145" t="s">
        <v>2716</v>
      </c>
      <c r="C3" s="1145" t="s">
        <v>2715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719A8-A0B7-E26F-FEF8-763A4754E9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87" width="38.421875" customWidth="1"/>
    <col min="2" max="5" style="12987" width="9.140625"/>
  </cols>
  <sheetData>
    <row customHeight="1" ht="15">
      <c r="A1" s="436" t="s">
        <v>2717</v>
      </c>
      <c r="B1" s="436" t="s">
        <v>2718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D5E15-6F3C-CDD1-A966-68B3B447E0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2719</v>
      </c>
      <c r="B1" s="0" t="b">
        <v>1</v>
      </c>
    </row>
    <row customHeight="1" ht="11.25">
      <c r="A2" s="0" t="s">
        <v>2720</v>
      </c>
      <c r="B2" s="0" t="b">
        <v>0</v>
      </c>
    </row>
    <row customHeight="1" ht="11.25">
      <c r="A3" s="0" t="s">
        <v>2721</v>
      </c>
      <c r="B3" s="0" t="b">
        <v>1</v>
      </c>
    </row>
    <row customHeight="1" ht="11.25">
      <c r="A4" s="0" t="s">
        <v>2722</v>
      </c>
      <c r="B4" s="0" t="b">
        <v>0</v>
      </c>
    </row>
    <row customHeight="1" ht="11.25">
      <c r="A5" s="0" t="s">
        <v>2723</v>
      </c>
      <c r="B5" s="0" t="b">
        <v>0</v>
      </c>
    </row>
    <row customHeight="1" ht="11.25">
      <c r="A6" s="0" t="s">
        <v>2724</v>
      </c>
      <c r="B6" s="0" t="b">
        <v>0</v>
      </c>
    </row>
    <row customHeight="1" ht="11.25">
      <c r="A7" s="0" t="s">
        <v>2725</v>
      </c>
      <c r="B7" s="0" t="b">
        <v>0</v>
      </c>
    </row>
    <row customHeight="1" ht="11.25">
      <c r="A8" s="0" t="s">
        <v>2726</v>
      </c>
      <c r="B8" s="0" t="b">
        <v>0</v>
      </c>
    </row>
    <row customHeight="1" ht="11.25">
      <c r="A9" s="0" t="s">
        <v>2727</v>
      </c>
      <c r="B9" s="0" t="b">
        <v>0</v>
      </c>
    </row>
    <row customHeight="1" ht="11.25">
      <c r="A10" s="0" t="s">
        <v>2728</v>
      </c>
      <c r="B10" s="0" t="b">
        <v>1</v>
      </c>
    </row>
    <row customHeight="1" ht="11.25">
      <c r="A11" s="0" t="s">
        <v>2729</v>
      </c>
      <c r="B11" s="0" t="b">
        <v>0</v>
      </c>
    </row>
    <row customHeight="1" ht="11.25">
      <c r="A12" s="0" t="s">
        <v>2730</v>
      </c>
      <c r="B12" s="0" t="b">
        <v>0</v>
      </c>
    </row>
    <row customHeight="1" ht="11.25">
      <c r="A13" s="0" t="s">
        <v>2731</v>
      </c>
      <c r="B13" s="0" t="b">
        <v>0</v>
      </c>
    </row>
    <row customHeight="1" ht="11.25">
      <c r="A14" s="0" t="s">
        <v>2732</v>
      </c>
      <c r="B14" s="0" t="b">
        <v>0</v>
      </c>
    </row>
    <row customHeight="1" ht="11.25">
      <c r="A15" s="0" t="s">
        <v>2733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21B7-10BD-0B9B-C268-0D9792A5B0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89"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72D4-5DF7-7FE8-2D86-BBB6AC9C87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91" width="36.28125" customWidth="1"/>
    <col min="2" max="2" style="12991" width="21.140625" customWidth="1"/>
  </cols>
  <sheetData>
    <row customHeight="1" ht="11.25">
      <c r="A1" s="333" t="s">
        <v>2734</v>
      </c>
      <c r="B1" s="333" t="s">
        <v>2735</v>
      </c>
    </row>
    <row customHeight="1" ht="11.25">
      <c r="A2" s="320" t="s">
        <v>2736</v>
      </c>
      <c r="B2" s="320" t="s">
        <v>2737</v>
      </c>
    </row>
    <row customHeight="1" ht="11.25">
      <c r="A3" s="320" t="s">
        <v>2738</v>
      </c>
      <c r="B3" s="320" t="s">
        <v>2739</v>
      </c>
    </row>
    <row customHeight="1" ht="11.25">
      <c r="A4" s="320" t="s">
        <v>2740</v>
      </c>
      <c r="B4" s="320" t="s">
        <v>2741</v>
      </c>
    </row>
    <row customHeight="1" ht="11.25">
      <c r="A5" s="320" t="s">
        <v>2742</v>
      </c>
      <c r="B5" s="320" t="s">
        <v>2743</v>
      </c>
    </row>
    <row customHeight="1" ht="11.25">
      <c r="A6" s="320" t="s">
        <v>2744</v>
      </c>
      <c r="B6" s="320" t="s">
        <v>2745</v>
      </c>
    </row>
    <row customHeight="1" ht="11.25">
      <c r="A7" s="320" t="s">
        <v>2746</v>
      </c>
      <c r="B7" s="320" t="s">
        <v>2747</v>
      </c>
    </row>
    <row customHeight="1" ht="11.25">
      <c r="A8" s="320" t="s">
        <v>2748</v>
      </c>
      <c r="B8" s="320" t="s">
        <v>2749</v>
      </c>
    </row>
    <row customHeight="1" ht="11.25">
      <c r="A9" s="320" t="s">
        <v>2750</v>
      </c>
      <c r="B9" s="320" t="s">
        <v>2751</v>
      </c>
    </row>
    <row customHeight="1" ht="11.25">
      <c r="A10" s="320" t="s">
        <v>2752</v>
      </c>
      <c r="B10" s="320" t="s">
        <v>2753</v>
      </c>
    </row>
    <row customHeight="1" ht="11.25">
      <c r="A11" s="320" t="s">
        <v>2754</v>
      </c>
      <c r="B11" s="320" t="s">
        <v>2755</v>
      </c>
    </row>
    <row customHeight="1" ht="11.25">
      <c r="A12" s="320" t="s">
        <v>2756</v>
      </c>
      <c r="B12" s="320" t="s">
        <v>2757</v>
      </c>
    </row>
    <row customHeight="1" ht="11.25">
      <c r="A13" s="320" t="s">
        <v>2758</v>
      </c>
      <c r="B13" s="320" t="s">
        <v>2759</v>
      </c>
    </row>
    <row customHeight="1" ht="11.25">
      <c r="A14" s="320" t="s">
        <v>2760</v>
      </c>
      <c r="B14" s="320" t="s">
        <v>2761</v>
      </c>
    </row>
    <row customHeight="1" ht="11.25">
      <c r="A15" s="320" t="s">
        <v>2762</v>
      </c>
      <c r="B15" s="320" t="s">
        <v>2763</v>
      </c>
    </row>
    <row customHeight="1" ht="11.25">
      <c r="A16" s="320" t="s">
        <v>2764</v>
      </c>
      <c r="B16" s="320" t="s">
        <v>2765</v>
      </c>
    </row>
    <row customHeight="1" ht="11.25">
      <c r="A17" s="320" t="s">
        <v>2766</v>
      </c>
      <c r="B17" s="320" t="s">
        <v>2767</v>
      </c>
    </row>
    <row customHeight="1" ht="11.25">
      <c r="A18" s="320" t="s">
        <v>2768</v>
      </c>
      <c r="B18" s="320" t="s">
        <v>2769</v>
      </c>
    </row>
    <row customHeight="1" ht="11.25">
      <c r="A19" s="320" t="s">
        <v>2770</v>
      </c>
      <c r="B19" s="320" t="s">
        <v>2771</v>
      </c>
    </row>
    <row customHeight="1" ht="11.25">
      <c r="A20" s="320" t="s">
        <v>2772</v>
      </c>
      <c r="B20" s="320" t="s">
        <v>2773</v>
      </c>
    </row>
    <row customHeight="1" ht="11.25">
      <c r="A21" s="320" t="s">
        <v>2774</v>
      </c>
      <c r="B21" s="320" t="s">
        <v>2775</v>
      </c>
    </row>
    <row customHeight="1" ht="11.25">
      <c r="A22" s="320" t="s">
        <v>2776</v>
      </c>
      <c r="B22" s="320" t="s">
        <v>2777</v>
      </c>
    </row>
    <row customHeight="1" ht="11.25">
      <c r="A23" s="320" t="s">
        <v>2778</v>
      </c>
      <c r="B23" s="320" t="s">
        <v>2779</v>
      </c>
    </row>
    <row customHeight="1" ht="11.25">
      <c r="A24" s="320" t="s">
        <v>2780</v>
      </c>
      <c r="B24" s="320" t="s">
        <v>2781</v>
      </c>
    </row>
    <row customHeight="1" ht="11.25">
      <c r="A25" s="320" t="s">
        <v>2782</v>
      </c>
      <c r="B25" s="320" t="s">
        <v>2783</v>
      </c>
    </row>
    <row customHeight="1" ht="11.25">
      <c r="A26" s="320" t="s">
        <v>2784</v>
      </c>
      <c r="B26" s="320" t="s">
        <v>2785</v>
      </c>
    </row>
    <row customHeight="1" ht="11.25">
      <c r="A27" s="320" t="s">
        <v>2786</v>
      </c>
      <c r="B27" s="320" t="s">
        <v>2787</v>
      </c>
    </row>
    <row customHeight="1" ht="11.25">
      <c r="A28" s="320" t="s">
        <v>2788</v>
      </c>
      <c r="B28" s="320" t="s">
        <v>2789</v>
      </c>
    </row>
    <row customHeight="1" ht="11.25">
      <c r="A29" s="320" t="s">
        <v>2790</v>
      </c>
      <c r="B29" s="320" t="s">
        <v>2791</v>
      </c>
    </row>
    <row customHeight="1" ht="11.25">
      <c r="A30" s="320" t="s">
        <v>2792</v>
      </c>
      <c r="B30" s="320" t="s">
        <v>2793</v>
      </c>
    </row>
    <row customHeight="1" ht="11.25">
      <c r="A31" s="320" t="s">
        <v>2794</v>
      </c>
      <c r="B31" s="320" t="s">
        <v>2795</v>
      </c>
    </row>
    <row customHeight="1" ht="11.25">
      <c r="A32" s="320" t="s">
        <v>2796</v>
      </c>
      <c r="B32" s="320" t="s">
        <v>2797</v>
      </c>
    </row>
    <row customHeight="1" ht="11.25">
      <c r="A33" s="320" t="s">
        <v>2798</v>
      </c>
      <c r="B33" s="320" t="s">
        <v>2799</v>
      </c>
    </row>
    <row customHeight="1" ht="11.25">
      <c r="A34" s="320" t="s">
        <v>2800</v>
      </c>
      <c r="B34" s="320" t="s">
        <v>2801</v>
      </c>
    </row>
    <row customHeight="1" ht="11.25">
      <c r="A35" s="320" t="s">
        <v>2802</v>
      </c>
      <c r="B35" s="320" t="s">
        <v>2803</v>
      </c>
    </row>
    <row customHeight="1" ht="11.25">
      <c r="A36" s="320" t="s">
        <v>2804</v>
      </c>
      <c r="B36" s="320" t="s">
        <v>2805</v>
      </c>
    </row>
    <row customHeight="1" ht="11.25">
      <c r="A37" s="320" t="s">
        <v>2806</v>
      </c>
      <c r="B37" s="320" t="s">
        <v>2807</v>
      </c>
    </row>
    <row customHeight="1" ht="11.25">
      <c r="A38" s="320" t="s">
        <v>2808</v>
      </c>
      <c r="B38" s="320" t="s">
        <v>2809</v>
      </c>
    </row>
    <row customHeight="1" ht="11.25">
      <c r="A39" s="320" t="s">
        <v>2810</v>
      </c>
      <c r="B39" s="320" t="s">
        <v>2811</v>
      </c>
    </row>
    <row customHeight="1" ht="11.25">
      <c r="A40" s="320" t="s">
        <v>2812</v>
      </c>
      <c r="B40" s="320" t="s">
        <v>2813</v>
      </c>
    </row>
    <row customHeight="1" ht="11.25">
      <c r="A41" s="320" t="s">
        <v>2814</v>
      </c>
      <c r="B41" s="320" t="s">
        <v>2815</v>
      </c>
    </row>
    <row customHeight="1" ht="11.25">
      <c r="A42" s="320" t="s">
        <v>2816</v>
      </c>
      <c r="B42" s="320" t="s">
        <v>2817</v>
      </c>
    </row>
    <row customHeight="1" ht="11.25">
      <c r="A43" s="320" t="s">
        <v>2818</v>
      </c>
      <c r="B43" s="320" t="s">
        <v>2819</v>
      </c>
    </row>
    <row customHeight="1" ht="11.25">
      <c r="A44" s="320" t="s">
        <v>2820</v>
      </c>
      <c r="B44" s="320" t="s">
        <v>2821</v>
      </c>
    </row>
    <row customHeight="1" ht="11.25">
      <c r="A45" s="320" t="s">
        <v>2822</v>
      </c>
      <c r="B45" s="320" t="s">
        <v>2823</v>
      </c>
    </row>
    <row customHeight="1" ht="11.25">
      <c r="A46" s="320" t="s">
        <v>2824</v>
      </c>
      <c r="B46" s="320" t="s">
        <v>2825</v>
      </c>
    </row>
    <row customHeight="1" ht="11.25">
      <c r="A47" s="320" t="s">
        <v>2826</v>
      </c>
      <c r="B47" s="320" t="s">
        <v>2827</v>
      </c>
    </row>
    <row customHeight="1" ht="11.25">
      <c r="A48" s="320" t="s">
        <v>2828</v>
      </c>
      <c r="B48" s="320" t="s">
        <v>2829</v>
      </c>
    </row>
    <row customHeight="1" ht="11.25">
      <c r="A49" s="320" t="s">
        <v>2830</v>
      </c>
      <c r="B49" s="320" t="s">
        <v>2831</v>
      </c>
    </row>
    <row customHeight="1" ht="11.25">
      <c r="A50" s="320" t="s">
        <v>2832</v>
      </c>
      <c r="B50" s="320" t="s">
        <v>2833</v>
      </c>
    </row>
    <row customHeight="1" ht="11.25">
      <c r="A51" s="320" t="s">
        <v>2834</v>
      </c>
      <c r="B51" s="320" t="s">
        <v>2835</v>
      </c>
    </row>
    <row customHeight="1" ht="11.25">
      <c r="A52" s="320" t="s">
        <v>2836</v>
      </c>
      <c r="B52" s="320" t="s">
        <v>2837</v>
      </c>
    </row>
    <row customHeight="1" ht="11.25">
      <c r="A53" s="320" t="s">
        <v>2838</v>
      </c>
      <c r="B53" s="320" t="s">
        <v>2839</v>
      </c>
    </row>
    <row customHeight="1" ht="11.25">
      <c r="A54" s="320" t="s">
        <v>2840</v>
      </c>
      <c r="B54" s="320" t="s">
        <v>2841</v>
      </c>
    </row>
    <row customHeight="1" ht="11.25">
      <c r="A55" s="320" t="s">
        <v>2842</v>
      </c>
      <c r="B55" s="320" t="s">
        <v>2843</v>
      </c>
    </row>
    <row customHeight="1" ht="11.25">
      <c r="A56" s="320" t="s">
        <v>2844</v>
      </c>
      <c r="B56" s="320" t="s">
        <v>2845</v>
      </c>
    </row>
    <row customHeight="1" ht="11.25">
      <c r="A57" s="320" t="s">
        <v>2846</v>
      </c>
      <c r="B57" s="320" t="s">
        <v>2847</v>
      </c>
    </row>
    <row customHeight="1" ht="11.25">
      <c r="A58" s="320" t="s">
        <v>2848</v>
      </c>
      <c r="B58" s="320" t="s">
        <v>2849</v>
      </c>
    </row>
    <row customHeight="1" ht="11.25">
      <c r="A59" s="320" t="s">
        <v>2850</v>
      </c>
      <c r="B59" s="320" t="s">
        <v>2851</v>
      </c>
    </row>
    <row customHeight="1" ht="11.25">
      <c r="A60" s="320" t="s">
        <v>2852</v>
      </c>
      <c r="B60" s="320" t="s">
        <v>2853</v>
      </c>
    </row>
    <row customHeight="1" ht="11.25">
      <c r="A61" s="320"/>
      <c r="B61" s="320" t="s">
        <v>2854</v>
      </c>
    </row>
    <row customHeight="1" ht="11.25">
      <c r="A62" s="320"/>
      <c r="B62" s="320" t="s">
        <v>2855</v>
      </c>
    </row>
    <row customHeight="1" ht="11.25">
      <c r="A63" s="320"/>
      <c r="B63" s="320" t="s">
        <v>2856</v>
      </c>
    </row>
    <row customHeight="1" ht="11.25">
      <c r="A64" s="320"/>
      <c r="B64" s="320" t="s">
        <v>2857</v>
      </c>
    </row>
    <row customHeight="1" ht="11.25">
      <c r="A65" s="320"/>
      <c r="B65" s="320" t="s">
        <v>2858</v>
      </c>
    </row>
    <row customHeight="1" ht="11.25">
      <c r="A66" s="320"/>
      <c r="B66" s="320" t="s">
        <v>2859</v>
      </c>
    </row>
    <row customHeight="1" ht="11.25">
      <c r="A67" s="320"/>
      <c r="B67" s="320" t="s">
        <v>2860</v>
      </c>
    </row>
    <row customHeight="1" ht="11.25">
      <c r="A68" s="320"/>
      <c r="B68" s="320" t="s">
        <v>2861</v>
      </c>
    </row>
    <row customHeight="1" ht="11.25">
      <c r="A69" s="320"/>
      <c r="B69" s="320" t="s">
        <v>2862</v>
      </c>
    </row>
    <row customHeight="1" ht="11.25">
      <c r="A70" s="320"/>
      <c r="B70" s="320" t="s">
        <v>2863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82B4-4906-3023-94DF-81D1DBF311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03" width="3.7109375" customWidth="1"/>
    <col min="2" max="2" style="13003" width="90.7109375" customWidth="1"/>
    <col min="3" max="4" style="13003" width="9.140625"/>
  </cols>
  <sheetData>
    <row customHeight="1" ht="11.25">
      <c r="B1" s="361" t="s">
        <v>2864</v>
      </c>
    </row>
    <row customHeight="1" ht="90">
      <c r="B2" s="362" t="s">
        <v>2865</v>
      </c>
    </row>
    <row customHeight="1" ht="67.5">
      <c r="B3" s="362" t="s">
        <v>2866</v>
      </c>
    </row>
    <row customHeight="1" ht="33.75">
      <c r="B4" s="362" t="s">
        <v>2867</v>
      </c>
    </row>
    <row customHeight="1" ht="11.25">
      <c r="B5" s="362" t="s">
        <v>2868</v>
      </c>
    </row>
    <row customHeight="1" ht="22.5">
      <c r="B6" s="362" t="s">
        <v>2869</v>
      </c>
    </row>
    <row customHeight="1" ht="22.5">
      <c r="B7" s="362" t="s">
        <v>2870</v>
      </c>
    </row>
    <row customHeight="1" ht="22.5">
      <c r="B8" s="362" t="s">
        <v>2871</v>
      </c>
    </row>
    <row customHeight="1" ht="22.5">
      <c r="B9" s="362" t="s">
        <v>2872</v>
      </c>
    </row>
    <row customHeight="1" ht="56.25">
      <c r="B10" s="362" t="s">
        <v>2873</v>
      </c>
    </row>
    <row customHeight="1" ht="12.75">
      <c r="B11" s="432" t="s">
        <v>2874</v>
      </c>
    </row>
    <row customHeight="1" ht="11.25">
      <c r="B12" s="361" t="s">
        <v>2875</v>
      </c>
    </row>
    <row customHeight="1" ht="22.5">
      <c r="B13" s="362" t="s">
        <v>2876</v>
      </c>
    </row>
    <row customHeight="1" ht="67.5">
      <c r="B14" s="362" t="s">
        <v>2877</v>
      </c>
    </row>
    <row customHeight="1" ht="22.5">
      <c r="B15" s="362" t="s">
        <v>2878</v>
      </c>
    </row>
    <row customHeight="1" ht="11.25">
      <c r="B16" s="361" t="s">
        <v>2879</v>
      </c>
      <c r="D16" s="369"/>
    </row>
    <row customHeight="1" ht="33.75">
      <c r="B17" s="362" t="s">
        <v>2880</v>
      </c>
    </row>
    <row customHeight="1" ht="33.75">
      <c r="B18" s="362" t="s">
        <v>2881</v>
      </c>
    </row>
    <row customHeight="1" ht="11.25">
      <c r="B19" s="362" t="s">
        <v>2882</v>
      </c>
    </row>
    <row customHeight="1" ht="33.75">
      <c r="B20" s="362" t="s">
        <v>2883</v>
      </c>
    </row>
    <row customHeight="1" ht="11.25">
      <c r="B21" s="361" t="s">
        <v>2884</v>
      </c>
    </row>
    <row customHeight="1" ht="11.25">
      <c r="B22" s="362" t="s">
        <v>2885</v>
      </c>
    </row>
    <row r="24" customHeight="1" ht="22.5">
      <c r="B24" s="434" t="s">
        <v>2886</v>
      </c>
    </row>
    <row r="26" customHeight="1" ht="11.25">
      <c r="B26" s="361" t="s">
        <v>2887</v>
      </c>
    </row>
    <row customHeight="1" ht="22.5">
      <c r="B27" s="433" t="s">
        <v>1461</v>
      </c>
    </row>
    <row customHeight="1" ht="56.25">
      <c r="B28" s="433" t="s">
        <v>2888</v>
      </c>
    </row>
    <row customHeight="1" ht="11.25">
      <c r="B29" s="483" t="s">
        <v>2889</v>
      </c>
    </row>
    <row customHeight="1" ht="22.5">
      <c r="B30" s="433" t="s">
        <v>2890</v>
      </c>
    </row>
    <row r="32" customHeight="1" ht="11.25">
      <c r="A32" s="460"/>
      <c r="B32" s="461" t="s">
        <v>2891</v>
      </c>
    </row>
    <row customHeight="1" ht="14.25">
      <c r="A33" s="462">
        <v>1</v>
      </c>
      <c r="B33" s="463" t="s">
        <v>2892</v>
      </c>
    </row>
    <row customHeight="1" ht="14.25">
      <c r="A34" s="462">
        <v>2</v>
      </c>
      <c r="B34" s="463" t="s">
        <v>2893</v>
      </c>
    </row>
    <row customHeight="1" ht="11.25">
      <c r="B35" s="461" t="s">
        <v>2894</v>
      </c>
    </row>
    <row customHeight="1" ht="11.25">
      <c r="B36" s="463" t="s">
        <v>2895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