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comments2.xml" ContentType="application/vnd.openxmlformats-officedocument.spreadsheetml.comments+xml"/>
  <Override PartName="/xl/worksheets/sheet13.xml" ContentType="application/vnd.openxmlformats-officedocument.spreadsheetml.worksheet+xml"/>
  <Override PartName="/xl/comments3.xml" ContentType="application/vnd.openxmlformats-officedocument.spreadsheetml.comments+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firstSheet="1" activeTab="31"/>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DATA_FORMS" sheetId="11" state="hidden" r:id="rId12"/>
    <sheet name="DATA_NPA" sheetId="12" state="hidden" r:id="rId13"/>
    <sheet name="TEHSHEET" sheetId="13" state="hidden" r:id="rId14"/>
    <sheet name="et_union_hor" sheetId="14" state="hidden" r:id="rId15"/>
    <sheet name="Договоры" sheetId="15" state="hidden" r:id="rId16"/>
    <sheet name="ТС. Т-ТЭ | &gt;=25МВт" sheetId="16" state="hidden" r:id="rId17"/>
    <sheet name="ТС. Т-ТЭ | ТСО" sheetId="17" state="hidden" r:id="rId18"/>
    <sheet name="ТС. Резерв мощности" sheetId="18" state="hidden" r:id="rId19"/>
    <sheet name="ТС. Т-ТН" sheetId="19" state="hidden" r:id="rId20"/>
    <sheet name="ТС. Т-передача ТЭ" sheetId="20" state="hidden" r:id="rId21"/>
    <sheet name="ТС. Т-передача ТН" sheetId="21" state="hidden" r:id="rId22"/>
    <sheet name="ТС. Т-гор.вода" sheetId="22" state="hidden" r:id="rId23"/>
    <sheet name="ТС. Т-подкл"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state="hidden" r:id="rId29"/>
    <sheet name="Сведения о закупках" sheetId="29" state="hidden" r:id="rId30"/>
    <sheet name="modMainProcedures" sheetId="30" state="hidden" r:id="rId31"/>
    <sheet name="Потребительские характеристики" sheetId="31" state="hidden" r:id="rId32"/>
    <sheet name="ТП" sheetId="32"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Титульный!$48:$58</definedName>
    <definedName name="BLOCK_BALANCE_TKO_FLAG_TRANS">Титульный!$59:$60</definedName>
    <definedName name="BLOCK_CONNECTION_STATE">Титульный!$46:$47</definedName>
    <definedName name="BLOCK_DIFF_CS">Титульный!$38:$39</definedName>
    <definedName name="BLOCK_DIFFERENTIATION_NOT_TKO">Дифференциация!$J:$M</definedName>
    <definedName name="BLOCK_FIRST_TARIFF">Титульный!$18:$22</definedName>
    <definedName name="BLOCK_FIRST_TARIFF_OREG_PUBL">Титульный!$21:$22</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Титульный!$11:$11</definedName>
    <definedName name="BLOCK_PERIOD_QUARTER">Титульный!$13:$13</definedName>
    <definedName name="BLOCK_PERIOD_TWO_DATA">Титульный!$9:$10</definedName>
    <definedName name="BLOCK_PERIOD_YEAR">Титульный!$12:$12</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Титульный!$40:$45</definedName>
    <definedName name="BLOCK_PRICE_IST_TE">'Перечень тарифов'!$S:$V</definedName>
    <definedName name="BLOCK_PRICE_REQUEST">Титульный!$18:$22</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Титульный!$57:$58</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WARM_ORG_TYPE">Титульный!$34:$34</definedName>
    <definedName name="checkCell_List01">'Список территорий'!$E$17:$I$17</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TEHSHEET!$BT$19:$BT$21</definedName>
    <definedName name="COLDVSNA_PT_VED_NAME">TEHSHEET!$BU$19:$BU$21</definedName>
    <definedName name="COLDVSNA_PT_VED_NAME_LIST">TEHSHEET!$BT$19:$BU$21</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Титульный!$F$13</definedName>
    <definedName name="f_year">Титульный!$F$12</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Титульный!$F$30</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Титульный!$F$31</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Титульный!$F$32</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Титульный!$F$35</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rg">Титульный!$F$29</definedName>
    <definedName name="Org_Address">Титульный!$F$62:$F$62</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Титульный!$F$63</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Титульный!$F$65:$F$68</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территорий'!$C$12:$C$17</definedName>
    <definedName name="pDel_LT_MO">'Список территорий'!$D$11:$D$17</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Титульный!$F$10</definedName>
    <definedName name="PeriodIsEmpty">TEHSHEET!$I$45</definedName>
    <definedName name="PeriodIsEmptyList">TEHSHEET!$I$46:$I$53</definedName>
    <definedName name="periodStart">Титульный!$F$9</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территорий'!$G$17</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Титульный!$F$9:$F$10</definedName>
    <definedName name="ReportPeriod">Титульный!$F$9:$F$13</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территорий'!$E$11:$I$17</definedName>
    <definedName name="TERRITORY_ID">TEHSHEET!$E$56</definedName>
    <definedName name="TERRITORY_LIST_ID">'Список территорий'!$F$11:$F$17</definedName>
    <definedName name="TERRITORY_MO_LIST">'Список территорий'!$H$11:$H$17</definedName>
    <definedName name="TERRITORY_MR_LIST">'Список территорий'!$G$11:$G$17</definedName>
    <definedName name="TERRITORY_NAME_COL">'Список территорий'!$G$1:$I$1</definedName>
    <definedName name="TERRITORY_POINT_NUMBER_1">'Список территорий'!$A:$A</definedName>
    <definedName name="TITLE_BUHG_FLAG">Титульный!$F$51</definedName>
    <definedName name="TITLE_CONNECTION_FLAG">Титульный!$F$47</definedName>
    <definedName name="TITLE_DATA_TYPE">Титульный!$F$15</definedName>
    <definedName name="TITLE_DATE_BUHG">Титульный!$F$52</definedName>
    <definedName name="TITLE_DATE_CHANGE">Титульный!$F$16</definedName>
    <definedName name="TITLE_DATE_CHANGE_PERIOD">Титульный!$F$17</definedName>
    <definedName name="TITLE_DATE_FIL">Титульный!$F$11</definedName>
    <definedName name="TITLE_DATE_PARKING">Титульный!$H$5</definedName>
    <definedName name="TITLE_DATE_PR">Титульный!$F$19</definedName>
    <definedName name="TITLE_DATE_PR_CHANGE">Титульный!$F$25</definedName>
    <definedName name="TITLE_DIFFERENTIATION_TYPE">Титульный!$F$39</definedName>
    <definedName name="TITLE_FIL_YEAR">Титульный!$F$12</definedName>
    <definedName name="TITLE_FLAG_DIFF_SELLER">Титульный!$F$44</definedName>
    <definedName name="TITLE_FLAG_INTERNET">Титульный!$F$37</definedName>
    <definedName name="TITLE_FLAG_IP">Титульный!$F$56</definedName>
    <definedName name="TITLE_FLAG_IP_DETAILED">Титульный!$F$58</definedName>
    <definedName name="TITLE_FLAG_NO_DIFF_COMPONENT">Титульный!$F$45</definedName>
    <definedName name="TITLE_FLAG_NOT_REG_PRICE">Титульный!$F$49</definedName>
    <definedName name="TITLE_FLAG_REG_PRICE_IP">Титульный!$F$57</definedName>
    <definedName name="TITLE_FLAG_TKO_TRANS">Титульный!$F$60</definedName>
    <definedName name="TITLE_FLAG_TOP80_ACTIVITY">Титульный!$F$54</definedName>
    <definedName name="TITLE_HEADER_PR_CHANGE">Титульный!$F$23</definedName>
    <definedName name="TITLE_IP_DETAILED_METHOD_LIST">TEHSHEET!$AZ$15:$AZ$17</definedName>
    <definedName name="TITLE_IST_PUB">Титульный!$F$22</definedName>
    <definedName name="TITLE_IST_PUB_CHANGE">Титульный!$F$27</definedName>
    <definedName name="TITLE_NAME_OR_PR">Титульный!$F$21</definedName>
    <definedName name="TITLE_NAME_OR_PR_CHANGE">Титульный!$F$24</definedName>
    <definedName name="TITLE_NUMBER_PR">Титульный!$F$20</definedName>
    <definedName name="TITLE_NUMBER_PR_CHANGE">Титульный!$F$26</definedName>
    <definedName name="TITLE_PERIOD_END">Титульный!$F$10</definedName>
    <definedName name="TITLE_PERIOD_START">Титульный!$F$9</definedName>
    <definedName name="TITLE_TYPE_ORG">Титульный!$F$34</definedName>
    <definedName name="TKO_PT_VED_ID">TEHSHEET!$CC$19:$CC$23</definedName>
    <definedName name="TKO_PT_VED_NAME">TEHSHEET!$CD$19:$CD$23</definedName>
    <definedName name="TKO_PT_VED_NAME_LIST">TEHSHEET!$CC$19:$CD$23</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REESTR_IP!$A$2:$D$28</definedName>
    <definedName name="VD_LIST">REESTR_VED!$A$2:$B$4</definedName>
    <definedName name="VD_ID_LIST">REESTR_VED!$A$2:$A$4</definedName>
    <definedName name="VD_NAME_LIST">REESTR_VED!$B$2:$B$4</definedName>
    <definedName name="et_B_FHD20_1">et_union_hor!$103:$111</definedName>
    <definedName name="ter_1">'Список территорий'!$G$13:$I$15</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29" authorId="0">
      <text>
        <r>
          <rPr>
            <sz val="9"/>
            <color indexed="81"/>
            <rFont val="Tahoma"/>
            <family val="2"/>
          </rPr>
          <t>Выбор организации двойным щелчком левой клавиши мыши</t>
        </r>
      </text>
    </comment>
    <comment ref="E35"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comments3.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sharedStrings.xml><?xml version="1.0" encoding="utf-8"?>
<sst xmlns="http://schemas.openxmlformats.org/spreadsheetml/2006/main" count="33376" uniqueCount="6153">
  <si>
    <t xml:space="preserve"> (требуется обновление)</t>
  </si>
  <si>
    <t>Код отчёта: PP108.OPEN.INFO.QUARTER.VOTV.EIAS</t>
  </si>
  <si>
    <t>Версия отчёта: 1.0.0</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</si>
  <si>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</si>
  <si>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</si>
  <si>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</si>
  <si>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</si>
  <si>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</si>
  <si>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</si>
  <si>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</si>
  <si>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</si>
  <si>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</si>
  <si>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</si>
  <si>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</si>
  <si>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Краснодарский край</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</si>
  <si>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</si>
  <si>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</si>
  <si>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</si>
  <si>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</si>
  <si>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</si>
  <si>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</si>
  <si>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</si>
  <si>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</si>
  <si>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</si>
  <si>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</si>
  <si>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</si>
  <si>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</si>
  <si>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</si>
  <si>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</si>
  <si>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</si>
  <si>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III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</si>
  <si>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</si>
  <si>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</si>
  <si>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</si>
  <si>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</si>
  <si>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</si>
  <si>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</si>
  <si>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</si>
  <si>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</si>
  <si>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</si>
  <si>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</si>
  <si>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</si>
  <si>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</si>
  <si>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</si>
  <si>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</si>
  <si>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</si>
  <si>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Северо-Кавказская дирекция по тепловодоснабжению структурное подразделение Центральной дирекции по тепловодоснабжению - филиала ОАО "РЖД"</t>
  </si>
  <si>
    <t>Наименование (описание) обособленного подразделения</t>
  </si>
  <si>
    <t>ИНН</t>
  </si>
  <si>
    <t>7708503727</t>
  </si>
  <si>
    <t>КПП</t>
  </si>
  <si>
    <t>616745019</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</si>
  <si>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</si>
  <si>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</si>
  <si>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</si>
  <si>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</si>
  <si>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</si>
  <si>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</si>
  <si>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</si>
  <si>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</si>
  <si>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</si>
  <si>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</si>
  <si>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</si>
  <si>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</si>
  <si>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</si>
  <si>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</si>
  <si>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</si>
  <si>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</si>
  <si>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</si>
  <si>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</si>
  <si>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350033, г.Краснодар, Привокзальная площадь, д.13</t>
  </si>
  <si>
    <t>Фамилия, имя, отчество руководителя</t>
  </si>
  <si>
    <t>Валеев Александр Валерьевич</t>
  </si>
  <si>
    <t>Ответственный за заполнение формы</t>
  </si>
  <si>
    <t>Фамилия, имя, отчество</t>
  </si>
  <si>
    <t>Атаманова Наталья Валерьевна</t>
  </si>
  <si>
    <t>Должность</t>
  </si>
  <si>
    <t>экономист 1 категории</t>
  </si>
  <si>
    <t>Контактный телефон</t>
  </si>
  <si>
    <t>8 (861) 2147306</t>
  </si>
  <si>
    <t>E-mail</t>
  </si>
  <si>
    <t>DTV-NVatamanova@skzd.rzd.ru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</si>
  <si>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</si>
  <si>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</si>
  <si>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</si>
  <si>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</si>
  <si>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</si>
  <si>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</si>
  <si>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</si>
  <si>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</si>
  <si>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</si>
  <si>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</si>
  <si>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</si>
  <si>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</si>
  <si>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</si>
  <si>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</si>
  <si>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</si>
  <si>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</si>
  <si>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 xml:space="preserve">Краснодарский край (тариф на водоотведение)  </t>
  </si>
  <si>
    <t>61</t>
  </si>
  <si>
    <t>Город Горячий Ключ</t>
  </si>
  <si>
    <t>03709000</t>
  </si>
  <si>
    <t>2</t>
  </si>
  <si>
    <t>×</t>
  </si>
  <si>
    <t>66</t>
  </si>
  <si>
    <t>Город-курорт Сочи</t>
  </si>
  <si>
    <t>03726000</t>
  </si>
  <si>
    <t>110</t>
  </si>
  <si>
    <t>Кавказский муниципальный район</t>
  </si>
  <si>
    <t>Кропоткинское городское</t>
  </si>
  <si>
    <t>03618101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</si>
  <si>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</si>
  <si>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</si>
  <si>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</si>
  <si>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</si>
  <si>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</si>
  <si>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</si>
  <si>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</si>
  <si>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</si>
  <si>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5</t>
  </si>
  <si>
    <t>8</t>
  </si>
  <si>
    <t>ID_DIFF</t>
  </si>
  <si>
    <t>VD</t>
  </si>
  <si>
    <t>AREA</t>
  </si>
  <si>
    <t>SYSTEM</t>
  </si>
  <si>
    <t>diff_1</t>
  </si>
  <si>
    <t>4189714</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</si>
  <si>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</si>
  <si>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</si>
  <si>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</si>
  <si>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</si>
  <si>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</si>
  <si>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</si>
  <si>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</si>
  <si>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</si>
  <si>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</si>
  <si>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</si>
  <si>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</si>
  <si>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</si>
  <si>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</si>
  <si>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</si>
  <si>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</si>
  <si>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</si>
  <si>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</si>
  <si>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</si>
  <si>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</si>
  <si>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</si>
  <si>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</si>
  <si>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</si>
  <si>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</si>
  <si>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</si>
  <si>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</si>
  <si>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</si>
  <si>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</si>
  <si>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</si>
  <si>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</si>
  <si>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</si>
  <si>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</si>
  <si>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</si>
  <si>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</si>
  <si>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</si>
  <si>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</si>
  <si>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</si>
  <si>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</si>
  <si>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</si>
  <si>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</si>
  <si>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</si>
  <si>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</si>
  <si>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</si>
  <si>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pt_cs_60</t>
  </si>
  <si>
    <t>pt_ist_te_86</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</si>
  <si>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</si>
  <si>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</si>
  <si>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</si>
  <si>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</si>
  <si>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</si>
  <si>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</si>
  <si>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</si>
  <si>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</si>
  <si>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</si>
  <si>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</si>
  <si>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</si>
  <si>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</si>
  <si>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</si>
  <si>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</si>
  <si>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</si>
  <si>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</si>
  <si>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</si>
  <si>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</si>
  <si>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</si>
  <si>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</si>
  <si>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</si>
  <si>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</si>
  <si>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</si>
  <si>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</si>
  <si>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</si>
  <si>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</si>
  <si>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</si>
  <si>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</si>
  <si>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</si>
  <si>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</si>
  <si>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pt_ter_44</t>
  </si>
  <si>
    <t>pt_cs_50</t>
  </si>
  <si>
    <t>pt_ist_te_76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</si>
  <si>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</si>
  <si>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</si>
  <si>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</si>
  <si>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</si>
  <si>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</si>
  <si>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</si>
  <si>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</si>
  <si>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</si>
  <si>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</si>
  <si>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</si>
  <si>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</si>
  <si>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</si>
  <si>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</si>
  <si>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</si>
  <si>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</si>
  <si>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</si>
  <si>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</si>
  <si>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</si>
  <si>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</si>
  <si>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</si>
  <si>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</si>
  <si>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</si>
  <si>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</si>
  <si>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</si>
  <si>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</si>
  <si>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</si>
  <si>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</si>
  <si>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</si>
  <si>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</si>
  <si>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</si>
  <si>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</si>
  <si>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</si>
  <si>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</si>
  <si>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</si>
  <si>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</si>
  <si>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</si>
  <si>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</si>
  <si>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</si>
  <si>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</si>
  <si>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</si>
  <si>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</si>
  <si>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</si>
  <si>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</si>
  <si>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</si>
  <si>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</si>
  <si>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</si>
  <si>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</si>
  <si>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</si>
  <si>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</si>
  <si>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</si>
  <si>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</si>
  <si>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</si>
  <si>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</si>
  <si>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</si>
  <si>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</si>
  <si>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</si>
  <si>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</si>
  <si>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</si>
  <si>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</si>
  <si>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</si>
  <si>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</si>
  <si>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</si>
  <si>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</si>
  <si>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</si>
  <si>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</si>
  <si>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</si>
  <si>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</si>
  <si>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</si>
  <si>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</si>
  <si>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</si>
  <si>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</si>
  <si>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</si>
  <si>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</si>
  <si>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</si>
  <si>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</si>
  <si>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</si>
  <si>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</si>
  <si>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</si>
  <si>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</si>
  <si>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</si>
  <si>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</si>
  <si>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</si>
  <si>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</si>
  <si>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</si>
  <si>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</si>
  <si>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</si>
  <si>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</si>
  <si>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</si>
  <si>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</si>
  <si>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</si>
  <si>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</si>
  <si>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</si>
  <si>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</si>
  <si>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</si>
  <si>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</si>
  <si>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</si>
  <si>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</si>
  <si>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</si>
  <si>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</si>
  <si>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</si>
  <si>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</si>
  <si>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</si>
  <si>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</si>
  <si>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</si>
  <si>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</si>
  <si>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</si>
  <si>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</si>
  <si>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</si>
  <si>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</si>
  <si>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</si>
  <si>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</si>
  <si>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</si>
  <si>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</si>
  <si>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</si>
  <si>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</si>
  <si>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</si>
  <si>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</si>
  <si>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</si>
  <si>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</si>
  <si>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</si>
  <si>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</si>
  <si>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</si>
  <si>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</si>
  <si>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</si>
  <si>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</si>
  <si>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</si>
  <si>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</si>
  <si>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</si>
  <si>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</si>
  <si>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</si>
  <si>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</si>
  <si>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</si>
  <si>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</si>
  <si>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</si>
  <si>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</si>
  <si>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</si>
  <si>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</si>
  <si>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</si>
  <si>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</si>
  <si>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</si>
  <si>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</si>
  <si>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</si>
  <si>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</si>
  <si>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</si>
  <si>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</si>
  <si>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</si>
  <si>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</si>
  <si>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</si>
  <si>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</si>
  <si>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</si>
  <si>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</si>
  <si>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</si>
  <si>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</si>
  <si>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</si>
  <si>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</si>
  <si>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</si>
  <si>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</si>
  <si>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</si>
  <si>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</si>
  <si>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</si>
  <si>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</si>
  <si>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</si>
  <si>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</si>
  <si>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</si>
  <si>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</si>
  <si>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</si>
  <si>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</si>
  <si>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</si>
  <si>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</si>
  <si>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</si>
  <si>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</si>
  <si>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</si>
  <si>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</si>
  <si>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</si>
  <si>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</si>
  <si>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</si>
  <si>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</si>
  <si>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</si>
  <si>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</si>
  <si>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</si>
  <si>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</si>
  <si>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</si>
  <si>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</si>
  <si>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</si>
  <si>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</si>
  <si>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</si>
  <si>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</si>
  <si>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</si>
  <si>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</si>
  <si>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</si>
  <si>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</si>
  <si>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</si>
  <si>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</si>
  <si>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</si>
  <si>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Имя листа</t>
  </si>
  <si>
    <t>Наименование, номер формы</t>
  </si>
  <si>
    <t>HEAT</t>
  </si>
  <si>
    <t>COLDVSNA</t>
  </si>
  <si>
    <t>VOTV</t>
  </si>
  <si>
    <t>HOTVSNA</t>
  </si>
  <si>
    <t>TKO</t>
  </si>
  <si>
    <t>ТП</t>
  </si>
  <si>
    <t>16</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</si>
  <si>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</si>
  <si>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</si>
  <si>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</si>
  <si>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</si>
  <si>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</si>
  <si>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</si>
  <si>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</si>
  <si>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</si>
  <si>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</si>
  <si>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</si>
  <si>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</si>
  <si>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</si>
  <si>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</si>
  <si>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</si>
  <si>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</si>
  <si>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</si>
  <si>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</si>
  <si>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PRICE_x000D_
_x000D_
Т-ТН_x000D_
Т-передача ТЭ_x000D_
Т-передача ТН</t>
  </si>
  <si>
    <t>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</si>
  <si>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PRICE_x000D_
_x000D_
Т-гор.вода</t>
  </si>
  <si>
    <t>Форма 6.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&lt;1&gt;</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</si>
  <si>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</si>
  <si>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</si>
  <si>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</si>
  <si>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</si>
  <si>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REQUEST_x000D_
_x000D_
Т-ТН_x000D_
Т-передача ТЭ_x000D_
Т-передача ТН</t>
  </si>
  <si>
    <t>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</si>
  <si>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REQUEST_x000D_
_x000D_
Т-гор.вода</t>
  </si>
  <si>
    <t>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</si>
  <si>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</si>
  <si>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 xml:space="preserve">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</si>
  <si>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</si>
  <si>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</si>
  <si>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</si>
  <si>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</si>
  <si>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</si>
  <si>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</si>
  <si>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</si>
  <si>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</si>
  <si>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</si>
  <si>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</si>
  <si>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</si>
  <si>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</si>
  <si>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</si>
  <si>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</si>
  <si>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</si>
  <si>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</si>
  <si>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</si>
  <si>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</si>
  <si>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</si>
  <si>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</si>
  <si>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</si>
  <si>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</si>
  <si>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</si>
  <si>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</si>
  <si>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</si>
  <si>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27</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</si>
  <si>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</si>
  <si>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</si>
  <si>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</si>
  <si>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</si>
  <si>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19</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</si>
  <si>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</si>
  <si>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</si>
  <si>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</si>
  <si>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</si>
  <si>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</si>
  <si>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</si>
  <si>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</si>
  <si>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</si>
  <si>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</si>
  <si>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</si>
  <si>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</si>
  <si>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25</t>
  </si>
  <si>
    <t>24</t>
  </si>
  <si>
    <t>45</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</si>
  <si>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</si>
  <si>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</si>
  <si>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</si>
  <si>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</si>
  <si>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</si>
  <si>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</si>
  <si>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</si>
  <si>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</si>
  <si>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</si>
  <si>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</si>
  <si>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</si>
  <si>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</si>
  <si>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</si>
  <si>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</si>
  <si>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</si>
  <si>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</si>
  <si>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</si>
  <si>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BALANCE</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</si>
  <si>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</si>
  <si>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</si>
  <si>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</si>
  <si>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</si>
  <si>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</si>
  <si>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</si>
  <si>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</si>
  <si>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</si>
  <si>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</si>
  <si>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</si>
  <si>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</si>
  <si>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2.1</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</si>
  <si>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</si>
  <si>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</si>
  <si>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</si>
  <si>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</si>
  <si>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</si>
  <si>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</si>
  <si>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</si>
  <si>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</si>
  <si>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</si>
  <si>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</si>
  <si>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</si>
  <si>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</si>
  <si>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</si>
  <si>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</si>
  <si>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</si>
  <si>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</si>
  <si>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</si>
  <si>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</si>
  <si>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</si>
  <si>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</si>
  <si>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</si>
  <si>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</si>
  <si>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</si>
  <si>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</si>
  <si>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</si>
  <si>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</si>
  <si>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</si>
  <si>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</si>
  <si>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</si>
  <si>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</si>
  <si>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</si>
  <si>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</si>
  <si>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</si>
  <si>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</si>
  <si>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</si>
  <si>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</si>
  <si>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</si>
  <si>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</si>
  <si>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</si>
  <si>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</si>
  <si>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</si>
  <si>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</si>
  <si>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</si>
  <si>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</si>
  <si>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</si>
  <si>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</si>
  <si>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</si>
  <si>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</si>
  <si>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</si>
  <si>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</si>
  <si>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</si>
  <si>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</si>
  <si>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</si>
  <si>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</si>
  <si>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</si>
  <si>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</si>
  <si>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</si>
  <si>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</si>
  <si>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</si>
  <si>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</si>
  <si>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</si>
  <si>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</si>
  <si>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</si>
  <si>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</si>
  <si>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</si>
  <si>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</si>
  <si>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</si>
  <si>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</si>
  <si>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</si>
  <si>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</si>
  <si>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</si>
  <si>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</si>
  <si>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</si>
  <si>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</si>
  <si>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</si>
  <si>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</si>
  <si>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</si>
  <si>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</si>
  <si>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</si>
  <si>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</si>
  <si>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</si>
  <si>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</si>
  <si>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</si>
  <si>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</si>
  <si>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</si>
  <si>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</si>
  <si>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</si>
  <si>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</si>
  <si>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</si>
  <si>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</si>
  <si>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</si>
  <si>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</si>
  <si>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</si>
  <si>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</si>
  <si>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</si>
  <si>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</si>
  <si>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</si>
  <si>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</si>
  <si>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</si>
  <si>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</si>
  <si>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</si>
  <si>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</si>
  <si>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</si>
  <si>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</si>
  <si>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</si>
  <si>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</si>
  <si>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</si>
  <si>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</si>
  <si>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</si>
  <si>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</si>
  <si>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</si>
  <si>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</si>
  <si>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</si>
  <si>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</si>
  <si>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1.1</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</si>
  <si>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</si>
  <si>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</si>
  <si>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</si>
  <si>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</si>
  <si>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</si>
  <si>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1.2</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</si>
  <si>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</si>
  <si>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</si>
  <si>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</si>
  <si>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</si>
  <si>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</si>
  <si>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</si>
  <si>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</si>
  <si>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</si>
  <si>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</si>
  <si>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</si>
  <si>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</si>
  <si>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</si>
  <si>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</si>
  <si>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</si>
  <si>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</si>
  <si>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</si>
  <si>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</si>
  <si>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</si>
  <si>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</si>
  <si>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</si>
  <si>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</si>
  <si>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</si>
  <si>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</si>
  <si>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</si>
  <si>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</si>
  <si>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</si>
  <si>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</si>
  <si>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</si>
  <si>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</si>
  <si>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</si>
  <si>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</si>
  <si>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</si>
  <si>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</si>
  <si>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</si>
  <si>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</si>
  <si>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</si>
  <si>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</si>
  <si>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</si>
  <si>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</si>
  <si>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</si>
  <si>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</si>
  <si>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</si>
  <si>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</si>
  <si>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</si>
  <si>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</si>
  <si>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</si>
  <si>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</si>
  <si>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</si>
  <si>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</si>
  <si>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</si>
  <si>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</si>
  <si>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</si>
  <si>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</si>
  <si>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</si>
  <si>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</si>
  <si>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</si>
  <si>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</si>
  <si>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</si>
  <si>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</si>
  <si>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</si>
  <si>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</si>
  <si>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</si>
  <si>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</si>
  <si>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</si>
  <si>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</si>
  <si>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</si>
  <si>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</si>
  <si>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</si>
  <si>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</si>
  <si>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15</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</si>
  <si>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</si>
  <si>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</si>
  <si>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</si>
  <si>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</si>
  <si>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</si>
  <si>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</si>
  <si>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</si>
  <si>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</si>
  <si>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17</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</si>
  <si>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</si>
  <si>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</si>
  <si>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</si>
  <si>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18</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</si>
  <si>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</si>
  <si>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</si>
  <si>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</si>
  <si>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</si>
  <si>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</si>
  <si>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</si>
  <si>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</si>
  <si>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</si>
  <si>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TERMS</t>
  </si>
  <si>
    <t>27/44</t>
  </si>
  <si>
    <t>26</t>
  </si>
  <si>
    <t>47</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</si>
  <si>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</si>
  <si>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</si>
  <si>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</si>
  <si>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INVEST</t>
  </si>
  <si>
    <t>REQUEST</t>
  </si>
  <si>
    <t>PRICE</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</si>
  <si>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</si>
  <si>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</si>
  <si>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</si>
  <si>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</si>
  <si>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</si>
  <si>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</si>
  <si>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</si>
  <si>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</si>
  <si>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</si>
  <si>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</si>
  <si>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</si>
  <si>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</si>
  <si>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</si>
  <si>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</si>
  <si>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</si>
  <si>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</si>
  <si>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</si>
  <si>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</si>
  <si>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</si>
  <si>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</si>
  <si>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</si>
  <si>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</si>
  <si>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</si>
  <si>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</si>
  <si>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</si>
  <si>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</si>
  <si>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</si>
  <si>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</si>
  <si>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</si>
  <si>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</si>
  <si>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</si>
  <si>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</si>
  <si>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</si>
  <si>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</si>
  <si>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</si>
  <si>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</si>
  <si>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</si>
  <si>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</si>
  <si>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</si>
  <si>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</si>
  <si>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</si>
  <si>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</si>
  <si>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</si>
  <si>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</si>
  <si>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</si>
  <si>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</si>
  <si>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</si>
  <si>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</si>
  <si>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</si>
  <si>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</si>
  <si>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</si>
  <si>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</si>
  <si>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</si>
  <si>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</si>
  <si>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</si>
  <si>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</si>
  <si>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</si>
  <si>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</si>
  <si>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</si>
  <si>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</si>
  <si>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</si>
  <si>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</si>
  <si>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</si>
  <si>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</si>
  <si>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</si>
  <si>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</si>
  <si>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</si>
  <si>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</si>
  <si>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</si>
  <si>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</si>
  <si>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</si>
  <si>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</si>
  <si>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</si>
  <si>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</si>
  <si>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</si>
  <si>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</si>
  <si>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</si>
  <si>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</si>
  <si>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</si>
  <si>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</si>
  <si>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</si>
  <si>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</si>
  <si>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</si>
  <si>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</si>
  <si>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</si>
  <si>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</si>
  <si>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</si>
  <si>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</si>
  <si>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</si>
  <si>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</si>
  <si>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</si>
  <si>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</si>
  <si>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</si>
  <si>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</si>
  <si>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</si>
  <si>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</si>
  <si>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</si>
  <si>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</si>
  <si>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</si>
  <si>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</si>
  <si>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</si>
  <si>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</si>
  <si>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</si>
  <si>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</si>
  <si>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</si>
  <si>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</si>
  <si>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</si>
  <si>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</si>
  <si>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</si>
  <si>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</si>
  <si>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</si>
  <si>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</si>
  <si>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</si>
  <si>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</si>
  <si>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</si>
  <si>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</si>
  <si>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</si>
  <si>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</si>
  <si>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</si>
  <si>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</si>
  <si>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</si>
  <si>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</si>
  <si>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</si>
  <si>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</si>
  <si>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</si>
  <si>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</si>
  <si>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</si>
  <si>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</si>
  <si>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</si>
  <si>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</si>
  <si>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</si>
  <si>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</si>
  <si>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</si>
  <si>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</si>
  <si>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</si>
  <si>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</si>
  <si>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</si>
  <si>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</si>
  <si>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</si>
  <si>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</si>
  <si>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</si>
  <si>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</si>
  <si>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</si>
  <si>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</si>
  <si>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</si>
  <si>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</si>
  <si>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</si>
  <si>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</si>
  <si>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</si>
  <si>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</si>
  <si>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</si>
  <si>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</si>
  <si>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</si>
  <si>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</si>
  <si>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</si>
  <si>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</si>
  <si>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</si>
  <si>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</si>
  <si>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</si>
  <si>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</si>
  <si>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</si>
  <si>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</si>
  <si>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</si>
  <si>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</si>
  <si>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</si>
  <si>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</si>
  <si>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</si>
  <si>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</si>
  <si>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</si>
  <si>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</si>
  <si>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</si>
  <si>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</si>
  <si>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</si>
  <si>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</si>
  <si>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</si>
  <si>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</si>
  <si>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</si>
  <si>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</si>
  <si>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</si>
  <si>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</si>
  <si>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</si>
  <si>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</si>
  <si>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</si>
  <si>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</si>
  <si>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</si>
  <si>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</si>
  <si>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</si>
  <si>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</si>
  <si>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</si>
  <si>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</si>
  <si>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</si>
  <si>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</si>
  <si>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</si>
  <si>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</si>
  <si>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</si>
  <si>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</si>
  <si>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</si>
  <si>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</si>
  <si>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</si>
  <si>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</si>
  <si>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</si>
  <si>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</si>
  <si>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</si>
  <si>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</si>
  <si>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</si>
  <si>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</si>
  <si>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</si>
  <si>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</si>
  <si>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</si>
  <si>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</si>
  <si>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</si>
  <si>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</si>
  <si>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</si>
  <si>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</si>
  <si>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</si>
  <si>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</si>
  <si>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</si>
  <si>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</si>
  <si>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</si>
  <si>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</si>
  <si>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</si>
  <si>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</si>
  <si>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</si>
  <si>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</si>
  <si>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</si>
  <si>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</si>
  <si>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</si>
  <si>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</si>
  <si>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</si>
  <si>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</si>
  <si>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</si>
  <si>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</si>
  <si>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</si>
  <si>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</si>
  <si>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</si>
  <si>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</si>
  <si>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</si>
  <si>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</si>
  <si>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</si>
  <si>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</si>
  <si>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</si>
  <si>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</si>
  <si>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</si>
  <si>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</si>
  <si>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</si>
  <si>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</si>
  <si>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</si>
  <si>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</si>
  <si>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</si>
  <si>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</si>
  <si>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</si>
  <si>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</si>
  <si>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</si>
  <si>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</si>
  <si>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</si>
  <si>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</si>
  <si>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</si>
  <si>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</si>
  <si>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</si>
  <si>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</si>
  <si>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</si>
  <si>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</si>
  <si>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</si>
  <si>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</si>
  <si>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</si>
  <si>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</si>
  <si>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</si>
  <si>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</si>
  <si>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</si>
  <si>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</si>
  <si>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</si>
  <si>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</si>
  <si>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</si>
  <si>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</si>
  <si>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</si>
  <si>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</si>
  <si>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</si>
  <si>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</si>
  <si>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</si>
  <si>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</si>
  <si>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</si>
  <si>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</si>
  <si>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</si>
  <si>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</si>
  <si>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</si>
  <si>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</si>
  <si>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</si>
  <si>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</si>
  <si>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</si>
  <si>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</si>
  <si>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</si>
  <si>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</si>
  <si>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</si>
  <si>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</si>
  <si>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</si>
  <si>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</si>
  <si>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</si>
  <si>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</si>
  <si>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</si>
  <si>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</si>
  <si>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</si>
  <si>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</si>
  <si>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</si>
  <si>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</si>
  <si>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</si>
  <si>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</si>
  <si>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</si>
  <si>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</si>
  <si>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</si>
  <si>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</si>
  <si>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</si>
  <si>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</si>
  <si>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</si>
  <si>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</si>
  <si>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</si>
  <si>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</si>
  <si>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</si>
  <si>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</si>
  <si>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</si>
  <si>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</si>
  <si>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</si>
  <si>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</si>
  <si>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</si>
  <si>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</si>
  <si>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</si>
  <si>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</si>
  <si>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</si>
  <si>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</si>
  <si>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</si>
  <si>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</si>
  <si>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</si>
  <si>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</si>
  <si>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в т.ч. подвоз воды</t>
  </si>
  <si>
    <t>Горячее водоснабжение</t>
  </si>
  <si>
    <t>Водоотведение, в том числе очистка сточных вод, обращение с осадком сточных вод</t>
  </si>
  <si>
    <t>Захоронение твердых коммунальных отходов</t>
  </si>
  <si>
    <t>Кабардино-Балкарская республика</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</si>
  <si>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</si>
  <si>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</si>
  <si>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</si>
  <si>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</si>
  <si>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Подключение (технологическое присоединение) к централизованной системе водоснабжения</t>
  </si>
  <si>
    <t>Транспортировка</t>
  </si>
  <si>
    <t>Прием и транспортировка сточных вод</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</si>
  <si>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</si>
  <si>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</si>
  <si>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</si>
  <si>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</si>
  <si>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</si>
  <si>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</si>
  <si>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</si>
  <si>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в т.ч. транспортировка воды, включая распределение воды</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</si>
  <si>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</si>
  <si>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</si>
  <si>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</si>
  <si>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</si>
  <si>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</si>
  <si>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</si>
  <si>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</si>
  <si>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</si>
  <si>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Камчатский край</t>
  </si>
  <si>
    <t>21</t>
  </si>
  <si>
    <t>снижение аварийности</t>
  </si>
  <si>
    <t>кислородно-водородная смесь</t>
  </si>
  <si>
    <t>Передача. Тепловая энергия</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</si>
  <si>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</si>
  <si>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</si>
  <si>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</si>
  <si>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</si>
  <si>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</si>
  <si>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</si>
  <si>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</si>
  <si>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Кемеровская область</t>
  </si>
  <si>
    <t>23</t>
  </si>
  <si>
    <t>повышение надёжности и энергетической эффективности</t>
  </si>
  <si>
    <t>электроэнергия (СН1)</t>
  </si>
  <si>
    <t>Сбыт. Тепловая энергия</t>
  </si>
  <si>
    <t>Кировская область</t>
  </si>
  <si>
    <t>CROSSES</t>
  </si>
  <si>
    <t>электроэнергия (СН2)</t>
  </si>
  <si>
    <t>Сбыт. Теплоноситель</t>
  </si>
  <si>
    <t>Костромская область</t>
  </si>
  <si>
    <t>электроэнергия (ВН)</t>
  </si>
  <si>
    <t>Подключение (технологическое присоединение) к системе теплоснабжения</t>
  </si>
  <si>
    <t>Текущая дата</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</si>
  <si>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</si>
  <si>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</si>
  <si>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</si>
  <si>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</si>
  <si>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</si>
  <si>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</si>
  <si>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</si>
  <si>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</si>
  <si>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</si>
  <si>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</si>
  <si>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</si>
  <si>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</si>
  <si>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</si>
  <si>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</si>
  <si>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</si>
  <si>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</si>
  <si>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</si>
  <si>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</si>
  <si>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</si>
  <si>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</si>
  <si>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</si>
  <si>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</si>
  <si>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</si>
  <si>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</si>
  <si>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</si>
  <si>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</si>
  <si>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</si>
  <si>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</si>
  <si>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</si>
  <si>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</si>
  <si>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</si>
  <si>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</si>
  <si>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</si>
  <si>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</si>
  <si>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</si>
  <si>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</si>
  <si>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</si>
  <si>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</si>
  <si>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</si>
  <si>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</si>
  <si>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</si>
  <si>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</si>
  <si>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</si>
  <si>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</si>
  <si>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</si>
  <si>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</si>
  <si>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</si>
  <si>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</si>
  <si>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</si>
  <si>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</si>
  <si>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</si>
  <si>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</si>
  <si>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</si>
  <si>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</si>
  <si>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</si>
  <si>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</si>
  <si>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</si>
  <si>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</si>
  <si>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</si>
  <si>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</si>
  <si>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</si>
  <si>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</si>
  <si>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</si>
  <si>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</si>
  <si>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</si>
  <si>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</si>
  <si>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</si>
  <si>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</si>
  <si>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</si>
  <si>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</si>
  <si>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</si>
  <si>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</si>
  <si>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</si>
  <si>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</si>
  <si>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</si>
  <si>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</si>
  <si>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</si>
  <si>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</si>
  <si>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</si>
  <si>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</si>
  <si>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</si>
  <si>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</si>
  <si>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</si>
  <si>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</si>
  <si>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</si>
  <si>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</si>
  <si>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</si>
  <si>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</si>
  <si>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</si>
  <si>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</si>
  <si>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</si>
  <si>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</si>
  <si>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</si>
  <si>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</si>
  <si>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</si>
  <si>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</si>
  <si>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</si>
  <si>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</si>
  <si>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</si>
  <si>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</si>
  <si>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</si>
  <si>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</si>
  <si>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</si>
  <si>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</si>
  <si>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</si>
  <si>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</si>
  <si>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</si>
  <si>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t>
  </si>
  <si>
    <t>48</t>
  </si>
  <si>
    <t>Экономия средств, достигнутая регулируемой организацией в результате снижения расходов</t>
  </si>
  <si>
    <t>Республика Бурятия</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</si>
  <si>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</si>
  <si>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</si>
  <si>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</si>
  <si>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</si>
  <si>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</si>
  <si>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</si>
  <si>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</si>
  <si>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</si>
  <si>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</si>
  <si>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</si>
  <si>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</si>
  <si>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</si>
  <si>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</si>
  <si>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</si>
  <si>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</si>
  <si>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</si>
  <si>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</si>
  <si>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</si>
  <si>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</si>
  <si>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</si>
  <si>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</si>
  <si>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</si>
  <si>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</si>
  <si>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</si>
  <si>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</si>
  <si>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</si>
  <si>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</si>
  <si>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</si>
  <si>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</si>
  <si>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</si>
  <si>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</si>
  <si>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</si>
  <si>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</si>
  <si>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</si>
  <si>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</si>
  <si>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</si>
  <si>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</si>
  <si>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</si>
  <si>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</si>
  <si>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</si>
  <si>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</si>
  <si>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</si>
  <si>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</si>
  <si>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</si>
  <si>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</si>
  <si>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</si>
  <si>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</si>
  <si>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</si>
  <si>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</si>
  <si>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</si>
  <si>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</si>
  <si>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</si>
  <si>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</si>
  <si>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</si>
  <si>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</si>
  <si>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</si>
  <si>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</si>
  <si>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</si>
  <si>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</si>
  <si>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</si>
  <si>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</si>
  <si>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</si>
  <si>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</si>
  <si>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</si>
  <si>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</si>
  <si>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</si>
  <si>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Ставропольский край</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</si>
  <si>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</si>
  <si>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</si>
  <si>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</si>
  <si>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</si>
  <si>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</si>
  <si>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</si>
  <si>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</si>
  <si>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</si>
  <si>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</si>
  <si>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</si>
  <si>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</si>
  <si>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</si>
  <si>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</si>
  <si>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</si>
  <si>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</si>
  <si>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</si>
  <si>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</si>
  <si>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</si>
  <si>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</si>
  <si>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</si>
  <si>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</si>
  <si>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</si>
  <si>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</si>
  <si>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</si>
  <si>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</si>
  <si>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</si>
  <si>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</si>
  <si>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</si>
  <si>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</si>
  <si>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</si>
  <si>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</si>
  <si>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</si>
  <si>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</si>
  <si>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</si>
  <si>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</si>
  <si>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</si>
  <si>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</si>
  <si>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</si>
  <si>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</si>
  <si>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</si>
  <si>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</si>
  <si>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</si>
  <si>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</si>
  <si>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</si>
  <si>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</si>
  <si>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</si>
  <si>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</si>
  <si>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</si>
  <si>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</si>
  <si>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</si>
  <si>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</si>
  <si>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</si>
  <si>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</si>
  <si>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</si>
  <si>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</si>
  <si>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</si>
  <si>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</si>
  <si>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</si>
  <si>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</si>
  <si>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</si>
  <si>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</si>
  <si>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</si>
  <si>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</si>
  <si>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</si>
  <si>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</si>
  <si>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</si>
  <si>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</si>
  <si>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</si>
  <si>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</si>
  <si>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</si>
  <si>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</si>
  <si>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</si>
  <si>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HEAT_IP_EVENT_CI_STAGE_LIST</t>
  </si>
  <si>
    <t>VSNA_IP_EVENT_CI_STAGE_LIST</t>
  </si>
  <si>
    <t>VOTV_IP_EVENT_CI_STAGE_LIST</t>
  </si>
  <si>
    <t>OTKO_IP_EVENT_CI_STAGE_LIST</t>
  </si>
  <si>
    <t>производство тепловой энергии</t>
  </si>
  <si>
    <t>на забор и подъём воды</t>
  </si>
  <si>
    <t>на транспортировку сточных вод</t>
  </si>
  <si>
    <t>сбор</t>
  </si>
  <si>
    <t>передача теплоэнергии по региональным тепловым сетям</t>
  </si>
  <si>
    <t>на водоподготовку</t>
  </si>
  <si>
    <t>очистка сточных вод</t>
  </si>
  <si>
    <t>накопление</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</si>
  <si>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</si>
  <si>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</si>
  <si>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</si>
  <si>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</si>
  <si>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</si>
  <si>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утилизация</t>
  </si>
  <si>
    <t>обезвреживание</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</si>
  <si>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</si>
  <si>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</si>
  <si>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</si>
  <si>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</si>
  <si>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</si>
  <si>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</si>
  <si>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</si>
  <si>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</si>
  <si>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Водоотведение</t>
  </si>
  <si>
    <t>Обращение с твердыми коммунальными отходами</t>
  </si>
  <si>
    <t>Прочие объекты и мероприятия, относимые к регулируемому виду деятельности</t>
  </si>
  <si>
    <t>HEAT_PT_SCHEME</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</si>
  <si>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</si>
  <si>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</si>
  <si>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</si>
  <si>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</si>
  <si>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</si>
  <si>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</si>
  <si>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</si>
  <si>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</si>
  <si>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</si>
  <si>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</si>
  <si>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</si>
  <si>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</si>
  <si>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</si>
  <si>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</si>
  <si>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</si>
  <si>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</si>
  <si>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</si>
  <si>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</si>
  <si>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</si>
  <si>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</si>
  <si>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</si>
  <si>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</si>
  <si>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</si>
  <si>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</si>
  <si>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</si>
  <si>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</si>
  <si>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</si>
  <si>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</si>
  <si>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</si>
  <si>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</si>
  <si>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</si>
  <si>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</si>
  <si>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</si>
  <si>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</si>
  <si>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</si>
  <si>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</si>
  <si>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</si>
  <si>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</si>
  <si>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</si>
  <si>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</si>
  <si>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Добавить товар/услугу</t>
  </si>
  <si>
    <t>Добавить способ</t>
  </si>
  <si>
    <t>et_DIFFERENTIATION_TARIFF(_etc)</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</si>
  <si>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</si>
  <si>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</si>
  <si>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</si>
  <si>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</si>
  <si>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</si>
  <si>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</si>
  <si>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</si>
  <si>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</si>
  <si>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</si>
  <si>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</si>
  <si>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</si>
  <si>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</si>
  <si>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</si>
  <si>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</si>
  <si>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</si>
  <si>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</si>
  <si>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</si>
  <si>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</si>
  <si>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</si>
  <si>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</si>
  <si>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</si>
  <si>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</si>
  <si>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</si>
  <si>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</si>
  <si>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</si>
  <si>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</si>
  <si>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</si>
  <si>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</si>
  <si>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</si>
  <si>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</si>
  <si>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</si>
  <si>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</si>
  <si>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</si>
  <si>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</si>
  <si>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</si>
  <si>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</si>
  <si>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</si>
  <si>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</si>
  <si>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</si>
  <si>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</si>
  <si>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</si>
  <si>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</si>
  <si>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</si>
  <si>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</si>
  <si>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</si>
  <si>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</si>
  <si>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</si>
  <si>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</si>
  <si>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</si>
  <si>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</si>
  <si>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</si>
  <si>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</si>
  <si>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</si>
  <si>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</si>
  <si>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</si>
  <si>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</si>
  <si>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</si>
  <si>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</si>
  <si>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</si>
  <si>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</si>
  <si>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</si>
  <si>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</si>
  <si>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</si>
  <si>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</si>
  <si>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</si>
  <si>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</si>
  <si>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</si>
  <si>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</si>
  <si>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</si>
  <si>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</si>
  <si>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</si>
  <si>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</si>
  <si>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</si>
  <si>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</si>
  <si>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</si>
  <si>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</si>
  <si>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</si>
  <si>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</si>
  <si>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</si>
  <si>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</si>
  <si>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</si>
  <si>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</si>
  <si>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</si>
  <si>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</si>
  <si>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</si>
  <si>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</si>
  <si>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</si>
  <si>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</si>
  <si>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</si>
  <si>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</si>
  <si>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</si>
  <si>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</si>
  <si>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</si>
  <si>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</si>
  <si>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</si>
  <si>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</si>
  <si>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</si>
  <si>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</si>
  <si>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</si>
  <si>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</si>
  <si>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</si>
  <si>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</si>
  <si>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</si>
  <si>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</si>
  <si>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</si>
  <si>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</si>
  <si>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</si>
  <si>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</si>
  <si>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</si>
  <si>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</si>
  <si>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Подключаемая тепловая нагрузка,_x000D_
куб.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</si>
  <si>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</si>
  <si>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</si>
  <si>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</si>
  <si>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с НДС</t>
  </si>
  <si>
    <t>без НДС</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</si>
  <si>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</si>
  <si>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</si>
  <si>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</si>
  <si>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</si>
  <si>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</si>
  <si>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</si>
  <si>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</si>
  <si>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</si>
  <si>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</si>
  <si>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</si>
  <si>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</si>
  <si>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</si>
  <si>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</si>
  <si>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</si>
  <si>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</si>
  <si>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</si>
  <si>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</si>
  <si>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</si>
  <si>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</si>
  <si>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</si>
  <si>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</si>
  <si>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</si>
  <si>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</si>
  <si>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</si>
  <si>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</si>
  <si>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</si>
  <si>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</si>
  <si>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</si>
  <si>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</si>
  <si>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</si>
  <si>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</si>
  <si>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</si>
  <si>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</si>
  <si>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</si>
  <si>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</si>
  <si>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</si>
  <si>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</si>
  <si>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</si>
  <si>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</si>
  <si>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</si>
  <si>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</si>
  <si>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</si>
  <si>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</si>
  <si>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</si>
  <si>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</si>
  <si>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</si>
  <si>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</si>
  <si>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</si>
  <si>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</si>
  <si>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</si>
  <si>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</si>
  <si>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</si>
  <si>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</si>
  <si>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</si>
  <si>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</si>
  <si>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</si>
  <si>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</si>
  <si>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</si>
  <si>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</si>
  <si>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</si>
  <si>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</si>
  <si>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</si>
  <si>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4.3</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</si>
  <si>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</si>
  <si>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руб.</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</si>
  <si>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</si>
  <si>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</si>
  <si>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</si>
  <si>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</si>
  <si>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</si>
  <si>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</si>
  <si>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</si>
  <si>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</si>
  <si>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Централизованная система водоотведения</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</si>
  <si>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</si>
  <si>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</si>
  <si>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</si>
  <si>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</si>
  <si>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</si>
  <si>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</si>
  <si>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</si>
  <si>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</si>
  <si>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</si>
  <si>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</si>
  <si>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</si>
  <si>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</si>
  <si>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</si>
  <si>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</si>
  <si>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</si>
  <si>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</si>
  <si>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</si>
  <si>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</si>
  <si>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</si>
  <si>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</si>
  <si>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</si>
  <si>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</si>
  <si>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</si>
  <si>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</si>
  <si>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</si>
  <si>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</si>
  <si>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</si>
  <si>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</si>
  <si>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</si>
  <si>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</si>
  <si>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r>
      <t>Форма 4.10.1 Информация о предложении регулируемой организацией об установлении тарифов в сфере теплоснабжения на очередной период регулирования</t>
    </r>
    <r>
      <rPr>
        <charset val="204"/>
        <family val="2"/>
        <rFont val="Tahoma"/>
        <sz val="10"/>
        <vertAlign val="superscript"/>
      </rPr>
      <t>1</t>
    </r>
  </si>
  <si>
    <t>Описание параметров -&gt;</t>
  </si>
  <si>
    <t>Период действия тарифов</t>
  </si>
  <si>
    <t>по</t>
  </si>
  <si>
    <t>Копия инвестиционной программы, утвержденной в установленном законодательством Российской Федерации порядке, а до ее утверждения копия проекта инвестиционной программы</t>
  </si>
  <si>
    <t>Заполняется в случае наличия инвестиционной программы (проекта инвестиционной программы) в отчетном периоде._x000D_
В колонке «Информация» указывается наименование инвестиционной программы._x000D_
В колонке «Ссылка на документ» указывается ссылка на документ, предварительно загруженный в хранилище файлов ФГИС ЕИАС.</t>
  </si>
  <si>
    <t>Предлагаемый метод регулирования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</si>
  <si>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Значение в колонке «Информация» выбирается из перечня: Метод экономически обоснованных расходов (затрат); Метод индексации установленных тарифов; Метод обеспечения доходности инвестированного капитала; Метод сравнения аналогов._x000D_
Даты начала и окончания периода действия тарифов указывается в виде «ДД.ММ.ГГГГ»._x000D_
В случае дифференциации предлагаемых методов регулирования видам тарифов и (или) по периодам действия тарифов информация по каждому из них указывается в отдельной строке.</t>
  </si>
  <si>
    <t>Добавить ВТ</t>
  </si>
  <si>
    <t>Долгосрочные параметры регулирования (в случае если их установление предусмотрено выбранным методом регулирования)</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</si>
  <si>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</si>
  <si>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</si>
  <si>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необходимой валовой выручки указывается в колонке «Информация» в тыс. руб._x000D_
В случае дифференциации необходимой валовой выручки по видам тарифов и (или) по периодам действия тарифов информация указывается в отдельных строках.</t>
  </si>
  <si>
    <t>Годовой объем полезного отпуска тепловой энергии (теплоносителя)</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</si>
  <si>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годового объема полезного отпуска тепловой энергии (теплоносителя) указывается в колонке «Информация» в тыс. Гкал._x000D_
В случае дифференциации объема полезного отпуска тепловой энергии (теплоносителя) по видам тарифов и (или) по периодам действия тарифов информация указывается в отдельных строках.</t>
  </si>
  <si>
    <t xml:space="preserve">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 </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</si>
  <si>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недополученных доходов регулируемой организации указывается в колонке «Информация» в тыс. руб. _x000D_
В случае отсутствия недополученных доходов регулируемой организацией, исчисленных в соответствии с законодательством в сфере теплоснабжения, указывается значение 0._x000D_
В случае дифференциации недополученных доходов регулируемой организацией по видам тарифов и (или) по периодам действия тарифов информация указывается в отдельных строках.</t>
  </si>
  <si>
    <t>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t>
  </si>
  <si>
    <t>7.1</t>
  </si>
  <si>
    <t>Значение в колонке «Вид тарифа» выбирается из перечня видов тарифов в сфере теплоснабжения, предусмотренных законодательством в сфере теплоснабжения._x000D_
Даты начала и окончания периода действия тарифов указывается в виде «ДД.ММ.ГГГГ»._x000D_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_x000D_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теплоснабжения, указывается значение 0._x000D_
В случае дифференциации экономически обоснованных расходов по видам тарифов и (или) по периодам действия тарифов информация указывается в отдельных строках.</t>
  </si>
  <si>
    <t>При размещении информации по данной форме дополнительно указывается дата подачи заявления об утверждении тарифа и его номер.</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</si>
  <si>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</si>
  <si>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</si>
  <si>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</si>
  <si>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</si>
  <si>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</si>
  <si>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</si>
  <si>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</si>
  <si>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</si>
  <si>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</si>
  <si>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</si>
  <si>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</si>
  <si>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</si>
  <si>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</si>
  <si>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</si>
  <si>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</si>
  <si>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</si>
  <si>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</si>
  <si>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</si>
  <si>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</si>
  <si>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</si>
  <si>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</si>
  <si>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</si>
  <si>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</si>
  <si>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</si>
  <si>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</si>
  <si>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</si>
  <si>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</si>
  <si>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</si>
  <si>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</si>
  <si>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</si>
  <si>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</si>
  <si>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</si>
  <si>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</si>
  <si>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</si>
  <si>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</si>
  <si>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</si>
  <si>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</si>
  <si>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</si>
  <si>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</si>
  <si>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</si>
  <si>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</si>
  <si>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</si>
  <si>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</si>
  <si>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</si>
  <si>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</si>
  <si>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</si>
  <si>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</si>
  <si>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</si>
  <si>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</si>
  <si>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</si>
  <si>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</si>
  <si>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</si>
  <si>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</si>
  <si>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</si>
  <si>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</si>
  <si>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</si>
  <si>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</si>
  <si>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</si>
  <si>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</si>
  <si>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</si>
  <si>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</si>
  <si>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</si>
  <si>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</si>
  <si>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</si>
  <si>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</si>
  <si>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</si>
  <si>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</si>
  <si>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</si>
  <si>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</si>
  <si>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</si>
  <si>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</si>
  <si>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</si>
  <si>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</si>
  <si>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</si>
  <si>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</si>
  <si>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</si>
  <si>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</si>
  <si>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</si>
  <si>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</si>
  <si>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</si>
  <si>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</si>
  <si>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</si>
  <si>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</si>
  <si>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</si>
  <si>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</si>
  <si>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</si>
  <si>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</si>
  <si>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</si>
  <si>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</si>
  <si>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</si>
  <si>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</si>
  <si>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</si>
  <si>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</si>
  <si>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</si>
  <si>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</si>
  <si>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</si>
  <si>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</si>
  <si>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</si>
  <si>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</si>
  <si>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</si>
  <si>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</si>
  <si>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</si>
  <si>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</si>
  <si>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</si>
  <si>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</si>
  <si>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</si>
  <si>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</si>
  <si>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</si>
  <si>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</si>
  <si>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</si>
  <si>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</si>
  <si>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</si>
  <si>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</si>
  <si>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</si>
  <si>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</si>
  <si>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</si>
  <si>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</si>
  <si>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</si>
  <si>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</si>
  <si>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</si>
  <si>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</si>
  <si>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</si>
  <si>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</si>
  <si>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</si>
  <si>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</si>
  <si>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</si>
  <si>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</si>
  <si>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</si>
  <si>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</si>
  <si>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</si>
  <si>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</si>
  <si>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</si>
  <si>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</si>
  <si>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</si>
  <si>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</si>
  <si>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</si>
  <si>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</si>
  <si>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</si>
  <si>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</si>
  <si>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</si>
  <si>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</si>
  <si>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</si>
  <si>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</si>
  <si>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</si>
  <si>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</si>
  <si>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</si>
  <si>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</si>
  <si>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</si>
  <si>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</si>
  <si>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</si>
  <si>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</si>
  <si>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</si>
  <si>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</si>
  <si>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</si>
  <si>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</si>
  <si>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</si>
  <si>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</si>
  <si>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</si>
  <si>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</si>
  <si>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</si>
  <si>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</si>
  <si>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</si>
  <si>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</si>
  <si>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</si>
  <si>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</si>
  <si>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</si>
  <si>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</si>
  <si>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</si>
  <si>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</si>
  <si>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</si>
  <si>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</si>
  <si>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</si>
  <si>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</si>
  <si>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</si>
  <si>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</si>
  <si>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</si>
  <si>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</si>
  <si>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</si>
  <si>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</si>
  <si>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</si>
  <si>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</si>
  <si>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</si>
  <si>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</si>
  <si>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</si>
  <si>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</si>
  <si>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</si>
  <si>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</si>
  <si>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</si>
  <si>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</si>
  <si>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</si>
  <si>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</si>
  <si>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</si>
  <si>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</si>
  <si>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</si>
  <si>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</si>
  <si>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</si>
  <si>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</si>
  <si>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</si>
  <si>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</si>
  <si>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</si>
  <si>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</si>
  <si>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</si>
  <si>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</si>
  <si>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</si>
  <si>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</si>
  <si>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</si>
  <si>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</si>
  <si>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</si>
  <si>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</si>
  <si>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</si>
  <si>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</si>
  <si>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</si>
  <si>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</si>
  <si>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</si>
  <si>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</si>
  <si>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</si>
  <si>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</si>
  <si>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</si>
  <si>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</si>
  <si>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</si>
  <si>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</si>
  <si>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</si>
  <si>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</si>
  <si>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</si>
  <si>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</si>
  <si>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</si>
  <si>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</si>
  <si>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</si>
  <si>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</si>
  <si>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</si>
  <si>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</si>
  <si>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</si>
  <si>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</si>
  <si>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</si>
  <si>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</si>
  <si>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</si>
  <si>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</si>
  <si>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</si>
  <si>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</si>
  <si>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</si>
  <si>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</si>
  <si>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</si>
  <si>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</si>
  <si>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</si>
  <si>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</si>
  <si>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</si>
  <si>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</si>
  <si>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</si>
  <si>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</si>
  <si>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</si>
  <si>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</si>
  <si>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</si>
  <si>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</si>
  <si>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</si>
  <si>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</si>
  <si>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</si>
  <si>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</si>
  <si>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</si>
  <si>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</si>
  <si>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</si>
  <si>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</si>
  <si>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</si>
  <si>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</si>
  <si>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</si>
  <si>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</si>
  <si>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</si>
  <si>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</si>
  <si>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</si>
  <si>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</si>
  <si>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</si>
  <si>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</si>
  <si>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</si>
  <si>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</si>
  <si>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</si>
  <si>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</si>
  <si>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</si>
  <si>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</si>
  <si>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</si>
  <si>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</si>
  <si>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</si>
  <si>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</si>
  <si>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</si>
  <si>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</si>
  <si>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</si>
  <si>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</si>
  <si>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</si>
  <si>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</si>
  <si>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</si>
  <si>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</si>
  <si>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</si>
  <si>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</si>
  <si>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</si>
  <si>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</si>
  <si>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</si>
  <si>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</si>
  <si>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</si>
  <si>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</si>
  <si>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</si>
  <si>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</si>
  <si>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</si>
  <si>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</si>
  <si>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</si>
  <si>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</si>
  <si>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</si>
  <si>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</si>
  <si>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</si>
  <si>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</si>
  <si>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</si>
  <si>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</si>
  <si>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</si>
  <si>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</si>
  <si>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</si>
  <si>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</si>
  <si>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</si>
  <si>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</si>
  <si>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</si>
  <si>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</si>
  <si>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</si>
  <si>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</si>
  <si>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</si>
  <si>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</si>
  <si>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</si>
  <si>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</si>
  <si>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</si>
  <si>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</si>
  <si>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</si>
  <si>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</si>
  <si>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</si>
  <si>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</si>
  <si>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</si>
  <si>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</si>
  <si>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</si>
  <si>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</si>
  <si>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</si>
  <si>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</si>
  <si>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</si>
  <si>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</si>
  <si>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</si>
  <si>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</si>
  <si>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</si>
  <si>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</si>
  <si>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</si>
  <si>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</si>
  <si>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</si>
  <si>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</si>
  <si>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</si>
  <si>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</si>
  <si>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</si>
  <si>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</si>
  <si>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</si>
  <si>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</si>
  <si>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</si>
  <si>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</si>
  <si>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</si>
  <si>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</si>
  <si>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</si>
  <si>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</si>
  <si>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</si>
  <si>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</si>
  <si>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</si>
  <si>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</si>
  <si>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</si>
  <si>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</si>
  <si>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</si>
  <si>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</si>
  <si>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</si>
  <si>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</si>
  <si>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</si>
  <si>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</si>
  <si>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</si>
  <si>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</si>
  <si>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</si>
  <si>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</si>
  <si>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</si>
  <si>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</si>
  <si>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</si>
  <si>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</si>
  <si>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</si>
  <si>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</si>
  <si>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</si>
  <si>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</si>
  <si>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</si>
  <si>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</si>
  <si>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</si>
  <si>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</si>
  <si>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</si>
  <si>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</si>
  <si>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</si>
  <si>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</si>
  <si>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</si>
  <si>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</si>
  <si>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</si>
  <si>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</si>
  <si>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</si>
  <si>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</si>
  <si>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</si>
  <si>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</si>
  <si>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</si>
  <si>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</si>
  <si>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</si>
  <si>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</si>
  <si>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</si>
  <si>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</si>
  <si>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</si>
  <si>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</si>
  <si>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</si>
  <si>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</si>
  <si>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</si>
  <si>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</si>
  <si>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</si>
  <si>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</si>
  <si>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</si>
  <si>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</si>
  <si>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</si>
  <si>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</si>
  <si>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</si>
  <si>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</si>
  <si>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</si>
  <si>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</si>
  <si>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</si>
  <si>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</si>
  <si>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</si>
  <si>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</si>
  <si>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</si>
  <si>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</si>
  <si>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</si>
  <si>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</si>
  <si>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</si>
  <si>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</si>
  <si>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</si>
  <si>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</si>
  <si>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</si>
  <si>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</si>
  <si>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</si>
  <si>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</si>
  <si>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</si>
  <si>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</si>
  <si>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</si>
  <si>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</si>
  <si>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</si>
  <si>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</si>
  <si>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</si>
  <si>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</si>
  <si>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</si>
  <si>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</si>
  <si>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</si>
  <si>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</si>
  <si>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</si>
  <si>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</si>
  <si>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</si>
  <si>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</si>
  <si>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</si>
  <si>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</si>
  <si>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</si>
  <si>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</si>
  <si>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</si>
  <si>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</si>
  <si>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</si>
  <si>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</si>
  <si>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</si>
  <si>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</si>
  <si>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</si>
  <si>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</si>
  <si>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</si>
  <si>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</si>
  <si>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</si>
  <si>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</si>
  <si>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</si>
  <si>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</si>
  <si>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</si>
  <si>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</si>
  <si>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</si>
  <si>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</si>
  <si>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</si>
  <si>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</si>
  <si>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</si>
  <si>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</si>
  <si>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</si>
  <si>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</si>
  <si>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</si>
  <si>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</si>
  <si>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</si>
  <si>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</si>
  <si>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</si>
  <si>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 xml:space="preserve">Информация о докладе, содержащем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 </t>
  </si>
  <si>
    <t>Наименование регулируемой организации</t>
  </si>
  <si>
    <t>Комментарии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</si>
  <si>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</si>
  <si>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</si>
  <si>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</si>
  <si>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</si>
  <si>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</si>
  <si>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</si>
  <si>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</si>
  <si>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</si>
  <si>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</si>
  <si>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</si>
  <si>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</si>
  <si>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</si>
  <si>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</si>
  <si>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</si>
  <si>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</si>
  <si>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</si>
  <si>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</si>
  <si>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VDET_START_DATE</t>
  </si>
  <si>
    <t>VDET_END_DATE</t>
  </si>
  <si>
    <t>VDET_NAME</t>
  </si>
  <si>
    <t>VDET_NAME_LIST</t>
  </si>
  <si>
    <t>VDET_FULL_NAME_LIST</t>
  </si>
  <si>
    <t>SPHERE</t>
  </si>
  <si>
    <t>2622</t>
  </si>
  <si>
    <t>26538211</t>
  </si>
  <si>
    <t>АО "Александрия"</t>
  </si>
  <si>
    <t>2309009595</t>
  </si>
  <si>
    <t>230901001</t>
  </si>
  <si>
    <t>09-07-2010 00:00:00</t>
  </si>
  <si>
    <t>Некомбинированная выработка :: Сбыт :: Передача</t>
  </si>
  <si>
    <t>/Тепловая энергия/Производство/Некомбинированная выработка :: /Тепловая энергия/Сбыт :: /Тепловая энергия/Передача</t>
  </si>
  <si>
    <t>26468799</t>
  </si>
  <si>
    <t>АО "Березанское ПЖКХ"</t>
  </si>
  <si>
    <t>2328017200</t>
  </si>
  <si>
    <t>232801001</t>
  </si>
  <si>
    <t>12-05-2006 00:00:00</t>
  </si>
  <si>
    <t>13-01-2010 00:00:00</t>
  </si>
  <si>
    <t>27581637</t>
  </si>
  <si>
    <t>АО "Виктория-Агро"</t>
  </si>
  <si>
    <t>2334014285</t>
  </si>
  <si>
    <t>233401001</t>
  </si>
  <si>
    <t>13-03-1998 00:00:00</t>
  </si>
  <si>
    <t>28463019</t>
  </si>
  <si>
    <t>АО "Волна Резорт энд СПА"</t>
  </si>
  <si>
    <t>2317011051</t>
  </si>
  <si>
    <t>231701001</t>
  </si>
  <si>
    <t>28-12-1993 00:00:00</t>
  </si>
  <si>
    <t>26527846</t>
  </si>
  <si>
    <t>АО "Гулькевичирайгаз"</t>
  </si>
  <si>
    <t>2329004965</t>
  </si>
  <si>
    <t>232901001</t>
  </si>
  <si>
    <t>23-06-2010 00:00:00</t>
  </si>
  <si>
    <t>26355019</t>
  </si>
  <si>
    <t>АО "Компания Импульс "</t>
  </si>
  <si>
    <t>2311015116</t>
  </si>
  <si>
    <t>231001001</t>
  </si>
  <si>
    <t>15-09-2008 00:00:00</t>
  </si>
  <si>
    <t>26383230</t>
  </si>
  <si>
    <t>АО "Краснодаргоргаз"</t>
  </si>
  <si>
    <t>2309029802</t>
  </si>
  <si>
    <t>230750001</t>
  </si>
  <si>
    <t>27-05-2020 00:00:00</t>
  </si>
  <si>
    <t>Некомбинированная выработка</t>
  </si>
  <si>
    <t>/Тепловая энергия/Производство/Некомбинированная выработка</t>
  </si>
  <si>
    <t>26355053</t>
  </si>
  <si>
    <t>АО "Краснодарский приборный завод "Каскад"</t>
  </si>
  <si>
    <t>2311085593</t>
  </si>
  <si>
    <t>231101001</t>
  </si>
  <si>
    <t>01-01-2021 00:00:00</t>
  </si>
  <si>
    <t>26518197</t>
  </si>
  <si>
    <t>АО "Краснодартеплосеть"</t>
  </si>
  <si>
    <t>2312122495</t>
  </si>
  <si>
    <t>230801001</t>
  </si>
  <si>
    <t>27-05-2010 00:00:00</t>
  </si>
  <si>
    <t>17-02-2016 00:00:00</t>
  </si>
  <si>
    <t>10-02-2017 00:00:00</t>
  </si>
  <si>
    <t>26355045</t>
  </si>
  <si>
    <t>АО "Лотос"</t>
  </si>
  <si>
    <t>2310111522</t>
  </si>
  <si>
    <t>26355062</t>
  </si>
  <si>
    <t>АО "Международный Аэропорт "Краснодар" АО "Макр"</t>
  </si>
  <si>
    <t>2312126429</t>
  </si>
  <si>
    <t>231201001</t>
  </si>
  <si>
    <t>03-04-2006 00:00:00</t>
  </si>
  <si>
    <t>28061874</t>
  </si>
  <si>
    <t>АО "Международный Аэропорт Сочи" АО "МАС"</t>
  </si>
  <si>
    <t>2317044843</t>
  </si>
  <si>
    <t>12-01-2018 00:00:00</t>
  </si>
  <si>
    <t>26528286</t>
  </si>
  <si>
    <t>АО "Мясокомбинат "Тихорецкий"</t>
  </si>
  <si>
    <t>2321003688</t>
  </si>
  <si>
    <t>232101001</t>
  </si>
  <si>
    <t>26355079</t>
  </si>
  <si>
    <t>АО "Новорослесэкспорт"</t>
  </si>
  <si>
    <t>2315014794</t>
  </si>
  <si>
    <t>231501001</t>
  </si>
  <si>
    <t>26318583</t>
  </si>
  <si>
    <t>АО "Новороссийский судоремонтный завод"</t>
  </si>
  <si>
    <t>2315007476</t>
  </si>
  <si>
    <t>20-11-2015 00:00:00</t>
  </si>
  <si>
    <t>26527827</t>
  </si>
  <si>
    <t>АО "Племзавод Гулькевичский"</t>
  </si>
  <si>
    <t>2329003841</t>
  </si>
  <si>
    <t>20-06-2002 00:00:00</t>
  </si>
  <si>
    <t>26355156</t>
  </si>
  <si>
    <t>АО "Предприятие "Усть-Лабинскрайгаз"</t>
  </si>
  <si>
    <t>2356036532</t>
  </si>
  <si>
    <t>235601001</t>
  </si>
  <si>
    <t>26355077</t>
  </si>
  <si>
    <t>АО "Прибой"</t>
  </si>
  <si>
    <t>2315012170</t>
  </si>
  <si>
    <t>26318579</t>
  </si>
  <si>
    <t>АО "РАМО-М" (филиал "КВЭП" АО "РАМО-М")</t>
  </si>
  <si>
    <t>7719113976</t>
  </si>
  <si>
    <t>231143001</t>
  </si>
  <si>
    <t>13-08-2008 00:00:00</t>
  </si>
  <si>
    <t>Комбинированная выработка :: Сбыт</t>
  </si>
  <si>
    <t>/Тепловая энергия/Производство/Комбинированная выработка :: /Тепловая энергия/Сбыт</t>
  </si>
  <si>
    <t>29-06-2016 00:00:00</t>
  </si>
  <si>
    <t>/Тепловая энергия/Передача</t>
  </si>
  <si>
    <t>30837540</t>
  </si>
  <si>
    <t>АО "Санаторий "Кудепста"</t>
  </si>
  <si>
    <t>2319004652</t>
  </si>
  <si>
    <t>231901001</t>
  </si>
  <si>
    <t>03-03-1993 00:00:00</t>
  </si>
  <si>
    <t>20-09-2016 00:00:00</t>
  </si>
  <si>
    <t>26355155</t>
  </si>
  <si>
    <t>АО "Сахарный завод "Свобода"</t>
  </si>
  <si>
    <t>2356030749</t>
  </si>
  <si>
    <t>Комбинированная выработка :: Сбыт :: Передача</t>
  </si>
  <si>
    <t>/Тепловая энергия/Производство/Комбинированная выработка :: /Тепловая энергия/Сбыт :: /Тепловая энергия/Передача</t>
  </si>
  <si>
    <t>30923635</t>
  </si>
  <si>
    <t>АО "Сочинский хлебокомбинат"</t>
  </si>
  <si>
    <t>2320145827</t>
  </si>
  <si>
    <t>232001001</t>
  </si>
  <si>
    <t>22-06-2017 00:00:00</t>
  </si>
  <si>
    <t>28830246</t>
  </si>
  <si>
    <t>АО "ТНТ</t>
  </si>
  <si>
    <t>2315143060</t>
  </si>
  <si>
    <t>168150001</t>
  </si>
  <si>
    <t>04-04-2008 00:00:00</t>
  </si>
  <si>
    <t>01-01-2022 00:00:00</t>
  </si>
  <si>
    <t>26528443</t>
  </si>
  <si>
    <t>АО "Теплоэнерго"</t>
  </si>
  <si>
    <t>2301080564</t>
  </si>
  <si>
    <t>230101001</t>
  </si>
  <si>
    <t>26491445</t>
  </si>
  <si>
    <t>АО "Туапсинский морской торговый порт"</t>
  </si>
  <si>
    <t>2322001997</t>
  </si>
  <si>
    <t>236501001</t>
  </si>
  <si>
    <t>25-02-2010 00:00:00</t>
  </si>
  <si>
    <t>31442033</t>
  </si>
  <si>
    <t>АО "Универсал"</t>
  </si>
  <si>
    <t>2320200972</t>
  </si>
  <si>
    <t>772801001</t>
  </si>
  <si>
    <t>09-09-2020 00:00:00</t>
  </si>
  <si>
    <t>02-11-2020 00:00:00</t>
  </si>
  <si>
    <t>26318587</t>
  </si>
  <si>
    <t>АО "Успенский сахарник"</t>
  </si>
  <si>
    <t>2357005329</t>
  </si>
  <si>
    <t>235701001</t>
  </si>
  <si>
    <t>26516100</t>
  </si>
  <si>
    <t>АО "Усть-Лабинсктеплоэнерго"</t>
  </si>
  <si>
    <t>2356038360</t>
  </si>
  <si>
    <t>20-05-2010 00:00:00</t>
  </si>
  <si>
    <t>26472903</t>
  </si>
  <si>
    <t>АО "Черномортранснефть" ПК "Шесхарис"</t>
  </si>
  <si>
    <t>2315072242</t>
  </si>
  <si>
    <t>01-01-2019 00:00:00</t>
  </si>
  <si>
    <t>26468785</t>
  </si>
  <si>
    <t>АО фирма "Агрокомплекс"</t>
  </si>
  <si>
    <t>2328000083</t>
  </si>
  <si>
    <t>14-10-2002 00:00:00</t>
  </si>
  <si>
    <t>Комбинированная выработка</t>
  </si>
  <si>
    <t>/Тепловая энергия/Производство/Комбинированная выработка</t>
  </si>
  <si>
    <t>14-11-2016 00:00:00</t>
  </si>
  <si>
    <t>01-09-2020 00:00:00</t>
  </si>
  <si>
    <t>31689847</t>
  </si>
  <si>
    <t>Апшеронский филиал ООО "ТТР"</t>
  </si>
  <si>
    <t>2310221733</t>
  </si>
  <si>
    <t>236843001</t>
  </si>
  <si>
    <t>28-10-2020 00:00:00</t>
  </si>
  <si>
    <t>21-08-2023 00:00:00</t>
  </si>
  <si>
    <t>30876376</t>
  </si>
  <si>
    <t>Армавирский Филиал ООО "Газпром теплоэнерго Краснодар"</t>
  </si>
  <si>
    <t>2308206128</t>
  </si>
  <si>
    <t>237243001</t>
  </si>
  <si>
    <t>30-11-2016 00:00:00</t>
  </si>
  <si>
    <t>30-01-2017 00:00:00</t>
  </si>
  <si>
    <t>26355104</t>
  </si>
  <si>
    <t>Брюховецкий филиал ЗАО «СК «Ленинградский»</t>
  </si>
  <si>
    <t>2341015890</t>
  </si>
  <si>
    <t>232743001</t>
  </si>
  <si>
    <t>17-10-2012 00:00:00</t>
  </si>
  <si>
    <t>27590945</t>
  </si>
  <si>
    <t>Вагонный участок Адлер - структурное подразделение Северо-Кавказского филиала АО "ФПК"</t>
  </si>
  <si>
    <t>7708709686</t>
  </si>
  <si>
    <t>231745001</t>
  </si>
  <si>
    <t>24-01-2012 00:00:00</t>
  </si>
  <si>
    <t>26760597</t>
  </si>
  <si>
    <t>Вагонный участок Новороссийск - структурное подразделение Северо - Кавказского филиала АО "ФПК"</t>
  </si>
  <si>
    <t>231545001</t>
  </si>
  <si>
    <t>01-02-2011 00:00:00</t>
  </si>
  <si>
    <t>28507902</t>
  </si>
  <si>
    <t>ГБПОУ КК "БАК", Брюховецкий район</t>
  </si>
  <si>
    <t>2327001327</t>
  </si>
  <si>
    <t>232701001</t>
  </si>
  <si>
    <t>26-12-2002 00:00:00</t>
  </si>
  <si>
    <t>27579156</t>
  </si>
  <si>
    <t>ГБУЗ "Детская краевая клиническая больница" ДЗ КК</t>
  </si>
  <si>
    <t>2309039134</t>
  </si>
  <si>
    <t>230000000</t>
  </si>
  <si>
    <t>01-09-2011 00:00:00</t>
  </si>
  <si>
    <t>31307256</t>
  </si>
  <si>
    <t>ГБУЗ "СПБ № 2"</t>
  </si>
  <si>
    <t>2323011726</t>
  </si>
  <si>
    <t>232301001</t>
  </si>
  <si>
    <t>04-10-2012 00:00:00</t>
  </si>
  <si>
    <t>01-01-2018 00:00:00</t>
  </si>
  <si>
    <t>28828134</t>
  </si>
  <si>
    <t>ГКУЗ "Лепрозорий"</t>
  </si>
  <si>
    <t>2323006733</t>
  </si>
  <si>
    <t>10-10-2002 00:00:00</t>
  </si>
  <si>
    <t>17-11-2014 00:00:00</t>
  </si>
  <si>
    <t>31598276</t>
  </si>
  <si>
    <t>ГУ "Санаторий "Беларусь"</t>
  </si>
  <si>
    <t>2320042317</t>
  </si>
  <si>
    <t>25-12-2002 00:00:00</t>
  </si>
  <si>
    <t>01-09-2022 00:00:00</t>
  </si>
  <si>
    <t>30876390</t>
  </si>
  <si>
    <t>Геленджикский Филиал ООО "Газпром теплоэнерго Краснодар"</t>
  </si>
  <si>
    <t>230443001</t>
  </si>
  <si>
    <t>26355108</t>
  </si>
  <si>
    <t>Гирейское ЗАО "Железобетон"</t>
  </si>
  <si>
    <t>2329000209</t>
  </si>
  <si>
    <t>31583587</t>
  </si>
  <si>
    <t>ЖСК "Царское Село"</t>
  </si>
  <si>
    <t>2311090498</t>
  </si>
  <si>
    <t>25-04-2022 00:00:00</t>
  </si>
  <si>
    <t>23-06-2022 00:00:00</t>
  </si>
  <si>
    <t>26355011</t>
  </si>
  <si>
    <t>ЗАО " Санаторий "Горячий Ключ"</t>
  </si>
  <si>
    <t>2305001884</t>
  </si>
  <si>
    <t>230501001</t>
  </si>
  <si>
    <t>26355084</t>
  </si>
  <si>
    <t>ЗАО "Абрау-Дюрсо"</t>
  </si>
  <si>
    <t>2315092440</t>
  </si>
  <si>
    <t>26355124</t>
  </si>
  <si>
    <t>ЗАО "КМКК"</t>
  </si>
  <si>
    <t>2335013799</t>
  </si>
  <si>
    <t>26471248</t>
  </si>
  <si>
    <t>ЗАО "Новокубанское"</t>
  </si>
  <si>
    <t>2343000056</t>
  </si>
  <si>
    <t>234301001</t>
  </si>
  <si>
    <t>14-01-2010 00:00:00</t>
  </si>
  <si>
    <t>Некомбинированная выработка :: Сбыт</t>
  </si>
  <si>
    <t>/Тепловая энергия/Производство/Некомбинированная выработка :: /Тепловая энергия/Сбыт</t>
  </si>
  <si>
    <t>Теплоноситель - Сбыт :: Производство :: Передача</t>
  </si>
  <si>
    <t>Сбыт :: Производство :: Передача</t>
  </si>
  <si>
    <t>/Теплоноситель/Сбыт :: /Теплоноситель/Производство :: /Теплоноситель/Передача</t>
  </si>
  <si>
    <t>14-01-2014 00:00:00</t>
  </si>
  <si>
    <t>26355054</t>
  </si>
  <si>
    <t>ЗАО "ОБД"</t>
  </si>
  <si>
    <t>2312016730</t>
  </si>
  <si>
    <t>26355015</t>
  </si>
  <si>
    <t>ЗАО "Санаторий Ейск"</t>
  </si>
  <si>
    <t>2306001189</t>
  </si>
  <si>
    <t>230601001</t>
  </si>
  <si>
    <t>26355143</t>
  </si>
  <si>
    <t>ЗАО "Тбилисский сахарный завод"</t>
  </si>
  <si>
    <t>2351007672</t>
  </si>
  <si>
    <t>235101001</t>
  </si>
  <si>
    <t>28221434</t>
  </si>
  <si>
    <t>ИП Гредин Е.Ю.</t>
  </si>
  <si>
    <t>231102247885</t>
  </si>
  <si>
    <t>16-08-2007 00:00:00</t>
  </si>
  <si>
    <t>31653055</t>
  </si>
  <si>
    <t>ИП Шамрай В.В.</t>
  </si>
  <si>
    <t>230403277948</t>
  </si>
  <si>
    <t>03-09-2021 00:00:00</t>
  </si>
  <si>
    <t>13-01-2023 00:00:00</t>
  </si>
  <si>
    <t>15-03-2023 00:00:00</t>
  </si>
  <si>
    <t>16-03-2023 00:00:00</t>
  </si>
  <si>
    <t>31442630</t>
  </si>
  <si>
    <t>Индивидуальный предприниматель Соболев Алексей Михайлович</t>
  </si>
  <si>
    <t>233201344354</t>
  </si>
  <si>
    <t>21-02-2018 00:00:00</t>
  </si>
  <si>
    <t>08-11-2020 00:00:00</t>
  </si>
  <si>
    <t>28493735</t>
  </si>
  <si>
    <t>ККО ОГО ВФСО "Динамо"</t>
  </si>
  <si>
    <t>2310000935</t>
  </si>
  <si>
    <t>04-07-2006 00:00:00</t>
  </si>
  <si>
    <t>26383271</t>
  </si>
  <si>
    <t>Краснодарское УТТ и СТ ООО "Газпром трансгаз Краснодар"</t>
  </si>
  <si>
    <t>2308128945</t>
  </si>
  <si>
    <t>230802002</t>
  </si>
  <si>
    <t>22-09-2008 00:00:00</t>
  </si>
  <si>
    <t>30876458</t>
  </si>
  <si>
    <t>Кропоткинский Филиал ООО "Газпром теплоэнерго Краснодар"</t>
  </si>
  <si>
    <t>236443001</t>
  </si>
  <si>
    <t>31-01-2017 00:00:00</t>
  </si>
  <si>
    <t>Теплоноситель - Передача</t>
  </si>
  <si>
    <t>/Теплоноситель/Передача</t>
  </si>
  <si>
    <t>28049634</t>
  </si>
  <si>
    <t>МБУ "Учреждение благоустройства "Феникс"</t>
  </si>
  <si>
    <t>2364004260</t>
  </si>
  <si>
    <t>236401001</t>
  </si>
  <si>
    <t>18-01-2013 00:00:00</t>
  </si>
  <si>
    <t>31445890</t>
  </si>
  <si>
    <t>МКУ "Новоберезанское хозяйственное объединение"</t>
  </si>
  <si>
    <t>2335064948</t>
  </si>
  <si>
    <t>233501001</t>
  </si>
  <si>
    <t>14-03-2012 00:00:00</t>
  </si>
  <si>
    <t>16-11-2020 00:00:00</t>
  </si>
  <si>
    <t>26795664</t>
  </si>
  <si>
    <t>МООО "Мичуринское ЖКХ"</t>
  </si>
  <si>
    <t>2330040118</t>
  </si>
  <si>
    <t>233001001</t>
  </si>
  <si>
    <t>29-10-2014 00:00:00</t>
  </si>
  <si>
    <t>26468848</t>
  </si>
  <si>
    <t>МООО "Пластуновское ЖКХ"</t>
  </si>
  <si>
    <t>2330035319</t>
  </si>
  <si>
    <t>26473008</t>
  </si>
  <si>
    <t>МП "Водоканал"</t>
  </si>
  <si>
    <t>2329018887</t>
  </si>
  <si>
    <t>11-09-2021 00:00:00</t>
  </si>
  <si>
    <t>15-10-2022 00:00:00</t>
  </si>
  <si>
    <t>26470943</t>
  </si>
  <si>
    <t>МП "ЖКХ" Красноармейского района</t>
  </si>
  <si>
    <t>2336001098</t>
  </si>
  <si>
    <t>233601001</t>
  </si>
  <si>
    <t>27991850</t>
  </si>
  <si>
    <t>МУ МП "Предгорье" ст. Упорной</t>
  </si>
  <si>
    <t>2374000017</t>
  </si>
  <si>
    <t>237401001</t>
  </si>
  <si>
    <t>06-11-2012 00:00:00</t>
  </si>
  <si>
    <t>Сбыт :: Передача</t>
  </si>
  <si>
    <t>/Тепловая энергия/Сбыт :: /Тепловая энергия/Передача</t>
  </si>
  <si>
    <t>26355073</t>
  </si>
  <si>
    <t>МУ МПКХ ст.Вознесенской</t>
  </si>
  <si>
    <t>2314019278</t>
  </si>
  <si>
    <t>231401001</t>
  </si>
  <si>
    <t>26545756</t>
  </si>
  <si>
    <t>МУП "Белоглинская теплосистема"</t>
  </si>
  <si>
    <t>2326007862</t>
  </si>
  <si>
    <t>232601001</t>
  </si>
  <si>
    <t>22-07-2010 00:00:00</t>
  </si>
  <si>
    <t>27183657</t>
  </si>
  <si>
    <t>МУП "Выселковские коммунальные системы"</t>
  </si>
  <si>
    <t>2328000573</t>
  </si>
  <si>
    <t>24-06-2011 00:00:00</t>
  </si>
  <si>
    <t>26-09-2011 00:00:00</t>
  </si>
  <si>
    <t>30349482</t>
  </si>
  <si>
    <t>МУП "Динком "ТЕПЛО"</t>
  </si>
  <si>
    <t>2373008912</t>
  </si>
  <si>
    <t>237301001</t>
  </si>
  <si>
    <t>01-08-2015 00:00:00</t>
  </si>
  <si>
    <t>08-10-2015 00:00:00</t>
  </si>
  <si>
    <t>26473768</t>
  </si>
  <si>
    <t>МУП "ЖКХ Небугского сельского поселения"</t>
  </si>
  <si>
    <t>2365003131</t>
  </si>
  <si>
    <t>26-05-2006 00:00:00</t>
  </si>
  <si>
    <t>18-01-2010 00:00:00</t>
  </si>
  <si>
    <t>27892167</t>
  </si>
  <si>
    <t>МУП "ЖКХ Тбилисского района"</t>
  </si>
  <si>
    <t>2364007045</t>
  </si>
  <si>
    <t>27-07-2012 00:00:00</t>
  </si>
  <si>
    <t>30377855</t>
  </si>
  <si>
    <t>МУП "ЖКХ Тихорецкого района"</t>
  </si>
  <si>
    <t>2360008633</t>
  </si>
  <si>
    <t>236001001</t>
  </si>
  <si>
    <t>11-12-2015 00:00:00</t>
  </si>
  <si>
    <t>30350494</t>
  </si>
  <si>
    <t>МУП "Коммунальник"</t>
  </si>
  <si>
    <t>2373006016</t>
  </si>
  <si>
    <t>13-03-2014 00:00:00</t>
  </si>
  <si>
    <t>12-10-2015 00:00:00</t>
  </si>
  <si>
    <t>28817209</t>
  </si>
  <si>
    <t>МУП "Коммунальщик",  Сладковское сельское поселение Лабинский район</t>
  </si>
  <si>
    <t>2374980052</t>
  </si>
  <si>
    <t>01-01-2015 00:00:00</t>
  </si>
  <si>
    <t>26475790</t>
  </si>
  <si>
    <t>МУП "Новодмитриевское ЖКХ"</t>
  </si>
  <si>
    <t>2348029330</t>
  </si>
  <si>
    <t>234801001</t>
  </si>
  <si>
    <t>13-04-2009 00:00:00</t>
  </si>
  <si>
    <t>26468858</t>
  </si>
  <si>
    <t>МУП "Родное подворье"</t>
  </si>
  <si>
    <t>2330032780</t>
  </si>
  <si>
    <t>07-10-2015 00:00:00</t>
  </si>
  <si>
    <t>26508493</t>
  </si>
  <si>
    <t>МУП "Сочитеплоэнерго"</t>
  </si>
  <si>
    <t>2320033802</t>
  </si>
  <si>
    <t>29-04-2010 00:00:00</t>
  </si>
  <si>
    <t>31521886</t>
  </si>
  <si>
    <t>МУП "ТЭК Крымского района"</t>
  </si>
  <si>
    <t>2376004271</t>
  </si>
  <si>
    <t>237601001</t>
  </si>
  <si>
    <t>16-08-2021 00:00:00</t>
  </si>
  <si>
    <t>05-12-2021 00:00:00</t>
  </si>
  <si>
    <t>26468913</t>
  </si>
  <si>
    <t>МУП "Тепловодокомплекс Темижбекский"</t>
  </si>
  <si>
    <t>2332017202</t>
  </si>
  <si>
    <t>233201001</t>
  </si>
  <si>
    <t>16-11-2006 00:00:00</t>
  </si>
  <si>
    <t>26489059</t>
  </si>
  <si>
    <t>МУП "Тепловое хозяйство"</t>
  </si>
  <si>
    <t>2343019875</t>
  </si>
  <si>
    <t>09-02-2010 00:00:00</t>
  </si>
  <si>
    <t>01-01-2023 00:00:00</t>
  </si>
  <si>
    <t>28816743</t>
  </si>
  <si>
    <t>МУП "Тепловые сети Тбилисского района"</t>
  </si>
  <si>
    <t>2364010802</t>
  </si>
  <si>
    <t>23-07-2014 00:00:00</t>
  </si>
  <si>
    <t>11-12-2014 00:00:00</t>
  </si>
  <si>
    <t>28269915</t>
  </si>
  <si>
    <t>МУП "Тепловые сети", г.Приморско-Ахтарск</t>
  </si>
  <si>
    <t>2347015590</t>
  </si>
  <si>
    <t>234701001</t>
  </si>
  <si>
    <t>17-05-2013 00:00:00</t>
  </si>
  <si>
    <t>26355008</t>
  </si>
  <si>
    <t>МУП "Тепловые сети", город- курорт Геленджик</t>
  </si>
  <si>
    <t>2304002170</t>
  </si>
  <si>
    <t>230401001</t>
  </si>
  <si>
    <t>28868089</t>
  </si>
  <si>
    <t>МУП "Теплокомплекс"</t>
  </si>
  <si>
    <t>2370003850</t>
  </si>
  <si>
    <t>237001001</t>
  </si>
  <si>
    <t>30-07-2014 00:00:00</t>
  </si>
  <si>
    <t>31-01-2023 00:00:00</t>
  </si>
  <si>
    <t>25-02-2016 00:00:00</t>
  </si>
  <si>
    <t>26507369</t>
  </si>
  <si>
    <t>МУП "Теплоэнергетик", Староминский район</t>
  </si>
  <si>
    <t>2350010979</t>
  </si>
  <si>
    <t>235001001</t>
  </si>
  <si>
    <t>26-04-2010 00:00:00</t>
  </si>
  <si>
    <t>26537645</t>
  </si>
  <si>
    <t>МУП "Универсал"</t>
  </si>
  <si>
    <t>2323026458</t>
  </si>
  <si>
    <t>22-02-2007 00:00:00</t>
  </si>
  <si>
    <t>08-07-2010 00:00:00</t>
  </si>
  <si>
    <t>26468864</t>
  </si>
  <si>
    <t>МУП "ЮГ"</t>
  </si>
  <si>
    <t>2330022454</t>
  </si>
  <si>
    <t>26531974</t>
  </si>
  <si>
    <t>МУП «Тепловые сети», Крыловский район</t>
  </si>
  <si>
    <t>2338011479</t>
  </si>
  <si>
    <t>233801001</t>
  </si>
  <si>
    <t>29-06-2010 00:00:00</t>
  </si>
  <si>
    <t>26518022</t>
  </si>
  <si>
    <t>МУП «Теплоэнерго» МО ЩР</t>
  </si>
  <si>
    <t>2361000740</t>
  </si>
  <si>
    <t>236101001</t>
  </si>
  <si>
    <t>26-05-2010 00:00:00</t>
  </si>
  <si>
    <t>27903086</t>
  </si>
  <si>
    <t>МУП БГП БР "Белореченские тепловые сети"</t>
  </si>
  <si>
    <t>2368003595</t>
  </si>
  <si>
    <t>236801001</t>
  </si>
  <si>
    <t>24-05-2012 00:00:00</t>
  </si>
  <si>
    <t>26468852</t>
  </si>
  <si>
    <t>МУП ЖКХ Нововеличковское</t>
  </si>
  <si>
    <t>2330034763</t>
  </si>
  <si>
    <t>14-09-2016 00:00:00</t>
  </si>
  <si>
    <t>26516731</t>
  </si>
  <si>
    <t>МУП Каневского района "Каневские тепловые сети"</t>
  </si>
  <si>
    <t>2334022039</t>
  </si>
  <si>
    <t>21-05-2010 00:00:00</t>
  </si>
  <si>
    <t>31676611</t>
  </si>
  <si>
    <t>МУП Кореновского городского поселения "Тепловые сети"</t>
  </si>
  <si>
    <t>2335013407</t>
  </si>
  <si>
    <t>19-09-2002 00:00:00</t>
  </si>
  <si>
    <t>04-04-2023 00:00:00</t>
  </si>
  <si>
    <t>04-07-2023 00:00:00</t>
  </si>
  <si>
    <t>05-07-2023 00:00:00</t>
  </si>
  <si>
    <t>26528220</t>
  </si>
  <si>
    <t>МУП МО Курганинский район "Курганинсктеплоэнерго"</t>
  </si>
  <si>
    <t>2339017924</t>
  </si>
  <si>
    <t>233901001</t>
  </si>
  <si>
    <t>15-06-2013 00:00:00</t>
  </si>
  <si>
    <t>30849293</t>
  </si>
  <si>
    <t>МУП МО г. Сочи "Водоканал"</t>
  </si>
  <si>
    <t>2320242443</t>
  </si>
  <si>
    <t>01-01-2020 00:00:00</t>
  </si>
  <si>
    <t>26490767</t>
  </si>
  <si>
    <t>МУП ОР КК "Теплоэнергия"</t>
  </si>
  <si>
    <t>2345011744</t>
  </si>
  <si>
    <t>234501001</t>
  </si>
  <si>
    <t>16-02-2010 00:00:00</t>
  </si>
  <si>
    <t>31193574</t>
  </si>
  <si>
    <t>МУП РСП БР "Рязанское"</t>
  </si>
  <si>
    <t>2368010842</t>
  </si>
  <si>
    <t>11-09-2018 00:00:00</t>
  </si>
  <si>
    <t>10-10-2018 00:00:00</t>
  </si>
  <si>
    <t>26355118</t>
  </si>
  <si>
    <t>МУП ТВК "Кавказский"</t>
  </si>
  <si>
    <t>2332017210</t>
  </si>
  <si>
    <t>17-11-2006 00:00:00</t>
  </si>
  <si>
    <t>28817197</t>
  </si>
  <si>
    <t>МУП ШСП ТР "ДорБлагоустройство"</t>
  </si>
  <si>
    <t>2365019237</t>
  </si>
  <si>
    <t>01-01-2014 00:00:00</t>
  </si>
  <si>
    <t>26528098</t>
  </si>
  <si>
    <t>МУП гор.Лабинска "Тепловые сети"</t>
  </si>
  <si>
    <t>2314001584</t>
  </si>
  <si>
    <t>31479446</t>
  </si>
  <si>
    <t>НАО "Красная поляна"</t>
  </si>
  <si>
    <t>2320102816</t>
  </si>
  <si>
    <t>02-10-2001 00:00:00</t>
  </si>
  <si>
    <t>19-05-2021 00:00:00</t>
  </si>
  <si>
    <t>26468820</t>
  </si>
  <si>
    <t>Новомалороссийское МУМП ЖКХ</t>
  </si>
  <si>
    <t>2328014400</t>
  </si>
  <si>
    <t>31523933</t>
  </si>
  <si>
    <t>Новопокровский филиал ООО "ТТР"</t>
  </si>
  <si>
    <t>236043001</t>
  </si>
  <si>
    <t>10-10-2022 00:00:00</t>
  </si>
  <si>
    <t>16-11-2022 00:00:00</t>
  </si>
  <si>
    <t>26354997</t>
  </si>
  <si>
    <t>ОАО " Аэропорт Анапа "</t>
  </si>
  <si>
    <t>2301013617</t>
  </si>
  <si>
    <t>26531540</t>
  </si>
  <si>
    <t>ОАО "81 БТРЗ"</t>
  </si>
  <si>
    <t>2302060955</t>
  </si>
  <si>
    <t>230201001</t>
  </si>
  <si>
    <t>26355135</t>
  </si>
  <si>
    <t>ОАО "Викор"</t>
  </si>
  <si>
    <t>2344001775</t>
  </si>
  <si>
    <t>234401001</t>
  </si>
  <si>
    <t>21-08-2002 00:00:00</t>
  </si>
  <si>
    <t>26355132</t>
  </si>
  <si>
    <t>ОАО "Кристалл-2"</t>
  </si>
  <si>
    <t>2343000063</t>
  </si>
  <si>
    <t>28447273</t>
  </si>
  <si>
    <t>ОАО "МЖК "Краснодарский"</t>
  </si>
  <si>
    <t>2310043294</t>
  </si>
  <si>
    <t>17-07-2002 00:00:00</t>
  </si>
  <si>
    <t>26508718</t>
  </si>
  <si>
    <t>ОАО "Нефтегазгеотерм"</t>
  </si>
  <si>
    <t>2630024131</t>
  </si>
  <si>
    <t>234201001</t>
  </si>
  <si>
    <t>02-01-2017 00:00:00</t>
  </si>
  <si>
    <t>26355081</t>
  </si>
  <si>
    <t>ОАО "Новоросцемент"</t>
  </si>
  <si>
    <t>2315020195</t>
  </si>
  <si>
    <t>26355128</t>
  </si>
  <si>
    <t>ОАО "СЗЛ"</t>
  </si>
  <si>
    <t>2341006687</t>
  </si>
  <si>
    <t>234101001</t>
  </si>
  <si>
    <t>12-09-2002 00:00:00</t>
  </si>
  <si>
    <t>26518989</t>
  </si>
  <si>
    <t>ОАО "Теплосервис"</t>
  </si>
  <si>
    <t>2335015394</t>
  </si>
  <si>
    <t>31-05-2010 00:00:00</t>
  </si>
  <si>
    <t>30-06-2023 00:00:00</t>
  </si>
  <si>
    <t>26473871</t>
  </si>
  <si>
    <t>ОАО АПСК "Гулькевичский"</t>
  </si>
  <si>
    <t>2329007878</t>
  </si>
  <si>
    <t>31557493</t>
  </si>
  <si>
    <t>ООО "АСУ-Сервис"</t>
  </si>
  <si>
    <t>2309067371</t>
  </si>
  <si>
    <t>28-01-2022 00:00:00</t>
  </si>
  <si>
    <t>16-03-2022 00:00:00</t>
  </si>
  <si>
    <t>31689541</t>
  </si>
  <si>
    <t>ООО "АнапаТеплоресурс"</t>
  </si>
  <si>
    <t>2301109485</t>
  </si>
  <si>
    <t>05-06-2023 00:00:00</t>
  </si>
  <si>
    <t>23-08-2023 00:00:00</t>
  </si>
  <si>
    <t>27683318</t>
  </si>
  <si>
    <t>ООО "Аполинария"</t>
  </si>
  <si>
    <t>2302029176</t>
  </si>
  <si>
    <t>26551826</t>
  </si>
  <si>
    <t>ООО "Афипский НПЗ"</t>
  </si>
  <si>
    <t>7704214548</t>
  </si>
  <si>
    <t>12-02-2003 00:00:00</t>
  </si>
  <si>
    <t>02-08-2010 00:00:00</t>
  </si>
  <si>
    <t>26-05-2021 00:00:00</t>
  </si>
  <si>
    <t>31498899</t>
  </si>
  <si>
    <t>ООО "Базис"</t>
  </si>
  <si>
    <t>2312153704</t>
  </si>
  <si>
    <t>01-09-2008 00:00:00</t>
  </si>
  <si>
    <t>22-09-2021 00:00:00</t>
  </si>
  <si>
    <t>01-12-2022 00:00:00</t>
  </si>
  <si>
    <t>10-02-2023 00:00:00</t>
  </si>
  <si>
    <t>26355106</t>
  </si>
  <si>
    <t>ООО "Брюховецкие тепловые сети"</t>
  </si>
  <si>
    <t>2327009703</t>
  </si>
  <si>
    <t>26653340</t>
  </si>
  <si>
    <t>ООО "ВИРА"</t>
  </si>
  <si>
    <t>2310146236</t>
  </si>
  <si>
    <t>20-01-2011 00:00:00</t>
  </si>
  <si>
    <t>31230239</t>
  </si>
  <si>
    <t>ООО "Вода-Тепло"</t>
  </si>
  <si>
    <t>2365003452</t>
  </si>
  <si>
    <t>08-06-2006 00:00:00</t>
  </si>
  <si>
    <t>28221015</t>
  </si>
  <si>
    <t>ООО "Газпром трансгаз Краснодар" филиал Медико-санитарная часть</t>
  </si>
  <si>
    <t>230802004</t>
  </si>
  <si>
    <t>17-07-2013 00:00:00</t>
  </si>
  <si>
    <t>30894836</t>
  </si>
  <si>
    <t>ООО "Город Солнца"</t>
  </si>
  <si>
    <t>2320224042</t>
  </si>
  <si>
    <t>20-03-2017 00:00:00</t>
  </si>
  <si>
    <t>23-03-2017 00:00:00</t>
  </si>
  <si>
    <t>26516607</t>
  </si>
  <si>
    <t>ООО "Дунай"</t>
  </si>
  <si>
    <t>2308056962</t>
  </si>
  <si>
    <t>31680390</t>
  </si>
  <si>
    <t>ООО "ЖК "Молодежный"</t>
  </si>
  <si>
    <t>2315184556</t>
  </si>
  <si>
    <t>29-11-2013 00:00:00</t>
  </si>
  <si>
    <t>13-06-2023 00:00:00</t>
  </si>
  <si>
    <t>25-07-2023 00:00:00</t>
  </si>
  <si>
    <t>26-07-2023 00:00:00</t>
  </si>
  <si>
    <t>31663671</t>
  </si>
  <si>
    <t>ООО "ЖилКомСети"</t>
  </si>
  <si>
    <t>2312230821</t>
  </si>
  <si>
    <t>06-07-2015 00:00:00</t>
  </si>
  <si>
    <t>19-03-2023 00:00:00</t>
  </si>
  <si>
    <t>26786376</t>
  </si>
  <si>
    <t>ООО "ИнвестГрупп-Энерджи"</t>
  </si>
  <si>
    <t>7724654924</t>
  </si>
  <si>
    <t>02-03-2011 00:00:00</t>
  </si>
  <si>
    <t>28944782</t>
  </si>
  <si>
    <t>ООО "ИнжКомСтрой"</t>
  </si>
  <si>
    <t>2312214932</t>
  </si>
  <si>
    <t>28-05-2014 00:00:00</t>
  </si>
  <si>
    <t>28-05-2018 00:00:00</t>
  </si>
  <si>
    <t>31596908</t>
  </si>
  <si>
    <t>ООО "КНВЛ-Энерджи"</t>
  </si>
  <si>
    <t>2308206079</t>
  </si>
  <si>
    <t>24-06-2022 00:00:00</t>
  </si>
  <si>
    <t>12-08-2022 00:00:00</t>
  </si>
  <si>
    <t>31359272</t>
  </si>
  <si>
    <t>ООО "КТ"</t>
  </si>
  <si>
    <t>2311297943</t>
  </si>
  <si>
    <t>19-11-2019 00:00:00</t>
  </si>
  <si>
    <t>22-01-2020 00:00:00</t>
  </si>
  <si>
    <t>30924762</t>
  </si>
  <si>
    <t>ООО "КТИ"</t>
  </si>
  <si>
    <t>2311194722</t>
  </si>
  <si>
    <t>10-07-2015 00:00:00</t>
  </si>
  <si>
    <t>30-06-2017 00:00:00</t>
  </si>
  <si>
    <t>31517228</t>
  </si>
  <si>
    <t>ООО "КТЭ"</t>
  </si>
  <si>
    <t>2311322773</t>
  </si>
  <si>
    <t>31639119</t>
  </si>
  <si>
    <t>ООО "КТЭК"</t>
  </si>
  <si>
    <t>2311323576</t>
  </si>
  <si>
    <t>24-11-2022 00:00:00</t>
  </si>
  <si>
    <t>17-01-2023 00:00:00</t>
  </si>
  <si>
    <t>18-01-2023 00:00:00</t>
  </si>
  <si>
    <t>28265804</t>
  </si>
  <si>
    <t>ООО "Карасунские тепловые сети"</t>
  </si>
  <si>
    <t>2309118107</t>
  </si>
  <si>
    <t>10-09-2013 00:00:00</t>
  </si>
  <si>
    <t>28468279</t>
  </si>
  <si>
    <t>ООО "КомЭнерго"</t>
  </si>
  <si>
    <t>2315177580</t>
  </si>
  <si>
    <t>01-01-2013 00:00:00</t>
  </si>
  <si>
    <t>31447831</t>
  </si>
  <si>
    <t>ООО "Кубанская Тепловая Компания""</t>
  </si>
  <si>
    <t>2311305312</t>
  </si>
  <si>
    <t>16-10-2020 00:00:00</t>
  </si>
  <si>
    <t>31625756</t>
  </si>
  <si>
    <t>ООО "Кубанькрайгаз"</t>
  </si>
  <si>
    <t>2360010921</t>
  </si>
  <si>
    <t>26606488</t>
  </si>
  <si>
    <t>ООО "Кубаньречфлот-сервис"</t>
  </si>
  <si>
    <t>2309121163</t>
  </si>
  <si>
    <t>22-03-2010 00:00:00</t>
  </si>
  <si>
    <t>11-11-2010 00:00:00</t>
  </si>
  <si>
    <t>26487627</t>
  </si>
  <si>
    <t>ООО "ЛУКОЙЛ-Кубаньэнерго"</t>
  </si>
  <si>
    <t>2312159262</t>
  </si>
  <si>
    <t>26-02-2009 00:00:00</t>
  </si>
  <si>
    <t>05-02-2010 00:00:00</t>
  </si>
  <si>
    <t>28967420</t>
  </si>
  <si>
    <t>ООО "Лидер"</t>
  </si>
  <si>
    <t>2309093131</t>
  </si>
  <si>
    <t>13-05-2015 00:00:00</t>
  </si>
  <si>
    <t>18-11-2015 00:00:00</t>
  </si>
  <si>
    <t>31625740</t>
  </si>
  <si>
    <t>ООО "ММК"</t>
  </si>
  <si>
    <t>2369005299</t>
  </si>
  <si>
    <t>236901001</t>
  </si>
  <si>
    <t>08-02-2017 00:00:00</t>
  </si>
  <si>
    <t>11-11-2022 00:00:00</t>
  </si>
  <si>
    <t>31220953</t>
  </si>
  <si>
    <t>ООО "МТС"</t>
  </si>
  <si>
    <t>2369006704</t>
  </si>
  <si>
    <t>09-11-2018 00:00:00</t>
  </si>
  <si>
    <t>31448096</t>
  </si>
  <si>
    <t>ООО "МЭС"</t>
  </si>
  <si>
    <t>2321016736</t>
  </si>
  <si>
    <t>234601001</t>
  </si>
  <si>
    <t>16-08-2022 00:00:00</t>
  </si>
  <si>
    <t>02-11-2022 00:00:00</t>
  </si>
  <si>
    <t>31417412</t>
  </si>
  <si>
    <t>ООО "Магнит Фарма"</t>
  </si>
  <si>
    <t>7702420263</t>
  </si>
  <si>
    <t>12-07-2017 00:00:00</t>
  </si>
  <si>
    <t>08-06-2020 00:00:00</t>
  </si>
  <si>
    <t>31442275</t>
  </si>
  <si>
    <t>ООО "Меркурий"</t>
  </si>
  <si>
    <t>2311124852</t>
  </si>
  <si>
    <t>21-10-2020 00:00:00</t>
  </si>
  <si>
    <t>27579623</t>
  </si>
  <si>
    <t>ООО "НИИК "Инвест Т"</t>
  </si>
  <si>
    <t>2343019402</t>
  </si>
  <si>
    <t>17-01-2012 00:00:00</t>
  </si>
  <si>
    <t>31456831</t>
  </si>
  <si>
    <t>ООО "НТГ"</t>
  </si>
  <si>
    <t>2315216208</t>
  </si>
  <si>
    <t>29-11-2020 00:00:00</t>
  </si>
  <si>
    <t>03-02-2021 00:00:00</t>
  </si>
  <si>
    <t>26528794</t>
  </si>
  <si>
    <t>ООО "Нефтегазтехнология - Ресурс"</t>
  </si>
  <si>
    <t>2308113794</t>
  </si>
  <si>
    <t>26355137</t>
  </si>
  <si>
    <t>ООО "Новопокровские тепловые сети"</t>
  </si>
  <si>
    <t>2344014340</t>
  </si>
  <si>
    <t>01-01-2008 00:00:00</t>
  </si>
  <si>
    <t>30836721</t>
  </si>
  <si>
    <t>ООО "Норд-Фактор"</t>
  </si>
  <si>
    <t>7810412654</t>
  </si>
  <si>
    <t>236701001</t>
  </si>
  <si>
    <t>12-09-2016 00:00:00</t>
  </si>
  <si>
    <t>28861442</t>
  </si>
  <si>
    <t>ООО "Ноябрь"</t>
  </si>
  <si>
    <t>2310165831</t>
  </si>
  <si>
    <t>07-11-2014 00:00:00</t>
  </si>
  <si>
    <t>19-12-2014 00:00:00</t>
  </si>
  <si>
    <t>30837914</t>
  </si>
  <si>
    <t>ООО "Павловский сахарный завод"</t>
  </si>
  <si>
    <t>2309140864</t>
  </si>
  <si>
    <t>236201001</t>
  </si>
  <si>
    <t>20-05-2016 00:00:00</t>
  </si>
  <si>
    <t>22-09-2016 00:00:00</t>
  </si>
  <si>
    <t>Комбинированная выработка :: Передача</t>
  </si>
  <si>
    <t>/Тепловая энергия/Производство/Комбинированная выработка :: /Тепловая энергия/Передача</t>
  </si>
  <si>
    <t>31502075</t>
  </si>
  <si>
    <t>ООО "РГС-Ресурс"</t>
  </si>
  <si>
    <t>2315218597</t>
  </si>
  <si>
    <t>03-11-2020 00:00:00</t>
  </si>
  <si>
    <t>01-07-2021 00:00:00</t>
  </si>
  <si>
    <t>26319777</t>
  </si>
  <si>
    <t>ООО "РН-Туапсинский НПЗ"</t>
  </si>
  <si>
    <t>2365004375</t>
  </si>
  <si>
    <t>16-11-2005 00:00:00</t>
  </si>
  <si>
    <t>31345866</t>
  </si>
  <si>
    <t>ООО "РТЭ"</t>
  </si>
  <si>
    <t>2311286476</t>
  </si>
  <si>
    <t>01-04-2019 00:00:00</t>
  </si>
  <si>
    <t>23-10-2019 00:00:00</t>
  </si>
  <si>
    <t>31356957</t>
  </si>
  <si>
    <t>ООО "Риф Сервис"</t>
  </si>
  <si>
    <t>2301092136</t>
  </si>
  <si>
    <t>236601001</t>
  </si>
  <si>
    <t>08-06-2016 00:00:00</t>
  </si>
  <si>
    <t>31483921</t>
  </si>
  <si>
    <t>ООО "СБ-Энерго"</t>
  </si>
  <si>
    <t>2312297618</t>
  </si>
  <si>
    <t>31-03-2021 00:00:00</t>
  </si>
  <si>
    <t>26355043</t>
  </si>
  <si>
    <t>ООО "СЗ" "ИСК «БУДМАР»</t>
  </si>
  <si>
    <t>2310081363</t>
  </si>
  <si>
    <t>Некомбинированная выработка :: Передача</t>
  </si>
  <si>
    <t>/Тепловая энергия/Производство/Некомбинированная выработка :: /Тепловая энергия/Передача</t>
  </si>
  <si>
    <t>31349809</t>
  </si>
  <si>
    <t>ООО "СПКК"</t>
  </si>
  <si>
    <t>7814299632</t>
  </si>
  <si>
    <t>781401001</t>
  </si>
  <si>
    <t>22-12-2015 00:00:00</t>
  </si>
  <si>
    <t>20-11-2019 00:00:00</t>
  </si>
  <si>
    <t>26355094</t>
  </si>
  <si>
    <t>ООО "Санаторий "Заполярье"</t>
  </si>
  <si>
    <t>2320126214</t>
  </si>
  <si>
    <t>28-06-2004 00:00:00</t>
  </si>
  <si>
    <t>31638727</t>
  </si>
  <si>
    <t>ООО "Славянсктеплоэнерго"</t>
  </si>
  <si>
    <t>2370010511</t>
  </si>
  <si>
    <t>22-06-2020 00:00:00</t>
  </si>
  <si>
    <t>02-02-2023 00:00:00</t>
  </si>
  <si>
    <t>03-02-2023 00:00:00</t>
  </si>
  <si>
    <t>27919094</t>
  </si>
  <si>
    <t>ООО "Строй-Новация"</t>
  </si>
  <si>
    <t>2310037639</t>
  </si>
  <si>
    <t>31-10-2012 00:00:00</t>
  </si>
  <si>
    <t>31078106</t>
  </si>
  <si>
    <t>ООО "СтройСервис"</t>
  </si>
  <si>
    <t>2301077434</t>
  </si>
  <si>
    <t>30-12-2017 00:00:00</t>
  </si>
  <si>
    <t>04-03-2020 00:00:00</t>
  </si>
  <si>
    <t>30840101</t>
  </si>
  <si>
    <t>ООО "ТД94"</t>
  </si>
  <si>
    <t>2309150358</t>
  </si>
  <si>
    <t>21-04-2016 00:00:00</t>
  </si>
  <si>
    <t>04-10-2016 00:00:00</t>
  </si>
  <si>
    <t>31627950</t>
  </si>
  <si>
    <t>ООО "ТСО №1"</t>
  </si>
  <si>
    <t>2310226636</t>
  </si>
  <si>
    <t>05-10-2021 00:00:00</t>
  </si>
  <si>
    <t>15-11-2022 00:00:00</t>
  </si>
  <si>
    <t>31568475</t>
  </si>
  <si>
    <t>ООО "ТСС"</t>
  </si>
  <si>
    <t>2311328302</t>
  </si>
  <si>
    <t>21-12-2021 00:00:00</t>
  </si>
  <si>
    <t>12-04-2022 00:00:00</t>
  </si>
  <si>
    <t>31349188</t>
  </si>
  <si>
    <t>ООО "ТТК"</t>
  </si>
  <si>
    <t>2311290377</t>
  </si>
  <si>
    <t>24-10-2019 00:00:00</t>
  </si>
  <si>
    <t>18-12-2019 00:00:00</t>
  </si>
  <si>
    <t>31624813</t>
  </si>
  <si>
    <t>ООО "ТЭС"</t>
  </si>
  <si>
    <t>2312311990</t>
  </si>
  <si>
    <t>13-10-2022 00:00:00</t>
  </si>
  <si>
    <t>31418850</t>
  </si>
  <si>
    <t>ООО "Тепло"</t>
  </si>
  <si>
    <t>2310209302</t>
  </si>
  <si>
    <t>21-08-2018 00:00:00</t>
  </si>
  <si>
    <t>31282543</t>
  </si>
  <si>
    <t>ООО "ТеплоТЭК"</t>
  </si>
  <si>
    <t>2315209962</t>
  </si>
  <si>
    <t>18-01-2019 00:00:00</t>
  </si>
  <si>
    <t>10-04-2019 00:00:00</t>
  </si>
  <si>
    <t>26354999</t>
  </si>
  <si>
    <t>ООО "Тепловик"</t>
  </si>
  <si>
    <t>2301036935</t>
  </si>
  <si>
    <t>26516342</t>
  </si>
  <si>
    <t>ООО "Тепловые сети Апшеронского района"</t>
  </si>
  <si>
    <t>2325020959</t>
  </si>
  <si>
    <t>232501001</t>
  </si>
  <si>
    <t>12-04-2018 00:00:00</t>
  </si>
  <si>
    <t>31624807</t>
  </si>
  <si>
    <t>ООО "Теплоресурс"</t>
  </si>
  <si>
    <t>2312312048</t>
  </si>
  <si>
    <t>26355033</t>
  </si>
  <si>
    <t>ООО "Теплосервис-2000"</t>
  </si>
  <si>
    <t>2309080140</t>
  </si>
  <si>
    <t>31-12-2019 00:00:00</t>
  </si>
  <si>
    <t>26532030</t>
  </si>
  <si>
    <t>ООО "Теплосети"</t>
  </si>
  <si>
    <t>2333011450</t>
  </si>
  <si>
    <t>233301001</t>
  </si>
  <si>
    <t>31488189</t>
  </si>
  <si>
    <t>ООО "Теплосеть"</t>
  </si>
  <si>
    <t>2311311330</t>
  </si>
  <si>
    <t>24-02-2021 00:00:00</t>
  </si>
  <si>
    <t>26493650</t>
  </si>
  <si>
    <t>ООО "Теплоэнергодар"</t>
  </si>
  <si>
    <t>2315147890</t>
  </si>
  <si>
    <t>09-03-2010 00:00:00</t>
  </si>
  <si>
    <t>31528072</t>
  </si>
  <si>
    <t>ООО "Теплый Город"</t>
  </si>
  <si>
    <t>2315216617</t>
  </si>
  <si>
    <t>10-11-2021 00:00:00</t>
  </si>
  <si>
    <t>30802627</t>
  </si>
  <si>
    <t>ООО "ТермоТрон"</t>
  </si>
  <si>
    <t>5024159342</t>
  </si>
  <si>
    <t>502401001</t>
  </si>
  <si>
    <t>02-11-2015 00:00:00</t>
  </si>
  <si>
    <t>04-07-2018 00:00:00</t>
  </si>
  <si>
    <t>31216672</t>
  </si>
  <si>
    <t>ООО "ТехноГарант"</t>
  </si>
  <si>
    <t>2312264965</t>
  </si>
  <si>
    <t>31-10-2018 00:00:00</t>
  </si>
  <si>
    <t>31513849</t>
  </si>
  <si>
    <t>ООО "Технология"</t>
  </si>
  <si>
    <t>7718286207</t>
  </si>
  <si>
    <t>24-08-2021 00:00:00</t>
  </si>
  <si>
    <t>24-11-2021 00:00:00</t>
  </si>
  <si>
    <t>28828091</t>
  </si>
  <si>
    <t>ООО "ТихорецкЭнерго"</t>
  </si>
  <si>
    <t>2360007809</t>
  </si>
  <si>
    <t>30847614</t>
  </si>
  <si>
    <t>ООО "Триумф плюс"</t>
  </si>
  <si>
    <t>2372018227</t>
  </si>
  <si>
    <t>237201001</t>
  </si>
  <si>
    <t>07-09-2016 00:00:00</t>
  </si>
  <si>
    <t>26-10-2016 00:00:00</t>
  </si>
  <si>
    <t>26355026</t>
  </si>
  <si>
    <t>ООО "Универсал-Плюс-Сервис"</t>
  </si>
  <si>
    <t>2308068559</t>
  </si>
  <si>
    <t>06-01-2003 00:00:00</t>
  </si>
  <si>
    <t>31336346</t>
  </si>
  <si>
    <t>ООО "Управляющая компания "Индустриальный парк Краснодар"</t>
  </si>
  <si>
    <t>2311209369</t>
  </si>
  <si>
    <t>24-03-2016 00:00:00</t>
  </si>
  <si>
    <t>25-11-2019 00:00:00</t>
  </si>
  <si>
    <t>26516316</t>
  </si>
  <si>
    <t>ООО "Усть-Лабинскгазстрой"</t>
  </si>
  <si>
    <t>2356036356</t>
  </si>
  <si>
    <t>01-10-2019 00:00:00</t>
  </si>
  <si>
    <t>31527914</t>
  </si>
  <si>
    <t>ООО "Фирма "Баланс"</t>
  </si>
  <si>
    <t>2365028009</t>
  </si>
  <si>
    <t>30-07-2018 00:00:00</t>
  </si>
  <si>
    <t>07-12-2021 00:00:00</t>
  </si>
  <si>
    <t>26318591</t>
  </si>
  <si>
    <t>ООО "Хоста"</t>
  </si>
  <si>
    <t>2319018550</t>
  </si>
  <si>
    <t>Комбинированная выработка :: Некомбинированная выработка :: Сбыт :: Передача</t>
  </si>
  <si>
    <t>/Тепловая энергия/Производство/Комбинированная выработка :: /Тепловая энергия/Производство/Некомбинированная выработка :: /Тепловая энергия/Сбыт :: /Тепловая энергия/Передача</t>
  </si>
  <si>
    <t>26355085</t>
  </si>
  <si>
    <t>ООО "Черномормебель ТЭН"</t>
  </si>
  <si>
    <t>2315118923</t>
  </si>
  <si>
    <t>31579640</t>
  </si>
  <si>
    <t>ООО "ЭТК"</t>
  </si>
  <si>
    <t>2311327242</t>
  </si>
  <si>
    <t>26-11-2021 00:00:00</t>
  </si>
  <si>
    <t>26-06-2022 00:00:00</t>
  </si>
  <si>
    <t>28221002</t>
  </si>
  <si>
    <t>ООО "ЮТЭП"</t>
  </si>
  <si>
    <t>2311151510</t>
  </si>
  <si>
    <t>28-11-2012 00:00:00</t>
  </si>
  <si>
    <t>26562795</t>
  </si>
  <si>
    <t>ООО "Юг-Теплосервис"</t>
  </si>
  <si>
    <t>2348031322</t>
  </si>
  <si>
    <t>17-09-2010 00:00:00</t>
  </si>
  <si>
    <t>31002183</t>
  </si>
  <si>
    <t>ООО "ЮгСети"</t>
  </si>
  <si>
    <t>2312258464</t>
  </si>
  <si>
    <t>10-04-2017 00:00:00</t>
  </si>
  <si>
    <t>Теплоноситель - Сбыт</t>
  </si>
  <si>
    <t>Сбыт</t>
  </si>
  <si>
    <t>/Теплоноситель/Сбыт</t>
  </si>
  <si>
    <t>31020957</t>
  </si>
  <si>
    <t>ООО "ЮгТеплоЭнерго"</t>
  </si>
  <si>
    <t>2312214724</t>
  </si>
  <si>
    <t>01-11-2017 00:00:00</t>
  </si>
  <si>
    <t>20-05-2020 00:00:00</t>
  </si>
  <si>
    <t>31524191</t>
  </si>
  <si>
    <t>ООО "ЮгЭнергоИнвест"</t>
  </si>
  <si>
    <t>2312294984</t>
  </si>
  <si>
    <t>30-09-2020 00:00:00</t>
  </si>
  <si>
    <t>10-12-2021 00:00:00</t>
  </si>
  <si>
    <t>26355120</t>
  </si>
  <si>
    <t>ООО «Каневской ЗГА»</t>
  </si>
  <si>
    <t>2334013965</t>
  </si>
  <si>
    <t>31470151</t>
  </si>
  <si>
    <t>ООО «ТТК»</t>
  </si>
  <si>
    <t>2311305369</t>
  </si>
  <si>
    <t>12-05-2020 00:00:00</t>
  </si>
  <si>
    <t>16-06-2021 00:00:00</t>
  </si>
  <si>
    <t>26355042</t>
  </si>
  <si>
    <t>ООО «Центр содействия бизнесу «ПИК»</t>
  </si>
  <si>
    <t>2310078603</t>
  </si>
  <si>
    <t>30-11-2002 00:00:00</t>
  </si>
  <si>
    <t>26355009</t>
  </si>
  <si>
    <t>ООО ККП "Геленджиккурорт"</t>
  </si>
  <si>
    <t>2304034654</t>
  </si>
  <si>
    <t>31416125</t>
  </si>
  <si>
    <t>ООО МЭЗ "Ресурс"</t>
  </si>
  <si>
    <t>2631805988</t>
  </si>
  <si>
    <t>263101001</t>
  </si>
  <si>
    <t>11-07-2022 00:00:00</t>
  </si>
  <si>
    <t>31520978</t>
  </si>
  <si>
    <t>ООО СЗ Кислород</t>
  </si>
  <si>
    <t>2367015397</t>
  </si>
  <si>
    <t>18-10-2021 00:00:00</t>
  </si>
  <si>
    <t>31520972</t>
  </si>
  <si>
    <t>ООО СК ИСК Еврострой</t>
  </si>
  <si>
    <t>2304069946</t>
  </si>
  <si>
    <t>31455451</t>
  </si>
  <si>
    <t>ООО УК "Домус"</t>
  </si>
  <si>
    <t>2311308063</t>
  </si>
  <si>
    <t>03-12-2020 00:00:00</t>
  </si>
  <si>
    <t>28-02-2022 00:00:00</t>
  </si>
  <si>
    <t>30438799</t>
  </si>
  <si>
    <t>ООО УК "Заречье"</t>
  </si>
  <si>
    <t>2365021934</t>
  </si>
  <si>
    <t>08-04-2016 00:00:00</t>
  </si>
  <si>
    <t>31635406</t>
  </si>
  <si>
    <t>Обособленное подразделение имущественного комплекса г. Новороссийск филиала "Дирекция по эксплуатации имущественного комплекса" ФГУП "ГУСС"</t>
  </si>
  <si>
    <t>2315078029</t>
  </si>
  <si>
    <t>231545004</t>
  </si>
  <si>
    <t>31006022</t>
  </si>
  <si>
    <t>Общество с ограниченной отвественностью "Комфорт Сити"</t>
  </si>
  <si>
    <t>2301094373</t>
  </si>
  <si>
    <t>02-05-2017 00:00:00</t>
  </si>
  <si>
    <t>14-02-2018 00:00:00</t>
  </si>
  <si>
    <t>26530248</t>
  </si>
  <si>
    <t>ПАО "Новороссийский морской торговый порт"</t>
  </si>
  <si>
    <t>2315004404</t>
  </si>
  <si>
    <t>25-06-2010 00:00:00</t>
  </si>
  <si>
    <t>26814881</t>
  </si>
  <si>
    <t>ПАО "Сургутнефтегаз" Оздоровительный трест " Сургут"</t>
  </si>
  <si>
    <t>8602060555</t>
  </si>
  <si>
    <t>860201001</t>
  </si>
  <si>
    <t>22-04-2011 00:00:00</t>
  </si>
  <si>
    <t>26359319</t>
  </si>
  <si>
    <t>СХК "Донагрокурорт" Филиал - санаторий "Тихий Дон"</t>
  </si>
  <si>
    <t>6163051203</t>
  </si>
  <si>
    <t>231802001</t>
  </si>
  <si>
    <t>20-02-1998 00:00:00</t>
  </si>
  <si>
    <t>26816056</t>
  </si>
  <si>
    <t>25-04-2011 00:00:00</t>
  </si>
  <si>
    <t>26322297</t>
  </si>
  <si>
    <t>Северо-Кавказский филиал ООО "Газпром энерго"</t>
  </si>
  <si>
    <t>7736186950</t>
  </si>
  <si>
    <t>263602001</t>
  </si>
  <si>
    <t>27-07-1998 00:00:00</t>
  </si>
  <si>
    <t>31-12-2021 00:00:00</t>
  </si>
  <si>
    <t>30876488</t>
  </si>
  <si>
    <t>Туапсинский Филиал ООО "Газпром теплоэнерго Краснодар"</t>
  </si>
  <si>
    <t>236543001</t>
  </si>
  <si>
    <t>26531972</t>
  </si>
  <si>
    <t>ФБУ ИК-4 УФСИН России по Краснодарскому краю</t>
  </si>
  <si>
    <t>2302031224</t>
  </si>
  <si>
    <t>26355151</t>
  </si>
  <si>
    <t>ФГАУ "Дом отдыха "Туапсе"  Управление делами Президента РФ</t>
  </si>
  <si>
    <t>2355004425</t>
  </si>
  <si>
    <t>03-12-2002 00:00:00</t>
  </si>
  <si>
    <t>26507578</t>
  </si>
  <si>
    <t>ФГБНУ "НЦЗ им. П.П. Лукьяненко"</t>
  </si>
  <si>
    <t>2311014916</t>
  </si>
  <si>
    <t>12-10-2002 00:00:00</t>
  </si>
  <si>
    <t>27-04-2010 00:00:00</t>
  </si>
  <si>
    <t>26355150</t>
  </si>
  <si>
    <t>ФГБОУ ВДЦ "Орленок"</t>
  </si>
  <si>
    <t>2355004390</t>
  </si>
  <si>
    <t>28859259</t>
  </si>
  <si>
    <t>ФГБОУ ВО "КГИК"</t>
  </si>
  <si>
    <t>2311021085</t>
  </si>
  <si>
    <t>22-12-2014 00:00:00</t>
  </si>
  <si>
    <t>26355037</t>
  </si>
  <si>
    <t>ФГБОУ ВО КубГТУ</t>
  </si>
  <si>
    <t>2310018876</t>
  </si>
  <si>
    <t>26653552</t>
  </si>
  <si>
    <t>ФГБУ "Краснодарская МВЛ"</t>
  </si>
  <si>
    <t>2308034630</t>
  </si>
  <si>
    <t>26528683</t>
  </si>
  <si>
    <t>ФГБУ "Объединённый санаторий "Русь"</t>
  </si>
  <si>
    <t>2319023817</t>
  </si>
  <si>
    <t>30903763</t>
  </si>
  <si>
    <t>ФГБУ "ЦЖКУ" МИНОБОРОНЫ РОССИИ</t>
  </si>
  <si>
    <t>7729314745</t>
  </si>
  <si>
    <t>770101001</t>
  </si>
  <si>
    <t>31209568</t>
  </si>
  <si>
    <t>ФГБУ "Юг Спорт"</t>
  </si>
  <si>
    <t>2319056379</t>
  </si>
  <si>
    <t>22-10-2018 00:00:00</t>
  </si>
  <si>
    <t>01-12-2018 00:00:00</t>
  </si>
  <si>
    <t>28828283</t>
  </si>
  <si>
    <t>ФГКОУ ИБО ФСБ России</t>
  </si>
  <si>
    <t>2301064107</t>
  </si>
  <si>
    <t>30-11-2011 00:00:00</t>
  </si>
  <si>
    <t>26355092</t>
  </si>
  <si>
    <t>ФГКУ "ЦКС им. Ф.Э.Дзержинского ФСБ России"</t>
  </si>
  <si>
    <t>2320054778</t>
  </si>
  <si>
    <t>30993299</t>
  </si>
  <si>
    <t>ФГКУЗ "Санаторий "Солнечный" войск национальной гвардии Российской Федерации"</t>
  </si>
  <si>
    <t>2355000438</t>
  </si>
  <si>
    <t>14-09-1993 00:00:00</t>
  </si>
  <si>
    <t>26355133</t>
  </si>
  <si>
    <t>ФКП "Армавирская биофабрика"</t>
  </si>
  <si>
    <t>2343003392</t>
  </si>
  <si>
    <t>08-11-2002 00:00:00</t>
  </si>
  <si>
    <t>26355091</t>
  </si>
  <si>
    <t>ФКУ «Санаторий Правда»</t>
  </si>
  <si>
    <t>2319022330</t>
  </si>
  <si>
    <t>26355088</t>
  </si>
  <si>
    <t>ФКУЗ "Санаторий "Искра" МВД России"</t>
  </si>
  <si>
    <t>2319018052</t>
  </si>
  <si>
    <t>26355152</t>
  </si>
  <si>
    <t>ФКУЗ "Санаторий "Сосновый" МВД России</t>
  </si>
  <si>
    <t>2355004898</t>
  </si>
  <si>
    <t>31-10-2002 00:00:00</t>
  </si>
  <si>
    <t>31641695</t>
  </si>
  <si>
    <t>Филиал "Джубга" ООО "АСУ-Сервис"</t>
  </si>
  <si>
    <t>14-09-2022 00:00:00</t>
  </si>
  <si>
    <t>01-11-2022 00:00:00</t>
  </si>
  <si>
    <t>12-04-2023 00:00:00</t>
  </si>
  <si>
    <t>13-04-2023 00:00:00</t>
  </si>
  <si>
    <t>31663486</t>
  </si>
  <si>
    <t>Филиал "ЛТС" ООО "СПКК"</t>
  </si>
  <si>
    <t>237143001</t>
  </si>
  <si>
    <t>06-12-2019 00:00:00</t>
  </si>
  <si>
    <t>31635591</t>
  </si>
  <si>
    <t>Филиал "СЕВЕРСКИЙ" ООО "АСУ-Сервис"</t>
  </si>
  <si>
    <t>234843001</t>
  </si>
  <si>
    <t>01-02-2023 00:00:00</t>
  </si>
  <si>
    <t>26361070</t>
  </si>
  <si>
    <t>Филиал №1 ЗАО МПБК "Очаково"</t>
  </si>
  <si>
    <t>7729101200</t>
  </si>
  <si>
    <t>231102001</t>
  </si>
  <si>
    <t>26653550</t>
  </si>
  <si>
    <t>Филиал АО "АТЭК" "Абинские тепловые сети"</t>
  </si>
  <si>
    <t>2312054894</t>
  </si>
  <si>
    <t>232343001</t>
  </si>
  <si>
    <t>12-10-2010 00:00:00</t>
  </si>
  <si>
    <t>27581284</t>
  </si>
  <si>
    <t>Филиал АО "АТЭК" "Гулькевичские тепловые сети"</t>
  </si>
  <si>
    <t>18-01-2012 00:00:00</t>
  </si>
  <si>
    <t>27683182</t>
  </si>
  <si>
    <t>Филиал АО "АТЭК" "Краснодартеплоэнерго"</t>
  </si>
  <si>
    <t>231243001</t>
  </si>
  <si>
    <t>12-05-2011 00:00:00</t>
  </si>
  <si>
    <t>26823285</t>
  </si>
  <si>
    <t>Филиал АО "Черномортранснефть" "КРУМН"</t>
  </si>
  <si>
    <t>03-10-2017 00:00:00</t>
  </si>
  <si>
    <t>/Тепловая энергия/Сбыт</t>
  </si>
  <si>
    <t>10-01-2018 00:00:00</t>
  </si>
  <si>
    <t>26761123</t>
  </si>
  <si>
    <t>Филиал АО "Черномортранснефть" "ТРУМН"</t>
  </si>
  <si>
    <t>232103001</t>
  </si>
  <si>
    <t>15-05-2015 00:00:00</t>
  </si>
  <si>
    <t>31503844</t>
  </si>
  <si>
    <t>Филиал ООО "КТИ" "Темрюкские Тепловые Сети"</t>
  </si>
  <si>
    <t>235243001</t>
  </si>
  <si>
    <t>01-08-2021 00:00:00</t>
  </si>
  <si>
    <t>31493295</t>
  </si>
  <si>
    <t>Филиал ООО "МЭС" г. Горячий Ключ</t>
  </si>
  <si>
    <t>20-11-2020 00:00:00</t>
  </si>
  <si>
    <t>27-10-2021 00:00:00</t>
  </si>
  <si>
    <t>31632789</t>
  </si>
  <si>
    <t>Филиал ООО "МЭС" пгт. Мостовской</t>
  </si>
  <si>
    <t>237743001</t>
  </si>
  <si>
    <t>07-10-2022 00:00:00</t>
  </si>
  <si>
    <t>26640656</t>
  </si>
  <si>
    <t>ЮО ИО РАН</t>
  </si>
  <si>
    <t>7727083115</t>
  </si>
  <si>
    <t>230402001</t>
  </si>
  <si>
    <t>23-12-2010 00:00:00</t>
  </si>
  <si>
    <t>30856184</t>
  </si>
  <si>
    <t>филиал "ЕИС" ООО "ЦУП ЖКХ"</t>
  </si>
  <si>
    <t>7811207760</t>
  </si>
  <si>
    <t>236143001</t>
  </si>
  <si>
    <t>11-06-2015 00:00:00</t>
  </si>
  <si>
    <t>31617884</t>
  </si>
  <si>
    <t>филиал "Прогресс" ООО "АСУ-Сервис"</t>
  </si>
  <si>
    <t>27673464</t>
  </si>
  <si>
    <t>филиал "Сочинская ТЭС" АО "Интер РАО - Электрогенерация"</t>
  </si>
  <si>
    <t>7704784450</t>
  </si>
  <si>
    <t>231943001</t>
  </si>
  <si>
    <t>09-04-2012 00:00:00</t>
  </si>
  <si>
    <t>26472933</t>
  </si>
  <si>
    <t>филиал АО "АТЭК"  "Новороссийские тепловые сети"</t>
  </si>
  <si>
    <t>231503001</t>
  </si>
  <si>
    <t>15-01-2010 00:00:00</t>
  </si>
  <si>
    <t>26505597</t>
  </si>
  <si>
    <t>филиал АО "АТЭК"  "Тимашевские тепловые сети"</t>
  </si>
  <si>
    <t>236943001</t>
  </si>
  <si>
    <t>01-07-2011 00:00:00</t>
  </si>
  <si>
    <t>31448028</t>
  </si>
  <si>
    <t>филиал ООО "МЭС" с. Успенское</t>
  </si>
  <si>
    <t>01-10-2020 00:00:00</t>
  </si>
  <si>
    <t>08-12-2021 00:00:00</t>
  </si>
  <si>
    <t>31079963</t>
  </si>
  <si>
    <t>филиал ООО "РН-Транспорт"  в г. Славянск-на-Кубани</t>
  </si>
  <si>
    <t>0274089610</t>
  </si>
  <si>
    <t>237043001</t>
  </si>
  <si>
    <t>01-03-2018 00:00:00</t>
  </si>
  <si>
    <t>26809129</t>
  </si>
  <si>
    <t>филиал ПАО "ОГК-2" - Адлерская ТЭС</t>
  </si>
  <si>
    <t>2607018122</t>
  </si>
  <si>
    <t>231743001</t>
  </si>
  <si>
    <t>Оказание услуг в сфере горячего водоснабжения</t>
  </si>
  <si>
    <t>Сбыт :: Производство :: Транспортировка</t>
  </si>
  <si>
    <t>/ГВС/Сбыт :: /ГВС/Производство :: /ГВС/Транспортировка</t>
  </si>
  <si>
    <t>26-11-2014 00:00:00</t>
  </si>
  <si>
    <t>14-08-2019 00:00:00</t>
  </si>
  <si>
    <t>06-07-2017 00:00:00</t>
  </si>
  <si>
    <t>Производство</t>
  </si>
  <si>
    <t>/ГВС/Производство</t>
  </si>
  <si>
    <t>Поставка горячей воды</t>
  </si>
  <si>
    <t>Сбыт :: Транспортировка</t>
  </si>
  <si>
    <t>/ГВС/Сбыт :: /ГВС/Транспортировка</t>
  </si>
  <si>
    <t>14-01-2015 00:00:00</t>
  </si>
  <si>
    <t>24-11-2015 00:00:00</t>
  </si>
  <si>
    <t>20-03-2019 00:00:00</t>
  </si>
  <si>
    <t>24-02-2016 00:00:00</t>
  </si>
  <si>
    <t>/ГВС/Транспортировка</t>
  </si>
  <si>
    <t>20-02-2016 00:00:00</t>
  </si>
  <si>
    <t>Сбыт :: Производство</t>
  </si>
  <si>
    <t>/ГВС/Сбыт :: /ГВС/Производство</t>
  </si>
  <si>
    <t>28-01-2015 00:00:00</t>
  </si>
  <si>
    <t>07-04-2023 00:00:00</t>
  </si>
  <si>
    <t>05-08-2019 00:00:00</t>
  </si>
  <si>
    <t>30-04-2019 00:00:00</t>
  </si>
  <si>
    <t>02-08-2018 00:00:00</t>
  </si>
  <si>
    <t>31-12-2020 00:00:00</t>
  </si>
  <si>
    <t>06-05-2016 00:00:00</t>
  </si>
  <si>
    <t>13-02-2018 00:00:00</t>
  </si>
  <si>
    <t>23-12-2021 00:00:00</t>
  </si>
  <si>
    <t>26468813</t>
  </si>
  <si>
    <t>«Новобейсугское» МУМП ЖКХ</t>
  </si>
  <si>
    <t>2328015805</t>
  </si>
  <si>
    <t>27-12-2005 00:00:00</t>
  </si>
  <si>
    <t>Оказание услуг в сфере водоснабжения</t>
  </si>
  <si>
    <t>Питьевая :: Питьевая :: Питьевая</t>
  </si>
  <si>
    <t>/ХВС/Сбыт/Питьевая :: /ХВС/Транспортировка/Питьевая :: /ХВС/Производство/Питьевая</t>
  </si>
  <si>
    <t>Транспортировка воды</t>
  </si>
  <si>
    <t>31540512</t>
  </si>
  <si>
    <t>АО "Агрокомплекс Павловский"</t>
  </si>
  <si>
    <t>2360014203</t>
  </si>
  <si>
    <t>22-11-2021 00:00:00</t>
  </si>
  <si>
    <t>01-12-2021 00:00:00</t>
  </si>
  <si>
    <t>Питьевая :: Очистка</t>
  </si>
  <si>
    <t>/ХВС/Сбыт/Питьевая :: /ХВС/Очистка</t>
  </si>
  <si>
    <t>27-12-2021 00:00:00</t>
  </si>
  <si>
    <t>Питьевая</t>
  </si>
  <si>
    <t>/ХВС/Производство/Питьевая</t>
  </si>
  <si>
    <t>26473799</t>
  </si>
  <si>
    <t>АО "База отдыха "Энергетик"</t>
  </si>
  <si>
    <t>2355016847</t>
  </si>
  <si>
    <t>235501001</t>
  </si>
  <si>
    <t>10-11-2003 00:00:00</t>
  </si>
  <si>
    <t>26468699</t>
  </si>
  <si>
    <t>АО "Водоканал Апшеронского района"</t>
  </si>
  <si>
    <t>2325019287</t>
  </si>
  <si>
    <t>06-09-2012 00:00:00</t>
  </si>
  <si>
    <t>01-01-2017 00:00:00</t>
  </si>
  <si>
    <t>Подвоз воды</t>
  </si>
  <si>
    <t>/ХВС/Подвоз воды</t>
  </si>
  <si>
    <t>26471627</t>
  </si>
  <si>
    <t>АО "Водопровод"</t>
  </si>
  <si>
    <t>2356047502</t>
  </si>
  <si>
    <t>Подвоз воды :: Питьевая :: Питьевая :: Питьевая :: Очистка</t>
  </si>
  <si>
    <t>/ХВС/Подвоз воды :: /ХВС/Сбыт/Питьевая :: /ХВС/Транспортировка/Питьевая :: /ХВС/Производство/Питьевая :: /ХВС/Очистка</t>
  </si>
  <si>
    <t>20-06-2019 00:00:00</t>
  </si>
  <si>
    <t>Питьевая :: Питьевая :: Очистка</t>
  </si>
  <si>
    <t>/ХВС/Сбыт/Питьевая :: /ХВС/Транспортировка/Питьевая :: /ХВС/Очистка</t>
  </si>
  <si>
    <t>22-07-2019 00:00:00</t>
  </si>
  <si>
    <t>26532020</t>
  </si>
  <si>
    <t>АО "Краснодарское" по искусственному осеменению сельскохозяйственных животных</t>
  </si>
  <si>
    <t>2311096482</t>
  </si>
  <si>
    <t>19-02-2007 00:00:00</t>
  </si>
  <si>
    <t>Питьевая :: Питьевая :: Питьевая :: Очистка</t>
  </si>
  <si>
    <t>/ХВС/Сбыт/Питьевая :: /ХВС/Транспортировка/Питьевая :: /ХВС/Производство/Питьевая :: /ХВС/Очистка</t>
  </si>
  <si>
    <t>26470925</t>
  </si>
  <si>
    <t>АО "МОК "Братковский"</t>
  </si>
  <si>
    <t>2335012072</t>
  </si>
  <si>
    <t>26471366</t>
  </si>
  <si>
    <t>АО "Новопластуновское"</t>
  </si>
  <si>
    <t>2346000311</t>
  </si>
  <si>
    <t>16-03-2007 00:00:00</t>
  </si>
  <si>
    <t>31020948</t>
  </si>
  <si>
    <t>АО "Объединение"</t>
  </si>
  <si>
    <t>2309145245</t>
  </si>
  <si>
    <t>31280800</t>
  </si>
  <si>
    <t>АО "Племенной форелеводческий завод "Адлер"</t>
  </si>
  <si>
    <t>2367006890</t>
  </si>
  <si>
    <t>14-01-2019 00:00:00</t>
  </si>
  <si>
    <t>01-02-2019 00:00:00</t>
  </si>
  <si>
    <t>26760696</t>
  </si>
  <si>
    <t>АО "Рассвет"</t>
  </si>
  <si>
    <t>2352031188</t>
  </si>
  <si>
    <t>235201001</t>
  </si>
  <si>
    <t>18-10-1999 00:00:00</t>
  </si>
  <si>
    <t>Техническая :: Техническая</t>
  </si>
  <si>
    <t>/ХВС/Транспортировка/Техническая :: /ХВС/Производство/Техническая</t>
  </si>
  <si>
    <t>26471642</t>
  </si>
  <si>
    <t>2356045713</t>
  </si>
  <si>
    <t>26473304</t>
  </si>
  <si>
    <t>АО "Содружество 92"</t>
  </si>
  <si>
    <t>2330015915</t>
  </si>
  <si>
    <t>28827616</t>
  </si>
  <si>
    <t>АО «АТЭК»</t>
  </si>
  <si>
    <t>04-10-2002 00:00:00</t>
  </si>
  <si>
    <t>26-09-2014 00:00:00</t>
  </si>
  <si>
    <t>Питьевая :: Питьевая</t>
  </si>
  <si>
    <t>/ХВС/Сбыт/Питьевая :: /ХВС/Производство/Питьевая</t>
  </si>
  <si>
    <t>26468197</t>
  </si>
  <si>
    <t>АО «Анапа Водоканал»</t>
  </si>
  <si>
    <t>2301078639</t>
  </si>
  <si>
    <t>21-12-2011 00:00:00</t>
  </si>
  <si>
    <t>30946461</t>
  </si>
  <si>
    <t>Азово-Донской филиал ФГБУ "Главрыбвод"</t>
  </si>
  <si>
    <t>7708044880</t>
  </si>
  <si>
    <t>616243001</t>
  </si>
  <si>
    <t>28-08-2017 00:00:00</t>
  </si>
  <si>
    <t>26473547</t>
  </si>
  <si>
    <t>Ахтарское МУП ЖКХ</t>
  </si>
  <si>
    <t>2347012905</t>
  </si>
  <si>
    <t>02-04-2007 00:00:00</t>
  </si>
  <si>
    <t>26468795</t>
  </si>
  <si>
    <t>Бейсужекское ММУП ЖКХ</t>
  </si>
  <si>
    <t>2328016005</t>
  </si>
  <si>
    <t>26468801</t>
  </si>
  <si>
    <t>Бузиновское  МУМП ЖКХ</t>
  </si>
  <si>
    <t>2328015900</t>
  </si>
  <si>
    <t>Подвоз воды :: Техническая :: Питьевая :: Техническая :: Питьевая :: Техническая :: Питьевая :: Очистка</t>
  </si>
  <si>
    <t>/ХВС/Подвоз воды :: /ХВС/Сбыт/Техническая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</si>
  <si>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28003787</t>
  </si>
  <si>
    <t>ГБУЗ "Курганинская ЦРБ"</t>
  </si>
  <si>
    <t>2339006182</t>
  </si>
  <si>
    <t>05-12-2012 00:00:00</t>
  </si>
  <si>
    <t>26468558</t>
  </si>
  <si>
    <t>ГБУЗ "СПБ № 7"</t>
  </si>
  <si>
    <t>2311038748</t>
  </si>
  <si>
    <t>28-01-2003 00:00:00</t>
  </si>
  <si>
    <t>01-03-2023 00:00:00</t>
  </si>
  <si>
    <t>28878204</t>
  </si>
  <si>
    <t>ГУП КК "Кубаньводкомплекс"</t>
  </si>
  <si>
    <t>2310010637</t>
  </si>
  <si>
    <t>29-01-2015 00:00:00</t>
  </si>
  <si>
    <t>16-08-2017 00:00:00</t>
  </si>
  <si>
    <t>/ХВС/Сбыт/Питьевая :: /ХВС/Производство/Питьевая :: /ХВС/Очистка</t>
  </si>
  <si>
    <t>Очистка</t>
  </si>
  <si>
    <t>/ХВС/Очистка</t>
  </si>
  <si>
    <t>27-07-2022 00:00:00</t>
  </si>
  <si>
    <t>/ХВС/Сбыт/Питьевая :: /ХВС/Транспортировка/Питьевая</t>
  </si>
  <si>
    <t>26537654</t>
  </si>
  <si>
    <t>ГУП КК СВВУК "Курганинский групповой водопровод"</t>
  </si>
  <si>
    <t>2339015370</t>
  </si>
  <si>
    <t>18-11-2014 00:00:00</t>
  </si>
  <si>
    <t>Техническая</t>
  </si>
  <si>
    <t>/ХВС/Производство/Техническая</t>
  </si>
  <si>
    <t>02-12-2021 00:00:00</t>
  </si>
  <si>
    <t>26468683</t>
  </si>
  <si>
    <t>ЗАО "Абинсктрактороцентр"</t>
  </si>
  <si>
    <t>2323000604</t>
  </si>
  <si>
    <t>09-09-2011 00:00:00</t>
  </si>
  <si>
    <t>26470955</t>
  </si>
  <si>
    <t>ЗАО "Родник Кавказа"</t>
  </si>
  <si>
    <t>2338009649</t>
  </si>
  <si>
    <t>30362905</t>
  </si>
  <si>
    <t>ЗАО "Швейная фабрика "Славянская"</t>
  </si>
  <si>
    <t>2349031692</t>
  </si>
  <si>
    <t>234901001</t>
  </si>
  <si>
    <t>02-06-2009 00:00:00</t>
  </si>
  <si>
    <t>17-11-2015 00:00:00</t>
  </si>
  <si>
    <t>26471268</t>
  </si>
  <si>
    <t>ЗАО имени Мичурина</t>
  </si>
  <si>
    <t>2343013168</t>
  </si>
  <si>
    <t>07-11-0002 00:00:00</t>
  </si>
  <si>
    <t>30859246</t>
  </si>
  <si>
    <t>ИП Быстрова Е.В.</t>
  </si>
  <si>
    <t>010500364387</t>
  </si>
  <si>
    <t>05-06-2006 00:00:00</t>
  </si>
  <si>
    <t>28084316</t>
  </si>
  <si>
    <t>ИП Карапетян Л.К.</t>
  </si>
  <si>
    <t>231122656389</t>
  </si>
  <si>
    <t>18-05-2012 00:00:00</t>
  </si>
  <si>
    <t>20-07-2020 00:00:00</t>
  </si>
  <si>
    <t>31401221</t>
  </si>
  <si>
    <t>ИП Кристя Э.В.</t>
  </si>
  <si>
    <t>230800586364</t>
  </si>
  <si>
    <t>20-02-2020 00:00:00</t>
  </si>
  <si>
    <t>16-06-2020 00:00:00</t>
  </si>
  <si>
    <t>28493941</t>
  </si>
  <si>
    <t>ИП Толстых А.С.</t>
  </si>
  <si>
    <t>230906355938</t>
  </si>
  <si>
    <t>06-02-2006 00:00:00</t>
  </si>
  <si>
    <t>20-03-2014 00:00:00</t>
  </si>
  <si>
    <t>Техническая :: Техническая :: Техническая</t>
  </si>
  <si>
    <t>/ХВС/Сбыт/Техническая :: /ХВС/Транспортировка/Техническая :: /ХВС/Производство/Техническая</t>
  </si>
  <si>
    <t>26468807</t>
  </si>
  <si>
    <t>Ирклиевское МУМП ЖКХ</t>
  </si>
  <si>
    <t>2328017369</t>
  </si>
  <si>
    <t>18-09-2006 00:00:00</t>
  </si>
  <si>
    <t>26473021</t>
  </si>
  <si>
    <t>Кавказский завод ЖБШ филиал ОАО "БЭТ"</t>
  </si>
  <si>
    <t>7708669867</t>
  </si>
  <si>
    <t>232902001</t>
  </si>
  <si>
    <t>26468809</t>
  </si>
  <si>
    <t>Крупское МП "ЖКХ"</t>
  </si>
  <si>
    <t>2328016100</t>
  </si>
  <si>
    <t>26470953</t>
  </si>
  <si>
    <t>Крыловское МУП "Водоканал"</t>
  </si>
  <si>
    <t>2338010877</t>
  </si>
  <si>
    <t>31309451</t>
  </si>
  <si>
    <t>МАУ "ЖКХ"</t>
  </si>
  <si>
    <t>2369007024</t>
  </si>
  <si>
    <t>07-03-2019 00:00:00</t>
  </si>
  <si>
    <t>19-06-2019 00:00:00</t>
  </si>
  <si>
    <t>28144159</t>
  </si>
  <si>
    <t>МБУ "Голубицкая ПЭС"</t>
  </si>
  <si>
    <t>2352045737</t>
  </si>
  <si>
    <t>21-01-2013 00:00:00</t>
  </si>
  <si>
    <t>26530820</t>
  </si>
  <si>
    <t>МБУ "Сервис - Новое Село"</t>
  </si>
  <si>
    <t>2327011533</t>
  </si>
  <si>
    <t>10-11-2008 00:00:00</t>
  </si>
  <si>
    <t>31002897</t>
  </si>
  <si>
    <t>МКП "Аквасервис"</t>
  </si>
  <si>
    <t>2377000304</t>
  </si>
  <si>
    <t>237701001</t>
  </si>
  <si>
    <t>10-10-2017 00:00:00</t>
  </si>
  <si>
    <t>26473529</t>
  </si>
  <si>
    <t>МКП "Горизонт"</t>
  </si>
  <si>
    <t>2346015999</t>
  </si>
  <si>
    <t>11-12-2008 00:00:00</t>
  </si>
  <si>
    <t>26473383</t>
  </si>
  <si>
    <t>МКП "Михайловское"</t>
  </si>
  <si>
    <t>2339015878</t>
  </si>
  <si>
    <t>26530647</t>
  </si>
  <si>
    <t>МКП "Новоалексеевское"</t>
  </si>
  <si>
    <t>2339018491</t>
  </si>
  <si>
    <t>31223116</t>
  </si>
  <si>
    <t>МКП "Партнер"</t>
  </si>
  <si>
    <t>2377000914</t>
  </si>
  <si>
    <t>23-03-2018 00:00:00</t>
  </si>
  <si>
    <t>30891119</t>
  </si>
  <si>
    <t>МКП "Прометей"</t>
  </si>
  <si>
    <t>2339023950</t>
  </si>
  <si>
    <t>21-10-2016 00:00:00</t>
  </si>
  <si>
    <t>09-03-2017 00:00:00</t>
  </si>
  <si>
    <t>26473397</t>
  </si>
  <si>
    <t>МКП "Темиргоевское"</t>
  </si>
  <si>
    <t>2339015780</t>
  </si>
  <si>
    <t>26473381</t>
  </si>
  <si>
    <t>МКП "Услуга"</t>
  </si>
  <si>
    <t>2339015691</t>
  </si>
  <si>
    <t>30814132</t>
  </si>
  <si>
    <t>МКП "Услуга" Екатериновского сельского поселения Щербиновского района</t>
  </si>
  <si>
    <t>2361004208</t>
  </si>
  <si>
    <t>28-01-2010 00:00:00</t>
  </si>
  <si>
    <t>09-02-2016 00:00:00</t>
  </si>
  <si>
    <t>31065850</t>
  </si>
  <si>
    <t>МКП ЖКХ "Старолеушковское сельское поселение"Павловского района</t>
  </si>
  <si>
    <t>2346016706</t>
  </si>
  <si>
    <t>01-02-2018 00:00:00</t>
  </si>
  <si>
    <t>01-05-2018 00:00:00</t>
  </si>
  <si>
    <t>26566036</t>
  </si>
  <si>
    <t>МКУ "Горькобалковское"</t>
  </si>
  <si>
    <t>2344014051</t>
  </si>
  <si>
    <t>10-02-2006 00:00:00</t>
  </si>
  <si>
    <t>04-10-2010 00:00:00</t>
  </si>
  <si>
    <t>26471322</t>
  </si>
  <si>
    <t>МКУ "Незамаевское"</t>
  </si>
  <si>
    <t>2344014005</t>
  </si>
  <si>
    <t>20-01-2006 00:00:00</t>
  </si>
  <si>
    <t>26471324</t>
  </si>
  <si>
    <t>МКУ "Новоивановское"</t>
  </si>
  <si>
    <t>2344013996</t>
  </si>
  <si>
    <t>26471310</t>
  </si>
  <si>
    <t>МКУ "Южное"</t>
  </si>
  <si>
    <t>2344013971</t>
  </si>
  <si>
    <t>16-01-2006 00:00:00</t>
  </si>
  <si>
    <t>31495547</t>
  </si>
  <si>
    <t>МКУ ССП СР "Смоленская Единая служба"</t>
  </si>
  <si>
    <t>2348040849</t>
  </si>
  <si>
    <t>30-04-2021 00:00:00</t>
  </si>
  <si>
    <t>28-07-2021 00:00:00</t>
  </si>
  <si>
    <t>26825665</t>
  </si>
  <si>
    <t>МКУП "Сельское хозяйство"</t>
  </si>
  <si>
    <t>2343018825</t>
  </si>
  <si>
    <t>24-01-2007 00:00:00</t>
  </si>
  <si>
    <t>16-05-2011 00:00:00</t>
  </si>
  <si>
    <t>22-03-2011 00:00:00</t>
  </si>
  <si>
    <t>06-11-2014 00:00:00</t>
  </si>
  <si>
    <t>26473443</t>
  </si>
  <si>
    <t>МУ "Импульс"</t>
  </si>
  <si>
    <t>2344013989</t>
  </si>
  <si>
    <t>19-01-2006 00:00:00</t>
  </si>
  <si>
    <t>26471313</t>
  </si>
  <si>
    <t>МУ "Калниболотское"</t>
  </si>
  <si>
    <t>2344014020</t>
  </si>
  <si>
    <t>27-01-2007 00:00:00</t>
  </si>
  <si>
    <t>26471318</t>
  </si>
  <si>
    <t>МУ "Кубанское хозяйственное объединение"</t>
  </si>
  <si>
    <t>2344013964</t>
  </si>
  <si>
    <t>13-01-2006 00:00:00</t>
  </si>
  <si>
    <t>28458494</t>
  </si>
  <si>
    <t>МУ МПКХ "Луч"</t>
  </si>
  <si>
    <t>2374000881</t>
  </si>
  <si>
    <t>26470983</t>
  </si>
  <si>
    <t>МУ МПКХ ст.Ахметовской</t>
  </si>
  <si>
    <t>2314019292</t>
  </si>
  <si>
    <t>28815209</t>
  </si>
  <si>
    <t>МУ МПКХ ст.Владимирской</t>
  </si>
  <si>
    <t>2314019302</t>
  </si>
  <si>
    <t>07-07-2006 00:00:00</t>
  </si>
  <si>
    <t>26471081</t>
  </si>
  <si>
    <t>МУ МПКХ ст.Чамлыкской</t>
  </si>
  <si>
    <t>2314019285</t>
  </si>
  <si>
    <t>26470996</t>
  </si>
  <si>
    <t>МУ МПКХ х.Первая Синюха</t>
  </si>
  <si>
    <t>2314019493</t>
  </si>
  <si>
    <t>26471225</t>
  </si>
  <si>
    <t>МУКП "Жилкомхоз" Костромское"</t>
  </si>
  <si>
    <t>2342016705</t>
  </si>
  <si>
    <t>09-08-2006 00:00:00</t>
  </si>
  <si>
    <t>26468805</t>
  </si>
  <si>
    <t>МУМП ЖКХ "Газырское"</t>
  </si>
  <si>
    <t>2328014600</t>
  </si>
  <si>
    <t>28137056</t>
  </si>
  <si>
    <t>МУМПКХ Каладжинского сельского поселения</t>
  </si>
  <si>
    <t>2314025722</t>
  </si>
  <si>
    <t>29-03-2013 00:00:00</t>
  </si>
  <si>
    <t>26355016</t>
  </si>
  <si>
    <t>МУП  "Ейские тепловые сети"</t>
  </si>
  <si>
    <t>2306009759</t>
  </si>
  <si>
    <t>06-05-2018 00:00:00</t>
  </si>
  <si>
    <t>/ХВС/Сбыт/Техническая :: /ХВС/Транспортировка/Техническая</t>
  </si>
  <si>
    <t>Техническая :: Питьевая</t>
  </si>
  <si>
    <t>/ХВС/Производство/Техническая :: /ХВС/Производство/Питьевая</t>
  </si>
  <si>
    <t>28951496</t>
  </si>
  <si>
    <t>МУП  "Федоровский водоканал"</t>
  </si>
  <si>
    <t>2323032500</t>
  </si>
  <si>
    <t>09-02-2015 00:00:00</t>
  </si>
  <si>
    <t>06-04-2015 00:00:00</t>
  </si>
  <si>
    <t>26471364</t>
  </si>
  <si>
    <t>МУП  ЖКХ "Новолеушковское"</t>
  </si>
  <si>
    <t>2346014900</t>
  </si>
  <si>
    <t>30-11-2006 00:00:00</t>
  </si>
  <si>
    <t>28951503</t>
  </si>
  <si>
    <t>МУП " ЖКХ Березанское"</t>
  </si>
  <si>
    <t>2362000559</t>
  </si>
  <si>
    <t>15-01-2015 00:00:00</t>
  </si>
  <si>
    <t>30884848</t>
  </si>
  <si>
    <t>МУП "Батуринский исток"</t>
  </si>
  <si>
    <t>2327014407</t>
  </si>
  <si>
    <t>28-12-2016 00:00:00</t>
  </si>
  <si>
    <t>22-02-2017 00:00:00</t>
  </si>
  <si>
    <t>26468703</t>
  </si>
  <si>
    <t>МУП "Белоглинский водоканал"</t>
  </si>
  <si>
    <t>2326007647</t>
  </si>
  <si>
    <t>26-09-2005 00:00:00</t>
  </si>
  <si>
    <t>26471220</t>
  </si>
  <si>
    <t>МУП "Бесленеевское"</t>
  </si>
  <si>
    <t>2342016455</t>
  </si>
  <si>
    <t>21-04-2006 00:00:00</t>
  </si>
  <si>
    <t>28543804</t>
  </si>
  <si>
    <t>МУП "Благоустройство"</t>
  </si>
  <si>
    <t>2334020232</t>
  </si>
  <si>
    <t>07-05-2014 00:00:00</t>
  </si>
  <si>
    <t>30431947</t>
  </si>
  <si>
    <t>2343009549</t>
  </si>
  <si>
    <t>11-01-2016 00:00:00</t>
  </si>
  <si>
    <t>09-03-2016 00:00:00</t>
  </si>
  <si>
    <t>15-03-2016 00:00:00</t>
  </si>
  <si>
    <t>30920028</t>
  </si>
  <si>
    <t>МУП "Благоустройство-Услуга"</t>
  </si>
  <si>
    <t>2339014345</t>
  </si>
  <si>
    <t>09-06-2017 00:00:00</t>
  </si>
  <si>
    <t>26470967</t>
  </si>
  <si>
    <t>МУП "Варениковское коммунальное хозяйство"</t>
  </si>
  <si>
    <t>2337032846</t>
  </si>
  <si>
    <t>233701001</t>
  </si>
  <si>
    <t>01-10-2022 00:00:00</t>
  </si>
  <si>
    <t>26760633</t>
  </si>
  <si>
    <t>МУП "Варнавинское"</t>
  </si>
  <si>
    <t>2323027035</t>
  </si>
  <si>
    <t>10-10-2007 00:00:00</t>
  </si>
  <si>
    <t>28535760</t>
  </si>
  <si>
    <t>МУП "Водоканал Тбилисского района"</t>
  </si>
  <si>
    <t>2364010231</t>
  </si>
  <si>
    <t>23-06-2014 00:00:00</t>
  </si>
  <si>
    <t>28136324</t>
  </si>
  <si>
    <t>МУП "Водоканал города Новороссийска"</t>
  </si>
  <si>
    <t>2315178760</t>
  </si>
  <si>
    <t>26-03-2013 00:00:00</t>
  </si>
  <si>
    <t>13-10-2016 00:00:00</t>
  </si>
  <si>
    <t>16-02-2018 00:00:00</t>
  </si>
  <si>
    <t>26471374</t>
  </si>
  <si>
    <t>МУП "Водоканал"</t>
  </si>
  <si>
    <t>2347001036</t>
  </si>
  <si>
    <t>07-10-2002 00:00:00</t>
  </si>
  <si>
    <t>31324012</t>
  </si>
  <si>
    <t>МУП "Водоканал" Кропоткинского городского поселения</t>
  </si>
  <si>
    <t>2364017910</t>
  </si>
  <si>
    <t>04-04-2019 00:00:00</t>
  </si>
  <si>
    <t>07-08-2019 00:00:00</t>
  </si>
  <si>
    <t>26470978</t>
  </si>
  <si>
    <t>МУП "Водоканал" города Лабинска</t>
  </si>
  <si>
    <t>2314019408</t>
  </si>
  <si>
    <t>28455329</t>
  </si>
  <si>
    <t>МУП "Восточное"</t>
  </si>
  <si>
    <t>2346018044</t>
  </si>
  <si>
    <t>19-11-2013 00:00:00</t>
  </si>
  <si>
    <t>03-05-2020 00:00:00</t>
  </si>
  <si>
    <t>28981442</t>
  </si>
  <si>
    <t>МУП "Дмитриевское"</t>
  </si>
  <si>
    <t>2364012158</t>
  </si>
  <si>
    <t>16-04-2015 00:00:00</t>
  </si>
  <si>
    <t>16-07-2015 00:00:00</t>
  </si>
  <si>
    <t>26468685</t>
  </si>
  <si>
    <t>МУП "ЖКХ "Холмское"</t>
  </si>
  <si>
    <t>2323000330</t>
  </si>
  <si>
    <t>30-12-2002 00:00:00</t>
  </si>
  <si>
    <t>30803692</t>
  </si>
  <si>
    <t>МУП "ЖКХ Алексее - Тенгинское"</t>
  </si>
  <si>
    <t>2364013514</t>
  </si>
  <si>
    <t>01-03-2016 00:00:00</t>
  </si>
  <si>
    <t>18-07-2016 00:00:00</t>
  </si>
  <si>
    <t>26355149</t>
  </si>
  <si>
    <t>МУП "ЖКХ Архангельского сельского поселения Тихорецкого района"</t>
  </si>
  <si>
    <t>2354009580</t>
  </si>
  <si>
    <t>235401001</t>
  </si>
  <si>
    <t>30803686</t>
  </si>
  <si>
    <t>МУП "ЖКХ Марьинское"</t>
  </si>
  <si>
    <t>2364013458</t>
  </si>
  <si>
    <t>26-02-2016 00:00:00</t>
  </si>
  <si>
    <t>01-08-2016 00:00:00</t>
  </si>
  <si>
    <t>28860886</t>
  </si>
  <si>
    <t>МУП "ЖКХ Новоплатнировское"</t>
  </si>
  <si>
    <t>2341016893</t>
  </si>
  <si>
    <t>21-05-2014 00:00:00</t>
  </si>
  <si>
    <t>23-12-2014 00:00:00</t>
  </si>
  <si>
    <t>02-08-2015 00:00:00</t>
  </si>
  <si>
    <t>26406417</t>
  </si>
  <si>
    <t>МУП "ЖКХ Терновского сельского поселения Тихорецкого района"</t>
  </si>
  <si>
    <t>2354009780</t>
  </si>
  <si>
    <t>13-10-2009 00:00:00</t>
  </si>
  <si>
    <t>11-04-2016 00:00:00</t>
  </si>
  <si>
    <t>14-04-2016 00:00:00</t>
  </si>
  <si>
    <t>/ХВС/Транспортировка/Питьевая</t>
  </si>
  <si>
    <t>31-05-2016 00:00:00</t>
  </si>
  <si>
    <t>29-07-2016 00:00:00</t>
  </si>
  <si>
    <t>25-07-2021 00:00:00</t>
  </si>
  <si>
    <t>26355160</t>
  </si>
  <si>
    <t>МУП "ЖКХ города Туапсе"</t>
  </si>
  <si>
    <t>2365001416</t>
  </si>
  <si>
    <t>21-03-2005 00:00:00</t>
  </si>
  <si>
    <t>24-04-2018 00:00:00</t>
  </si>
  <si>
    <t>01-08-2018 00:00:00</t>
  </si>
  <si>
    <t>26470929</t>
  </si>
  <si>
    <t>МУП "ЖКХ" Журавского поселения</t>
  </si>
  <si>
    <t>2335014760</t>
  </si>
  <si>
    <t>26473342</t>
  </si>
  <si>
    <t>МУП "ЖКХ" Пролетарского сельского поселения</t>
  </si>
  <si>
    <t>2335014584</t>
  </si>
  <si>
    <t>26473344</t>
  </si>
  <si>
    <t>МУП "ЖКХ" Раздольненского сельского поселения</t>
  </si>
  <si>
    <t>2335014591</t>
  </si>
  <si>
    <t>26473346</t>
  </si>
  <si>
    <t>МУП "ЖКХ" Сергиевского сельского поселения</t>
  </si>
  <si>
    <t>2335014601</t>
  </si>
  <si>
    <t>26473664</t>
  </si>
  <si>
    <t>МУП "ЖКХ-Курчанское"</t>
  </si>
  <si>
    <t>2352033379</t>
  </si>
  <si>
    <t>14-01-2008 00:00:00</t>
  </si>
  <si>
    <t>31501598</t>
  </si>
  <si>
    <t>МУП "Ильские коммунальные системы"</t>
  </si>
  <si>
    <t>2348042490</t>
  </si>
  <si>
    <t>31-05-2021 00:00:00</t>
  </si>
  <si>
    <t>30851087</t>
  </si>
  <si>
    <t>МУП "Исток"</t>
  </si>
  <si>
    <t>2327013996</t>
  </si>
  <si>
    <t>20-10-2015 00:00:00</t>
  </si>
  <si>
    <t>30873875</t>
  </si>
  <si>
    <t>2327014005</t>
  </si>
  <si>
    <t>28-10-2015 00:00:00</t>
  </si>
  <si>
    <t>01-03-2017 00:00:00</t>
  </si>
  <si>
    <t>16-03-2016 00:00:00</t>
  </si>
  <si>
    <t>31501605</t>
  </si>
  <si>
    <t>МУП "Крюковские коммунальные системы"</t>
  </si>
  <si>
    <t>2348042660</t>
  </si>
  <si>
    <t>26471601</t>
  </si>
  <si>
    <t>МУП "Кубанское"</t>
  </si>
  <si>
    <t>2357006717</t>
  </si>
  <si>
    <t>11-02-2008 00:00:00</t>
  </si>
  <si>
    <t>26470809</t>
  </si>
  <si>
    <t>МУП "Куйбышевское ЖКХ"</t>
  </si>
  <si>
    <t>2333011676</t>
  </si>
  <si>
    <t>26473315</t>
  </si>
  <si>
    <t>МУП "Лосевское"</t>
  </si>
  <si>
    <t>2332017227</t>
  </si>
  <si>
    <t>11-12-2006 00:00:00</t>
  </si>
  <si>
    <t>26471237</t>
  </si>
  <si>
    <t>МУП "Махошевское"</t>
  </si>
  <si>
    <t>2342016462</t>
  </si>
  <si>
    <t>26-04-2006 00:00:00</t>
  </si>
  <si>
    <t>28435983</t>
  </si>
  <si>
    <t>МУП "Мирское"</t>
  </si>
  <si>
    <t>2364007863</t>
  </si>
  <si>
    <t>04-12-2012 00:00:00</t>
  </si>
  <si>
    <t>26471193</t>
  </si>
  <si>
    <t>МУП "Мостводоканал"</t>
  </si>
  <si>
    <t>2342016399</t>
  </si>
  <si>
    <t>24-03-2006 00:00:00</t>
  </si>
  <si>
    <t>31669960</t>
  </si>
  <si>
    <t>МУП "НКС"</t>
  </si>
  <si>
    <t>2348043945</t>
  </si>
  <si>
    <t>11-04-2023 00:00:00</t>
  </si>
  <si>
    <t>20-01-2010 00:00:00</t>
  </si>
  <si>
    <t>10-04-2023 00:00:00</t>
  </si>
  <si>
    <t>26471258</t>
  </si>
  <si>
    <t>МУП "Новокубанский городской водоканал"</t>
  </si>
  <si>
    <t>2343015616</t>
  </si>
  <si>
    <t>31296655</t>
  </si>
  <si>
    <t>МУП "Новомихайловское ВКХ"</t>
  </si>
  <si>
    <t>2365027333</t>
  </si>
  <si>
    <t>15-04-2019 00:00:00</t>
  </si>
  <si>
    <t>26530408</t>
  </si>
  <si>
    <t>МУП "Новый путь"</t>
  </si>
  <si>
    <t>2343019459</t>
  </si>
  <si>
    <t>05-02-2008 00:00:00</t>
  </si>
  <si>
    <t>26468697</t>
  </si>
  <si>
    <t>МУП "Ольгинское ЖКХ"</t>
  </si>
  <si>
    <t>2323024764</t>
  </si>
  <si>
    <t>19-12-2005 00:00:00</t>
  </si>
  <si>
    <t>31436599</t>
  </si>
  <si>
    <t>МУП "Первореченское"</t>
  </si>
  <si>
    <t>2373018188</t>
  </si>
  <si>
    <t>17-07-2020 00:00:00</t>
  </si>
  <si>
    <t>10-10-2020 00:00:00</t>
  </si>
  <si>
    <t>27115749</t>
  </si>
  <si>
    <t>МУП "Песчаное ЖКХ"</t>
  </si>
  <si>
    <t>2364001935</t>
  </si>
  <si>
    <t>12-09-2012 00:00:00</t>
  </si>
  <si>
    <t>12-09-2011 00:00:00</t>
  </si>
  <si>
    <t>27690149</t>
  </si>
  <si>
    <t>МУП "По благоустройству территории Ванновского сельского поселения Тбилисского района"</t>
  </si>
  <si>
    <t>2351012295</t>
  </si>
  <si>
    <t>01-03-2012 00:00:00</t>
  </si>
  <si>
    <t>30803716</t>
  </si>
  <si>
    <t>МУП "По благоустройству территории Геймановского сельского поселения Тбилисского района"</t>
  </si>
  <si>
    <t>2364013440</t>
  </si>
  <si>
    <t>04-02-2016 00:00:00</t>
  </si>
  <si>
    <t>27115698</t>
  </si>
  <si>
    <t>МУП "По благоустройству территории Ловлинского сельского поселения"</t>
  </si>
  <si>
    <t>2351012062</t>
  </si>
  <si>
    <t>26760273</t>
  </si>
  <si>
    <t>МУП "По благоустройству территории Нововладимирского сельского поселения"</t>
  </si>
  <si>
    <t>2351011647</t>
  </si>
  <si>
    <t>02-02-2011 00:00:00</t>
  </si>
  <si>
    <t>26477065</t>
  </si>
  <si>
    <t>МУП "Поселенческий водопровод"</t>
  </si>
  <si>
    <t>2360002180</t>
  </si>
  <si>
    <t>22-01-2010 00:00:00</t>
  </si>
  <si>
    <t>30395497</t>
  </si>
  <si>
    <t>МУП "Привольное"</t>
  </si>
  <si>
    <t>2364012662</t>
  </si>
  <si>
    <t>01-01-2016 00:00:00</t>
  </si>
  <si>
    <t>01-02-2016 00:00:00</t>
  </si>
  <si>
    <t>31495558</t>
  </si>
  <si>
    <t>МУП "Прочный Окоп"</t>
  </si>
  <si>
    <t>2372027775</t>
  </si>
  <si>
    <t>23-06-2021 00:00:00</t>
  </si>
  <si>
    <t>26471200</t>
  </si>
  <si>
    <t>МУП "Псебайводоканал"</t>
  </si>
  <si>
    <t>2342016423</t>
  </si>
  <si>
    <t>30-03-2006 00:00:00</t>
  </si>
  <si>
    <t>14-07-2017 00:00:00</t>
  </si>
  <si>
    <t>26468834</t>
  </si>
  <si>
    <t>МУП "Родник"</t>
  </si>
  <si>
    <t>2330016852</t>
  </si>
  <si>
    <t>27678020</t>
  </si>
  <si>
    <t>МУП "Советское МКХ"</t>
  </si>
  <si>
    <t>2372001880</t>
  </si>
  <si>
    <t>14-02-2012 00:00:00</t>
  </si>
  <si>
    <t>26473430</t>
  </si>
  <si>
    <t>МУП "Стимул"</t>
  </si>
  <si>
    <t>2343019385</t>
  </si>
  <si>
    <t>30-11-2007 00:00:00</t>
  </si>
  <si>
    <t>26473414</t>
  </si>
  <si>
    <t>МУП "Унароковское"</t>
  </si>
  <si>
    <t>2342018004</t>
  </si>
  <si>
    <t>09-10-2008 00:00:00</t>
  </si>
  <si>
    <t>26471618</t>
  </si>
  <si>
    <t>МУП "Уруп"</t>
  </si>
  <si>
    <t>2357006690</t>
  </si>
  <si>
    <t>28455403</t>
  </si>
  <si>
    <t>МУП "Успенский водоканал"</t>
  </si>
  <si>
    <t>2372006937</t>
  </si>
  <si>
    <t>02-10-2013 00:00:00</t>
  </si>
  <si>
    <t>Техническая :: Питьевая :: Техническая :: Питьевая :: Техническая :: Питьевая :: Очистка</t>
  </si>
  <si>
    <t>/ХВС/Сбыт/Техническая :: /ХВС/Сбыт/Питьевая :: /ХВС/Транспортировка/Техническая :: /ХВС/Транспортировка/Питьевая :: /ХВС/Производство/Техническая :: /ХВС/Производство/Питьевая :: /ХВС/Очистка</t>
  </si>
  <si>
    <t>13-10-2018 00:00:00</t>
  </si>
  <si>
    <t>03-07-2019 00:00:00</t>
  </si>
  <si>
    <t>10-07-2019 00:00:00</t>
  </si>
  <si>
    <t>Техническая :: Техническая :: Техническая :: Очистка</t>
  </si>
  <si>
    <t>/ХВС/Сбыт/Техническая :: /ХВС/Транспортировка/Техническая :: /ХВС/Производство/Техническая :: /ХВС/Очистка</t>
  </si>
  <si>
    <t>26472870</t>
  </si>
  <si>
    <t>МУП "Успенское хозяйственное объединение"</t>
  </si>
  <si>
    <t>2326008400</t>
  </si>
  <si>
    <t>18-10-2007 00:00:00</t>
  </si>
  <si>
    <t>26473575</t>
  </si>
  <si>
    <t>МУП "Уют"</t>
  </si>
  <si>
    <t>2347013031</t>
  </si>
  <si>
    <t>26-06-2007 00:00:00</t>
  </si>
  <si>
    <t>26468705</t>
  </si>
  <si>
    <t>МУП "Центральное хозяйственное объединение"</t>
  </si>
  <si>
    <t>2326008175</t>
  </si>
  <si>
    <t>28-09-2006 00:00:00</t>
  </si>
  <si>
    <t>30855275</t>
  </si>
  <si>
    <t>МУП "Чепигинское"</t>
  </si>
  <si>
    <t>2327014340</t>
  </si>
  <si>
    <t>26471244</t>
  </si>
  <si>
    <t>МУП "Ярославское"</t>
  </si>
  <si>
    <t>2342016416</t>
  </si>
  <si>
    <t>28133583</t>
  </si>
  <si>
    <t>МУП «Водоканал»</t>
  </si>
  <si>
    <t>2360006114</t>
  </si>
  <si>
    <t>12-12-2012 00:00:00</t>
  </si>
  <si>
    <t>26471231</t>
  </si>
  <si>
    <t>МУП «Водоканал» Краснокутского с/п</t>
  </si>
  <si>
    <t>2342016374</t>
  </si>
  <si>
    <t>21-03-2006 00:00:00</t>
  </si>
  <si>
    <t>28445741</t>
  </si>
  <si>
    <t>МУП «ЖКХ Бородинское»</t>
  </si>
  <si>
    <t>2347015670</t>
  </si>
  <si>
    <t>14-08-2013 00:00:00</t>
  </si>
  <si>
    <t>26468215</t>
  </si>
  <si>
    <t>МУП ВКХ "Водоканал"</t>
  </si>
  <si>
    <t>2311014031</t>
  </si>
  <si>
    <t>28-10-2002 00:00:00</t>
  </si>
  <si>
    <t>30395432</t>
  </si>
  <si>
    <t>МУП ЖКХ "Атаманское"</t>
  </si>
  <si>
    <t>2346017795</t>
  </si>
  <si>
    <t>26471203</t>
  </si>
  <si>
    <t>МУП ЖКХ "Беноковское"</t>
  </si>
  <si>
    <t>2342016670</t>
  </si>
  <si>
    <t>07-08-2006 00:00:00</t>
  </si>
  <si>
    <t>26473568</t>
  </si>
  <si>
    <t>МУП ЖКХ "Бриньковское"</t>
  </si>
  <si>
    <t>2347013296</t>
  </si>
  <si>
    <t>14-02-2008 00:00:00</t>
  </si>
  <si>
    <t>26471178</t>
  </si>
  <si>
    <t>МУП ЖКХ "Восточное"</t>
  </si>
  <si>
    <t>2341013973</t>
  </si>
  <si>
    <t>25-07-2007 00:00:00</t>
  </si>
  <si>
    <t>26468605</t>
  </si>
  <si>
    <t>МУП ЖКХ "Корсунское"</t>
  </si>
  <si>
    <t>2312091310</t>
  </si>
  <si>
    <t>20-12-2002 00:00:00</t>
  </si>
  <si>
    <t>28270526</t>
  </si>
  <si>
    <t>МУП ЖКХ "Незаймановский"</t>
  </si>
  <si>
    <t>2369001897</t>
  </si>
  <si>
    <t>15-04-2013 00:00:00</t>
  </si>
  <si>
    <t>26473531</t>
  </si>
  <si>
    <t>МУП ЖКХ "Новопетровское сельское поселение"</t>
  </si>
  <si>
    <t>2346016079</t>
  </si>
  <si>
    <t>13-05-2009 00:00:00</t>
  </si>
  <si>
    <t>26473570</t>
  </si>
  <si>
    <t>МУП ЖКХ "Ольгинское"</t>
  </si>
  <si>
    <t>2347012870</t>
  </si>
  <si>
    <t>18-03-2007 00:00:00</t>
  </si>
  <si>
    <t>26471240</t>
  </si>
  <si>
    <t>МУП ЖКХ "Переправненское"</t>
  </si>
  <si>
    <t>2342016695</t>
  </si>
  <si>
    <t>08-08-2006 00:00:00</t>
  </si>
  <si>
    <t>28446089</t>
  </si>
  <si>
    <t>МУП ЖКХ "Поселковое"</t>
  </si>
  <si>
    <t>2369002347</t>
  </si>
  <si>
    <t>03-10-2013 00:00:00</t>
  </si>
  <si>
    <t>26473572</t>
  </si>
  <si>
    <t>МУП ЖКХ "Приазовское"</t>
  </si>
  <si>
    <t>2347012951</t>
  </si>
  <si>
    <t>27-04-2007 00:00:00</t>
  </si>
  <si>
    <t>26473537</t>
  </si>
  <si>
    <t>МУП ЖКХ "Северное"</t>
  </si>
  <si>
    <t>2346015950</t>
  </si>
  <si>
    <t>08-12-2008 00:00:00</t>
  </si>
  <si>
    <t>26471370</t>
  </si>
  <si>
    <t>МУП ЖКХ "Среднечелбасское сельское поселение"</t>
  </si>
  <si>
    <t>2346015533</t>
  </si>
  <si>
    <t>26-12-2007 00:00:00</t>
  </si>
  <si>
    <t>26473336</t>
  </si>
  <si>
    <t>МУП ЖКХ "Станица"</t>
  </si>
  <si>
    <t>2335065067</t>
  </si>
  <si>
    <t>28829908</t>
  </si>
  <si>
    <t>МУП ЖКХ "Универсал плюс"</t>
  </si>
  <si>
    <t>2369003044</t>
  </si>
  <si>
    <t>09-07-2014 00:00:00</t>
  </si>
  <si>
    <t>01-12-2014 00:00:00</t>
  </si>
  <si>
    <t>28038493</t>
  </si>
  <si>
    <t>МУП ЖКХ «Кубанец»</t>
  </si>
  <si>
    <t>2369001270</t>
  </si>
  <si>
    <t>09-06-2012 00:00:00</t>
  </si>
  <si>
    <t>14-01-2013 00:00:00</t>
  </si>
  <si>
    <t>26406092</t>
  </si>
  <si>
    <t>МУП ЖКХ Павловского сельского поселения Павловского района</t>
  </si>
  <si>
    <t>2346001210</t>
  </si>
  <si>
    <t>22-11-2001 00:00:00</t>
  </si>
  <si>
    <t>23-09-2009 00:00:00</t>
  </si>
  <si>
    <t>26470888</t>
  </si>
  <si>
    <t>МУП Кореновского городского поселения "ЖКХ"</t>
  </si>
  <si>
    <t>2335013397</t>
  </si>
  <si>
    <t>28142566</t>
  </si>
  <si>
    <t>МУП МО Староминский район  "Служба водоснабжения"</t>
  </si>
  <si>
    <t>2350012430</t>
  </si>
  <si>
    <t>25-12-2012 00:00:00</t>
  </si>
  <si>
    <t>08-04-2019 00:00:00</t>
  </si>
  <si>
    <t>08-10-2021 00:00:00</t>
  </si>
  <si>
    <t>31402662</t>
  </si>
  <si>
    <t>МУП МО Усть-Лабинского района "Водоканал"</t>
  </si>
  <si>
    <t>2373017106</t>
  </si>
  <si>
    <t>18-06-2022 00:00:00</t>
  </si>
  <si>
    <t>02-11-2016 00:00:00</t>
  </si>
  <si>
    <t>18-08-2018 00:00:00</t>
  </si>
  <si>
    <t>29-01-2021 00:00:00</t>
  </si>
  <si>
    <t>26473559</t>
  </si>
  <si>
    <t>МУП НП «Водоканал»</t>
  </si>
  <si>
    <t>2347013024</t>
  </si>
  <si>
    <t>14-06-2007 00:00:00</t>
  </si>
  <si>
    <t>26473338</t>
  </si>
  <si>
    <t>МУП Новоберезанского сельского поселения Кореновского района "ЖКХ"</t>
  </si>
  <si>
    <t>2335014619</t>
  </si>
  <si>
    <t>26470850</t>
  </si>
  <si>
    <t>МУП Новоминского сельского поселения "Благоустройство"</t>
  </si>
  <si>
    <t>2334020225</t>
  </si>
  <si>
    <t>26473340</t>
  </si>
  <si>
    <t>МУП Платнировский "Универсал"</t>
  </si>
  <si>
    <t>2335014626</t>
  </si>
  <si>
    <t>18-11-2018 00:00:00</t>
  </si>
  <si>
    <t>26473579</t>
  </si>
  <si>
    <t>МУП СП "Благоустройство"</t>
  </si>
  <si>
    <t>2347012888</t>
  </si>
  <si>
    <t>26471516</t>
  </si>
  <si>
    <t>МУП ТГП ТР "Водоканал"</t>
  </si>
  <si>
    <t>2321003007</t>
  </si>
  <si>
    <t>30-06-2015 00:00:00</t>
  </si>
  <si>
    <t>31438659</t>
  </si>
  <si>
    <t>МУП ТГП ТР "Темрюк-Водоканал"</t>
  </si>
  <si>
    <t>2352056640</t>
  </si>
  <si>
    <t>17-08-2020 00:00:00</t>
  </si>
  <si>
    <t>01-11-2020 00:00:00</t>
  </si>
  <si>
    <t>31437116</t>
  </si>
  <si>
    <t>МУП ЧСП БР "Черниговское"</t>
  </si>
  <si>
    <t>2368013480</t>
  </si>
  <si>
    <t>26-03-2020 00:00:00</t>
  </si>
  <si>
    <t>21-08-2020 00:00:00</t>
  </si>
  <si>
    <t>30371584</t>
  </si>
  <si>
    <t>МУП Челбасского сельского поселения Каневского района "Родник"</t>
  </si>
  <si>
    <t>2334025689</t>
  </si>
  <si>
    <t>01-11-2015 00:00:00</t>
  </si>
  <si>
    <t>25-05-2017 00:00:00</t>
  </si>
  <si>
    <t>28446276</t>
  </si>
  <si>
    <t>МУП г. Горячий Ключ "Водоканал"</t>
  </si>
  <si>
    <t>2305028371</t>
  </si>
  <si>
    <t>19-12-2013 00:00:00</t>
  </si>
  <si>
    <t>26355051</t>
  </si>
  <si>
    <t>МУП совхоз "Прогресс"</t>
  </si>
  <si>
    <t>2311030611</t>
  </si>
  <si>
    <t>10-01-2003 00:00:00</t>
  </si>
  <si>
    <t>26468687</t>
  </si>
  <si>
    <t>МУП"ЖКХ"Мингрельское"</t>
  </si>
  <si>
    <t>2323024500</t>
  </si>
  <si>
    <t>18-11-2005 00:00:00</t>
  </si>
  <si>
    <t>26471176</t>
  </si>
  <si>
    <t>МУПЖКХ "Коммунальщик"</t>
  </si>
  <si>
    <t>2341014624</t>
  </si>
  <si>
    <t>01-08-2008 00:00:00</t>
  </si>
  <si>
    <t>28860779</t>
  </si>
  <si>
    <t>МУПЖКХ "Октябрьский"</t>
  </si>
  <si>
    <t>2341016886</t>
  </si>
  <si>
    <t>14-05-2014 00:00:00</t>
  </si>
  <si>
    <t>25-12-2014 00:00:00</t>
  </si>
  <si>
    <t>26355129</t>
  </si>
  <si>
    <t>МУПЖКХ "Первомайское", Ленинградский район</t>
  </si>
  <si>
    <t>2341013229</t>
  </si>
  <si>
    <t>12-07-2006 00:00:00</t>
  </si>
  <si>
    <t>26470807</t>
  </si>
  <si>
    <t>Новониколаевское МУП "Гарант-Сервис"</t>
  </si>
  <si>
    <t>2333011725</t>
  </si>
  <si>
    <t>26468677</t>
  </si>
  <si>
    <t>ОАО "ВОДОКАНАЛ"</t>
  </si>
  <si>
    <t>2323026257</t>
  </si>
  <si>
    <t>07-12-2006 00:00:00</t>
  </si>
  <si>
    <t>26470827</t>
  </si>
  <si>
    <t>ОАО "Водопровод"</t>
  </si>
  <si>
    <t>2334021204</t>
  </si>
  <si>
    <t>26470868</t>
  </si>
  <si>
    <t>ОАО "ЖКУ"</t>
  </si>
  <si>
    <t>2334021236</t>
  </si>
  <si>
    <t>26471483</t>
  </si>
  <si>
    <t>ОАО Кондитерский комбинат "Кубань"</t>
  </si>
  <si>
    <t>2353005631</t>
  </si>
  <si>
    <t>235301001</t>
  </si>
  <si>
    <t>04-11-1992 00:00:00</t>
  </si>
  <si>
    <t>28435972</t>
  </si>
  <si>
    <t>ООО "Агроснаб-1"</t>
  </si>
  <si>
    <t>2303028200</t>
  </si>
  <si>
    <t>230301001</t>
  </si>
  <si>
    <t>03-12-2013 00:00:00</t>
  </si>
  <si>
    <t>28877485</t>
  </si>
  <si>
    <t>ООО "Азовский водоканал"</t>
  </si>
  <si>
    <t>2348036056</t>
  </si>
  <si>
    <t>17-03-2014 00:00:00</t>
  </si>
  <si>
    <t>31686522</t>
  </si>
  <si>
    <t>ООО "Аквалинии"</t>
  </si>
  <si>
    <t>2377003513</t>
  </si>
  <si>
    <t>01-07-2023 00:00:00</t>
  </si>
  <si>
    <t>31452511</t>
  </si>
  <si>
    <t>ООО "Аквапрофиль"</t>
  </si>
  <si>
    <t>2312279672</t>
  </si>
  <si>
    <t>05-02-2019 00:00:00</t>
  </si>
  <si>
    <t>27-01-2023 00:00:00</t>
  </si>
  <si>
    <t>31-12-2022 00:00:00</t>
  </si>
  <si>
    <t>28-01-2023 00:00:00</t>
  </si>
  <si>
    <t>26473704</t>
  </si>
  <si>
    <t>ООО "Ани"</t>
  </si>
  <si>
    <t>2354008018</t>
  </si>
  <si>
    <t>13-09-2021 00:00:00</t>
  </si>
  <si>
    <t>26468737</t>
  </si>
  <si>
    <t>ООО "Брюховецкое водопроводное хозяйство"</t>
  </si>
  <si>
    <t>2327009679</t>
  </si>
  <si>
    <t>31641947</t>
  </si>
  <si>
    <t>ООО "ВОДОКАНАЛ СЕРВИС"</t>
  </si>
  <si>
    <t>2311335846</t>
  </si>
  <si>
    <t>31641966</t>
  </si>
  <si>
    <t>ООО "ВОДОКАНАЛ ЮГ"</t>
  </si>
  <si>
    <t>2311303033</t>
  </si>
  <si>
    <t>31080021</t>
  </si>
  <si>
    <t>ООО "ВСВ -Водоканал"</t>
  </si>
  <si>
    <t>2311158509</t>
  </si>
  <si>
    <t>10-04-2018 00:00:00</t>
  </si>
  <si>
    <t>31254823</t>
  </si>
  <si>
    <t>ООО "Вишневый сад"</t>
  </si>
  <si>
    <t>2311180198</t>
  </si>
  <si>
    <t>02-10-2014 00:00:00</t>
  </si>
  <si>
    <t>26472965</t>
  </si>
  <si>
    <t>ООО "Вода и канализация"</t>
  </si>
  <si>
    <t>2318032696</t>
  </si>
  <si>
    <t>231801001</t>
  </si>
  <si>
    <t>30920779</t>
  </si>
  <si>
    <t>ООО "Водоканал Крымск"</t>
  </si>
  <si>
    <t>2337034674</t>
  </si>
  <si>
    <t>05-05-2016 00:00:00</t>
  </si>
  <si>
    <t>15-06-2017 00:00:00</t>
  </si>
  <si>
    <t>26470803</t>
  </si>
  <si>
    <t>ООО "Водоканал"</t>
  </si>
  <si>
    <t>2333011443</t>
  </si>
  <si>
    <t>30803500</t>
  </si>
  <si>
    <t>ООО "Водопровод"</t>
  </si>
  <si>
    <t>2303026121</t>
  </si>
  <si>
    <t>15-11-2010 00:00:00</t>
  </si>
  <si>
    <t>26468713</t>
  </si>
  <si>
    <t>ООО "Водоснабжение и канализация"</t>
  </si>
  <si>
    <t>2303025583</t>
  </si>
  <si>
    <t>26471512</t>
  </si>
  <si>
    <t>ООО "Водоснабжение"</t>
  </si>
  <si>
    <t>2353023951</t>
  </si>
  <si>
    <t>21-08-2007 00:00:00</t>
  </si>
  <si>
    <t>28033417</t>
  </si>
  <si>
    <t>ООО "Водсервис"</t>
  </si>
  <si>
    <t>2332017636</t>
  </si>
  <si>
    <t>12-12-2007 00:00:00</t>
  </si>
  <si>
    <t>26529716</t>
  </si>
  <si>
    <t>ООО "Газпром добыча Астрахань" оздоровительный центр "Санаторий "Юг"</t>
  </si>
  <si>
    <t>3006006420</t>
  </si>
  <si>
    <t>/ХВС/Сбыт/Техническая :: /ХВС/Производство/Техническая</t>
  </si>
  <si>
    <t>26473407</t>
  </si>
  <si>
    <t>ООО "Гидроснаб"</t>
  </si>
  <si>
    <t>2314021252</t>
  </si>
  <si>
    <t>29-06-2023 00:00:00</t>
  </si>
  <si>
    <t>30939758</t>
  </si>
  <si>
    <t>ООО "Гирей-Сахар"</t>
  </si>
  <si>
    <t>2364009860</t>
  </si>
  <si>
    <t>01-07-2017 00:00:00</t>
  </si>
  <si>
    <t>/ХВС/Транспортировка/Питьевая :: /ХВС/Производство/Питьевая</t>
  </si>
  <si>
    <t>31237467</t>
  </si>
  <si>
    <t>ООО "Дельта"</t>
  </si>
  <si>
    <t>2308082850</t>
  </si>
  <si>
    <t>06-02-2002 00:00:00</t>
  </si>
  <si>
    <t>22-01-2023 00:00:00</t>
  </si>
  <si>
    <t>26-01-2023 00:00:00</t>
  </si>
  <si>
    <t>28446121</t>
  </si>
  <si>
    <t>ООО "Жилкомплекс"</t>
  </si>
  <si>
    <t>2370002969</t>
  </si>
  <si>
    <t>25-09-2013 00:00:00</t>
  </si>
  <si>
    <t>22-10-2013 00:00:00</t>
  </si>
  <si>
    <t>/ХВС/Сбыт/Питьевая</t>
  </si>
  <si>
    <t>01-05-2015 00:00:00</t>
  </si>
  <si>
    <t>26473609</t>
  </si>
  <si>
    <t>ООО "Жилкомуслуги"</t>
  </si>
  <si>
    <t>2349025610</t>
  </si>
  <si>
    <t>12-07-2005 00:00:00</t>
  </si>
  <si>
    <t>28446156</t>
  </si>
  <si>
    <t>ООО "Жилкомфорт"</t>
  </si>
  <si>
    <t>2370002951</t>
  </si>
  <si>
    <t>27755953</t>
  </si>
  <si>
    <t>ООО "ИВ-консалтинг"</t>
  </si>
  <si>
    <t>2340019323</t>
  </si>
  <si>
    <t>234001001</t>
  </si>
  <si>
    <t>29-06-2012 00:00:00</t>
  </si>
  <si>
    <t>09-08-2016 00:00:00</t>
  </si>
  <si>
    <t>31475207</t>
  </si>
  <si>
    <t>ООО "КВС"</t>
  </si>
  <si>
    <t>2308268773</t>
  </si>
  <si>
    <t>27-04-2021 00:00:00</t>
  </si>
  <si>
    <t>26319818</t>
  </si>
  <si>
    <t>ООО "ККЗБ"</t>
  </si>
  <si>
    <t>2311178167</t>
  </si>
  <si>
    <t>19-08-2014 00:00:00</t>
  </si>
  <si>
    <t>28817820</t>
  </si>
  <si>
    <t>ООО "КЭСК"</t>
  </si>
  <si>
    <t>2308101615</t>
  </si>
  <si>
    <t>28467298</t>
  </si>
  <si>
    <t>ООО "Калининский водоканал"</t>
  </si>
  <si>
    <t>2311162294</t>
  </si>
  <si>
    <t>04-09-2013 00:00:00</t>
  </si>
  <si>
    <t>26475696</t>
  </si>
  <si>
    <t>ООО "Коммунальник"</t>
  </si>
  <si>
    <t>2353246210</t>
  </si>
  <si>
    <t>20-06-2008 00:00:00</t>
  </si>
  <si>
    <t>26562364</t>
  </si>
  <si>
    <t>2373008060</t>
  </si>
  <si>
    <t>15-09-2010 00:00:00</t>
  </si>
  <si>
    <t>26470860</t>
  </si>
  <si>
    <t>ООО "Консервное предприятие  Русское поле - Албаши"</t>
  </si>
  <si>
    <t>2334018297</t>
  </si>
  <si>
    <t>31316819</t>
  </si>
  <si>
    <t>ООО "Концессии водоснабжения-Геленджик"</t>
  </si>
  <si>
    <t>2304073741</t>
  </si>
  <si>
    <t>29-08-2018 00:00:00</t>
  </si>
  <si>
    <t>26319792</t>
  </si>
  <si>
    <t>ООО "Краснодар Водоканал"</t>
  </si>
  <si>
    <t>2308111927</t>
  </si>
  <si>
    <t>01-11-2005 00:00:00</t>
  </si>
  <si>
    <t>28858932</t>
  </si>
  <si>
    <t>ООО "Кубаньводоканал"</t>
  </si>
  <si>
    <t>2312210286</t>
  </si>
  <si>
    <t>13-01-2014 00:00:00</t>
  </si>
  <si>
    <t>01-06-2015 00:00:00</t>
  </si>
  <si>
    <t>26471089</t>
  </si>
  <si>
    <t>ООО "ЛенВодоканал"</t>
  </si>
  <si>
    <t>2341015473</t>
  </si>
  <si>
    <t>12-04-2010 00:00:00</t>
  </si>
  <si>
    <t>28455265</t>
  </si>
  <si>
    <t>ООО "Мортранссервис - НХБ"</t>
  </si>
  <si>
    <t>2315025933</t>
  </si>
  <si>
    <t>16-01-2014 00:00:00</t>
  </si>
  <si>
    <t>26482207</t>
  </si>
  <si>
    <t>ООО "Наш хутор"</t>
  </si>
  <si>
    <t>2353024338</t>
  </si>
  <si>
    <t>09-11-2007 00:00:00</t>
  </si>
  <si>
    <t>25-01-2010 00:00:00</t>
  </si>
  <si>
    <t>26471510</t>
  </si>
  <si>
    <t>ООО "Нимфа"</t>
  </si>
  <si>
    <t>2353023983</t>
  </si>
  <si>
    <t>30-08-2007 00:00:00</t>
  </si>
  <si>
    <t>26649162</t>
  </si>
  <si>
    <t>ООО "Новодеревянковский водозабор"</t>
  </si>
  <si>
    <t>2334022543</t>
  </si>
  <si>
    <t>17-01-2011 00:00:00</t>
  </si>
  <si>
    <t>31519925</t>
  </si>
  <si>
    <t>ООО "Новоросметалл"</t>
  </si>
  <si>
    <t>2315057727</t>
  </si>
  <si>
    <t>15-07-2021 00:00:00</t>
  </si>
  <si>
    <t>01-09-2021 00:00:00</t>
  </si>
  <si>
    <t>31562428</t>
  </si>
  <si>
    <t>ООО "Новый путь"</t>
  </si>
  <si>
    <t>2363001989</t>
  </si>
  <si>
    <t>236301001</t>
  </si>
  <si>
    <t>16-02-2022 00:00:00</t>
  </si>
  <si>
    <t>30371642</t>
  </si>
  <si>
    <t>ООО "ОВК"</t>
  </si>
  <si>
    <t>2311183939</t>
  </si>
  <si>
    <t>10-12-2014 00:00:00</t>
  </si>
  <si>
    <t>28868075</t>
  </si>
  <si>
    <t>ООО "ОЧИСТНЫЕ СООРУЖЕНИЯ"</t>
  </si>
  <si>
    <t>2342019696</t>
  </si>
  <si>
    <t>15-11-2013 00:00:00</t>
  </si>
  <si>
    <t>12-01-2015 00:00:00</t>
  </si>
  <si>
    <t>26471347</t>
  </si>
  <si>
    <t>ООО "Попутненское водопроводное хозяйство"</t>
  </si>
  <si>
    <t>2345010645</t>
  </si>
  <si>
    <t>13-10-2010 00:00:00</t>
  </si>
  <si>
    <t>31-10-2022 00:00:00</t>
  </si>
  <si>
    <t>14-02-2023 00:00:00</t>
  </si>
  <si>
    <t>/ХВС/Транспортировка/Питьевая :: /ХВС/Производство/Питьевая :: /ХВС/Очистка</t>
  </si>
  <si>
    <t>13-10-2015 00:00:00</t>
  </si>
  <si>
    <t>15-02-2023 00:00:00</t>
  </si>
  <si>
    <t>26473400</t>
  </si>
  <si>
    <t>ООО "Предприятие "Родник"</t>
  </si>
  <si>
    <t>2340019362</t>
  </si>
  <si>
    <t>31452499</t>
  </si>
  <si>
    <t>ООО "Регион Партнер Плюс"</t>
  </si>
  <si>
    <t>2312248843</t>
  </si>
  <si>
    <t>04-08-2016 00:00:00</t>
  </si>
  <si>
    <t>27544516</t>
  </si>
  <si>
    <t>ООО "СЗ "Стройэлектросевкавмонтаж"</t>
  </si>
  <si>
    <t>2310056286</t>
  </si>
  <si>
    <t>05-02-2003 00:00:00</t>
  </si>
  <si>
    <t>31618382</t>
  </si>
  <si>
    <t>ООО "СИТ"</t>
  </si>
  <si>
    <t>2309157473</t>
  </si>
  <si>
    <t>230901100</t>
  </si>
  <si>
    <t>21-09-2022 00:00:00</t>
  </si>
  <si>
    <t>26529733</t>
  </si>
  <si>
    <t>ООО "Свод Интернешнл"</t>
  </si>
  <si>
    <t>7730163480</t>
  </si>
  <si>
    <t>773001001</t>
  </si>
  <si>
    <t>24-06-2010 00:00:00</t>
  </si>
  <si>
    <t>28981246</t>
  </si>
  <si>
    <t>ООО "Северский водоканал"</t>
  </si>
  <si>
    <t>2348036144</t>
  </si>
  <si>
    <t>15-04-2014 00:00:00</t>
  </si>
  <si>
    <t>15-07-2015 00:00:00</t>
  </si>
  <si>
    <t>30791641</t>
  </si>
  <si>
    <t>ООО "Тимашевский сахарный завод"</t>
  </si>
  <si>
    <t>2334024068</t>
  </si>
  <si>
    <t>23-10-2015 00:00:00</t>
  </si>
  <si>
    <t>26562799</t>
  </si>
  <si>
    <t>ООО "Транс-Водоканал"</t>
  </si>
  <si>
    <t>2348031315</t>
  </si>
  <si>
    <t>21-07-2010 00:00:00</t>
  </si>
  <si>
    <t>31349851</t>
  </si>
  <si>
    <t>ООО "УралСтройИнвест"</t>
  </si>
  <si>
    <t>6672168414</t>
  </si>
  <si>
    <t>668501001</t>
  </si>
  <si>
    <t>01-11-2019 00:00:00</t>
  </si>
  <si>
    <t>28543927</t>
  </si>
  <si>
    <t>ООО "Черноерковское ЖКХ"</t>
  </si>
  <si>
    <t>2370002180</t>
  </si>
  <si>
    <t>04-02-2013 00:00:00</t>
  </si>
  <si>
    <t>28056139</t>
  </si>
  <si>
    <t>ООО "Щербиновский коммунальщик"</t>
  </si>
  <si>
    <t>2361008770</t>
  </si>
  <si>
    <t>01-09-2012 00:00:00</t>
  </si>
  <si>
    <t>18-07-2023 00:00:00</t>
  </si>
  <si>
    <t>19-07-2023 00:00:00</t>
  </si>
  <si>
    <t>26475760</t>
  </si>
  <si>
    <t>ООО "Энергосервис"</t>
  </si>
  <si>
    <t>2354007350</t>
  </si>
  <si>
    <t>28-10-2022 00:00:00</t>
  </si>
  <si>
    <t>31452488</t>
  </si>
  <si>
    <t>ООО "ЮнитКомм"</t>
  </si>
  <si>
    <t>2312291119</t>
  </si>
  <si>
    <t>06-03-2020 00:00:00</t>
  </si>
  <si>
    <t>28511669</t>
  </si>
  <si>
    <t>ООО «Коммунсервис»</t>
  </si>
  <si>
    <t>2365020521</t>
  </si>
  <si>
    <t>03-12-2012 00:00:00</t>
  </si>
  <si>
    <t>02-06-2014 00:00:00</t>
  </si>
  <si>
    <t>26551273</t>
  </si>
  <si>
    <t>ООО «Крамис-К»</t>
  </si>
  <si>
    <t>2312230691</t>
  </si>
  <si>
    <t>03-07-2015 00:00:00</t>
  </si>
  <si>
    <t>30-07-2010 00:00:00</t>
  </si>
  <si>
    <t>26568272</t>
  </si>
  <si>
    <t>ООО «Львовский водоканал»</t>
  </si>
  <si>
    <t>2348028993</t>
  </si>
  <si>
    <t>22-01-2009 00:00:00</t>
  </si>
  <si>
    <t>29-11-2022 00:00:00</t>
  </si>
  <si>
    <t>06-05-2020 00:00:00</t>
  </si>
  <si>
    <t>31596715</t>
  </si>
  <si>
    <t>ООО РСО "РЕСУРС-ЮГ"</t>
  </si>
  <si>
    <t>2311295544</t>
  </si>
  <si>
    <t>04-10-2019 00:00:00</t>
  </si>
  <si>
    <t>26470880</t>
  </si>
  <si>
    <t>ООО фирма "Калория"</t>
  </si>
  <si>
    <t>2334022342</t>
  </si>
  <si>
    <t>26473391</t>
  </si>
  <si>
    <t>ПМКП "Домострой"</t>
  </si>
  <si>
    <t>2339015807</t>
  </si>
  <si>
    <t>26562645</t>
  </si>
  <si>
    <t>Пансионат "Буревестник" - структурное подразделение МГУ им. М.В.Ломоносова</t>
  </si>
  <si>
    <t>7729082090</t>
  </si>
  <si>
    <t>16-09-2010 00:00:00</t>
  </si>
  <si>
    <t>26551263</t>
  </si>
  <si>
    <t>Племзавод Учебно-опытное хозяйство "Краснодарское" КГАУ</t>
  </si>
  <si>
    <t>2311014546</t>
  </si>
  <si>
    <t>231102003</t>
  </si>
  <si>
    <t>05-11-2002 00:00:00</t>
  </si>
  <si>
    <t>26473394</t>
  </si>
  <si>
    <t>РМКП "Сервис"</t>
  </si>
  <si>
    <t>2339015814</t>
  </si>
  <si>
    <t>26473385</t>
  </si>
  <si>
    <t>СПК колхоз "Новоалексеевский"</t>
  </si>
  <si>
    <t>2339016487</t>
  </si>
  <si>
    <t>07-05-2015 00:00:00</t>
  </si>
  <si>
    <t>14-11-2017 00:00:00</t>
  </si>
  <si>
    <t>30944679</t>
  </si>
  <si>
    <t>ФГБУ ТС "Голубая бухта" Минздрава России</t>
  </si>
  <si>
    <t>2304014256</t>
  </si>
  <si>
    <t>01-08-2017 00:00:00</t>
  </si>
  <si>
    <t>26355052</t>
  </si>
  <si>
    <t>ФГУП "ЖКК"</t>
  </si>
  <si>
    <t>2311215718</t>
  </si>
  <si>
    <t>20-06-2016 00:00:00</t>
  </si>
  <si>
    <t>26355153</t>
  </si>
  <si>
    <t>ФКУ ИК-2 УФСИН России по Краснодарскому краю</t>
  </si>
  <si>
    <t>2356037543</t>
  </si>
  <si>
    <t>26355157</t>
  </si>
  <si>
    <t>ФКУ ИК-3 УФСИН России по Краснодарскому краю</t>
  </si>
  <si>
    <t>2356037800</t>
  </si>
  <si>
    <t>31384007</t>
  </si>
  <si>
    <t>филиал "Краснодарское водохранилище" ФГБВУ "Центррегионводхоз"</t>
  </si>
  <si>
    <t>5008028127</t>
  </si>
  <si>
    <t>773301001</t>
  </si>
  <si>
    <t>01-07-2002 00:00:00</t>
  </si>
  <si>
    <t>26473865</t>
  </si>
  <si>
    <t>АО "АЧ ЭНПП СИРИУС"</t>
  </si>
  <si>
    <t>2309058803</t>
  </si>
  <si>
    <t>02-12-2002 00:00:00</t>
  </si>
  <si>
    <t>Оказание услуг в сфере водоотведения и очистки сточных вод</t>
  </si>
  <si>
    <t>Прием сточных вод :: Очистка сточных вод :: Транспортировка сточных вод</t>
  </si>
  <si>
    <t>/ВО/Прием сточных вод :: /ВО/Очистка сточных вод :: /ВО/Транспортировка сточных вод</t>
  </si>
  <si>
    <t>Оказание услуг в сфере водоотведения</t>
  </si>
  <si>
    <t>Прием сточных вод</t>
  </si>
  <si>
    <t>/ВО/Прием сточных вод</t>
  </si>
  <si>
    <t>26355055</t>
  </si>
  <si>
    <t>АО "Агрокомбинат "Тепличный"</t>
  </si>
  <si>
    <t>2312036895</t>
  </si>
  <si>
    <t>03-02-2003 00:00:00</t>
  </si>
  <si>
    <t>26473325</t>
  </si>
  <si>
    <t>АО "Величковский элеватор"</t>
  </si>
  <si>
    <t>2333003442</t>
  </si>
  <si>
    <t>23-05-2023 00:00:00</t>
  </si>
  <si>
    <t>22-06-2023 00:00:00</t>
  </si>
  <si>
    <t>26468902</t>
  </si>
  <si>
    <t>АО "КЗЖБИ"</t>
  </si>
  <si>
    <t>2313014407</t>
  </si>
  <si>
    <t>26-02-2002 00:00:00</t>
  </si>
  <si>
    <t>Прием сточных вод :: Транспортировка сточных вод</t>
  </si>
  <si>
    <t>/ВО/Прием сточных вод :: /ВО/Транспортировка сточных вод</t>
  </si>
  <si>
    <t>Прием сточных вод :: Очистка сточных вод</t>
  </si>
  <si>
    <t>/ВО/Прием сточных вод :: /ВО/Очистка сточных вод</t>
  </si>
  <si>
    <t>26473836</t>
  </si>
  <si>
    <t>АО "ОC"</t>
  </si>
  <si>
    <t>2356039678</t>
  </si>
  <si>
    <t>28460387</t>
  </si>
  <si>
    <t>АО "Таманьнефтегаз"</t>
  </si>
  <si>
    <t>2352013076</t>
  </si>
  <si>
    <t>12-11-1993 00:00:00</t>
  </si>
  <si>
    <t>26375481</t>
  </si>
  <si>
    <t>АО "Ульяновсккурорт"</t>
  </si>
  <si>
    <t>7325007322</t>
  </si>
  <si>
    <t>732101001</t>
  </si>
  <si>
    <t>13-04-2019 00:00:00</t>
  </si>
  <si>
    <t>26355148</t>
  </si>
  <si>
    <t>ЗАО "Сахарный комбинат "Тихорецкий"</t>
  </si>
  <si>
    <t>2354009290</t>
  </si>
  <si>
    <t>30436668</t>
  </si>
  <si>
    <t>ИП Газаралиева Г.П.</t>
  </si>
  <si>
    <t>615424127595</t>
  </si>
  <si>
    <t>18-08-2015 00:00:00</t>
  </si>
  <si>
    <t>01-04-2016 00:00:00</t>
  </si>
  <si>
    <t>Оказание услуг по перекачке</t>
  </si>
  <si>
    <t>Транспортировка сточных вод</t>
  </si>
  <si>
    <t>/ВО/Транспортировка сточных вод</t>
  </si>
  <si>
    <t>30378177</t>
  </si>
  <si>
    <t>ИП КФХ Гончаров Н.В.</t>
  </si>
  <si>
    <t>231006302519</t>
  </si>
  <si>
    <t>14-11-2015 00:00:00</t>
  </si>
  <si>
    <t>14-12-2015 00:00:00</t>
  </si>
  <si>
    <t>25-04-2019 00:00:00</t>
  </si>
  <si>
    <t>31573437</t>
  </si>
  <si>
    <t>МБУ "ЖКХ-Комбытсервис"</t>
  </si>
  <si>
    <t>2352058013</t>
  </si>
  <si>
    <t>22-03-2022 00:00:00</t>
  </si>
  <si>
    <t>26473862</t>
  </si>
  <si>
    <t>МУП "ЖКХ-Фанагория"</t>
  </si>
  <si>
    <t>2352033259</t>
  </si>
  <si>
    <t>21-05-2002 00:00:00</t>
  </si>
  <si>
    <t>01-06-2022 00:00:00</t>
  </si>
  <si>
    <t>Оказание услуг в сфере очистки сточных вод</t>
  </si>
  <si>
    <t>Очистка сточных вод</t>
  </si>
  <si>
    <t>/ВО/Очистка сточных вод</t>
  </si>
  <si>
    <t>08-08-2016 00:00:00</t>
  </si>
  <si>
    <t>26-02-2018 00:00:00</t>
  </si>
  <si>
    <t>30802969</t>
  </si>
  <si>
    <t>МУП города Сочи "Водосток"</t>
  </si>
  <si>
    <t>2320201172</t>
  </si>
  <si>
    <t>06-07-2016 00:00:00</t>
  </si>
  <si>
    <t>26530825</t>
  </si>
  <si>
    <t>ОАО "ЖКС"</t>
  </si>
  <si>
    <t>2340017171</t>
  </si>
  <si>
    <t>26473328</t>
  </si>
  <si>
    <t>ОАО "ОСК"</t>
  </si>
  <si>
    <t>2334021211</t>
  </si>
  <si>
    <t>26473323</t>
  </si>
  <si>
    <t>ООО  "СК "Октябрь"</t>
  </si>
  <si>
    <t>2333012101</t>
  </si>
  <si>
    <t>28870481</t>
  </si>
  <si>
    <t>ООО "Аква"</t>
  </si>
  <si>
    <t>2301079456</t>
  </si>
  <si>
    <t>28-03-2012 00:00:00</t>
  </si>
  <si>
    <t>Очистка сточных вод :: Транспортировка сточных вод</t>
  </si>
  <si>
    <t>/ВО/Очистка сточных вод :: /ВО/Транспортировка сточных вод</t>
  </si>
  <si>
    <t>31560173</t>
  </si>
  <si>
    <t>ООО "Аквасети"</t>
  </si>
  <si>
    <t>2369008099</t>
  </si>
  <si>
    <t>01-04-2022 00:00:00</t>
  </si>
  <si>
    <t>27356441</t>
  </si>
  <si>
    <t>ООО "Биопотенциал"</t>
  </si>
  <si>
    <t>2309082108</t>
  </si>
  <si>
    <t>29-01-2003 00:00:00</t>
  </si>
  <si>
    <t>26473420</t>
  </si>
  <si>
    <t>ООО "Брюховецкое предприятие отвода и очистки стоков"</t>
  </si>
  <si>
    <t>2327009686</t>
  </si>
  <si>
    <t>31225151</t>
  </si>
  <si>
    <t>ООО "ВВК"</t>
  </si>
  <si>
    <t>2309152852</t>
  </si>
  <si>
    <t>28-10-2016 00:00:00</t>
  </si>
  <si>
    <t>13-02-2019 00:00:00</t>
  </si>
  <si>
    <t>30803505</t>
  </si>
  <si>
    <t>ООО "Водоотведение"</t>
  </si>
  <si>
    <t>2303026146</t>
  </si>
  <si>
    <t>07-07-2016 00:00:00</t>
  </si>
  <si>
    <t>23-01-2023 00:00:00</t>
  </si>
  <si>
    <t>28134153</t>
  </si>
  <si>
    <t>ООО "ЖКХ-Стройсервис"</t>
  </si>
  <si>
    <t>2341016237</t>
  </si>
  <si>
    <t>20-03-2012 00:00:00</t>
  </si>
  <si>
    <t>13-03-2013 00:00:00</t>
  </si>
  <si>
    <t>30383345</t>
  </si>
  <si>
    <t>ООО "Квадра"</t>
  </si>
  <si>
    <t>2373008895</t>
  </si>
  <si>
    <t>01-12-2015 00:00:00</t>
  </si>
  <si>
    <t>21-12-2015 00:00:00</t>
  </si>
  <si>
    <t>30384656</t>
  </si>
  <si>
    <t>ООО "Коммунальщик"</t>
  </si>
  <si>
    <t>2345010638</t>
  </si>
  <si>
    <t>23-12-2015 00:00:00</t>
  </si>
  <si>
    <t>25-07-2016 00:00:00</t>
  </si>
  <si>
    <t>31408964</t>
  </si>
  <si>
    <t>ООО "Новый Лазурит"</t>
  </si>
  <si>
    <t>2315168410</t>
  </si>
  <si>
    <t>773101001</t>
  </si>
  <si>
    <t>21-07-2011 00:00:00</t>
  </si>
  <si>
    <t>01-05-2020 00:00:00</t>
  </si>
  <si>
    <t>30924028</t>
  </si>
  <si>
    <t>ООО "Северское водоотведение"</t>
  </si>
  <si>
    <t>2348038254</t>
  </si>
  <si>
    <t>28265054</t>
  </si>
  <si>
    <t>ООО "ФКС"</t>
  </si>
  <si>
    <t>2348034370</t>
  </si>
  <si>
    <t>27-12-2012 00:00:00</t>
  </si>
  <si>
    <t>31159739</t>
  </si>
  <si>
    <t>ООО "Чистый берег"</t>
  </si>
  <si>
    <t>2366003529</t>
  </si>
  <si>
    <t>04-04-2018 00:00:00</t>
  </si>
  <si>
    <t>19-09-2018 00:00:00</t>
  </si>
  <si>
    <t>26473374</t>
  </si>
  <si>
    <t>ООО ПКФ "Оптимус"</t>
  </si>
  <si>
    <t>2330024349</t>
  </si>
  <si>
    <t>26529735</t>
  </si>
  <si>
    <t>ООО СХФ "Верлиока"</t>
  </si>
  <si>
    <t>2318014048</t>
  </si>
  <si>
    <t>30859276</t>
  </si>
  <si>
    <t>ООО"ОВК-Восток"</t>
  </si>
  <si>
    <t>2311130366</t>
  </si>
  <si>
    <t>13-12-2010 00:00:00</t>
  </si>
  <si>
    <t>31490355</t>
  </si>
  <si>
    <t>Общество с ограниченной ответсвенностью "Павловская коммунальная компания"</t>
  </si>
  <si>
    <t>2360013506</t>
  </si>
  <si>
    <t>29-02-2016 00:00:00</t>
  </si>
  <si>
    <t>10-01-2019 00:00:00</t>
  </si>
  <si>
    <t>31223626</t>
  </si>
  <si>
    <t>ФГБУ детский противотуберкулезный санаторий "Пионер"</t>
  </si>
  <si>
    <t>2318021310</t>
  </si>
  <si>
    <t>06-08-2018 00:00:00</t>
  </si>
  <si>
    <t>07-02-2019 00:00:00</t>
  </si>
  <si>
    <t>26761683</t>
  </si>
  <si>
    <t>АО "Кадош"</t>
  </si>
  <si>
    <t>2365015810</t>
  </si>
  <si>
    <t>15-03-2010 00:00:00</t>
  </si>
  <si>
    <t>/ТКО/Обработка твердых коммунальных отходов</t>
  </si>
  <si>
    <t>30944698</t>
  </si>
  <si>
    <t>АО "Крайжилкомресурс"</t>
  </si>
  <si>
    <t>2308124997</t>
  </si>
  <si>
    <t>16-08-2016 00:00:00</t>
  </si>
  <si>
    <t>09-08-2017 00:00:00</t>
  </si>
  <si>
    <t>/ТКО/Захоронение твердых коммунальных отходов</t>
  </si>
  <si>
    <t>29-10-2019 00:00:00</t>
  </si>
  <si>
    <t>/ТКО/Оказание услуги по обращению с твердыми коммунальными отходами региональным оператором</t>
  </si>
  <si>
    <t>26650901</t>
  </si>
  <si>
    <t>АО "Мусороуборочная компания"</t>
  </si>
  <si>
    <t>2308131994</t>
  </si>
  <si>
    <t>13-04-2017 00:00:00</t>
  </si>
  <si>
    <t>Оказание услуги по обращению с твердыми коммунальными отходами региональным оператором :: Обезвреживание твердых коммунальных отходов :: Захоронение твердых коммунальных отходов</t>
  </si>
  <si>
    <t>/ТКО/Оказание услуги по обращению с твердыми коммунальными отходами региональным оператором :: /ТКО/Обезвреживание твердых коммунальных отходов :: /ТКО/Захоронение твердых коммунальных отходов</t>
  </si>
  <si>
    <t>02-02-2022 00:00:00</t>
  </si>
  <si>
    <t>26475806</t>
  </si>
  <si>
    <t>МУП "ККБУ"</t>
  </si>
  <si>
    <t>2306016499</t>
  </si>
  <si>
    <t>24-08-2017 00:00:00</t>
  </si>
  <si>
    <t>09-09-2021 00:00:00</t>
  </si>
  <si>
    <t>28446075</t>
  </si>
  <si>
    <t>МУП "Санитарная очистка"</t>
  </si>
  <si>
    <t>2326008182</t>
  </si>
  <si>
    <t>04-10-2006 00:00:00</t>
  </si>
  <si>
    <t>25-08-2017 00:00:00</t>
  </si>
  <si>
    <t>30917419</t>
  </si>
  <si>
    <t>2352052251</t>
  </si>
  <si>
    <t>24-05-2017 00:00:00</t>
  </si>
  <si>
    <t>Обработка твердых коммунальных отходов :: Захоронение твердых коммунальных отходов</t>
  </si>
  <si>
    <t>/ТКО/Обработка твердых коммунальных отходов :: /ТКО/Захоронение твердых коммунальных отходов</t>
  </si>
  <si>
    <t>31623505</t>
  </si>
  <si>
    <t>ООО "Армавиргортранс"</t>
  </si>
  <si>
    <t>2372031073</t>
  </si>
  <si>
    <t>03-10-2022 00:00:00</t>
  </si>
  <si>
    <t>31423179</t>
  </si>
  <si>
    <t>ООО "Брюховецкая-Чистая станица"</t>
  </si>
  <si>
    <t>2327012505</t>
  </si>
  <si>
    <t>04-07-2001 00:00:00</t>
  </si>
  <si>
    <t>31544304</t>
  </si>
  <si>
    <t>ООО "КубаньПереработка"</t>
  </si>
  <si>
    <t>2312192911</t>
  </si>
  <si>
    <t>14-06-2012 00:00:00</t>
  </si>
  <si>
    <t>03-02-2022 00:00:00</t>
  </si>
  <si>
    <t>10-02-2022 00:00:00</t>
  </si>
  <si>
    <t>31684847</t>
  </si>
  <si>
    <t>ООО "РУС УНИВЕРСАЛ"</t>
  </si>
  <si>
    <t>2309138470</t>
  </si>
  <si>
    <t>24-10-2013 00:00:00</t>
  </si>
  <si>
    <t>20-07-2023 00:00:00</t>
  </si>
  <si>
    <t>31680583</t>
  </si>
  <si>
    <t>ООО "Региональный оператор-КК"</t>
  </si>
  <si>
    <t>9706020414</t>
  </si>
  <si>
    <t>770601001</t>
  </si>
  <si>
    <t>06-12-2021 00:00:00</t>
  </si>
  <si>
    <t>01-09-2023 00:00:00</t>
  </si>
  <si>
    <t>31224527</t>
  </si>
  <si>
    <t>ООО "Саночистка"</t>
  </si>
  <si>
    <t>2313021563</t>
  </si>
  <si>
    <t>231301001</t>
  </si>
  <si>
    <t>08-11-2006 00:00:00</t>
  </si>
  <si>
    <t>28493666</t>
  </si>
  <si>
    <t>ООО "СтройДизайн"</t>
  </si>
  <si>
    <t>2350010506</t>
  </si>
  <si>
    <t>27-11-2007 00:00:00</t>
  </si>
  <si>
    <t>27994567</t>
  </si>
  <si>
    <t>ООО "Терра-Н"</t>
  </si>
  <si>
    <t>2315130328</t>
  </si>
  <si>
    <t>31657183</t>
  </si>
  <si>
    <t>ООО "ТрансАльянс-Юг"</t>
  </si>
  <si>
    <t>2348038590</t>
  </si>
  <si>
    <t>Обработка твердых коммунальных отходов :: Обезвреживание твердых коммунальных отходов</t>
  </si>
  <si>
    <t>/ТКО/Обработка твердых коммунальных отходов :: /ТКО/Обезвреживание твердых коммунальных отходов</t>
  </si>
  <si>
    <t>28873110</t>
  </si>
  <si>
    <t>ООО "Чистая станица"</t>
  </si>
  <si>
    <t>2341015025</t>
  </si>
  <si>
    <t>20-03-2009 00:00:00</t>
  </si>
  <si>
    <t>26475825</t>
  </si>
  <si>
    <t>ООО "Чистый город"</t>
  </si>
  <si>
    <t>2353022813</t>
  </si>
  <si>
    <t>19-09-2006 00:00:00</t>
  </si>
  <si>
    <t>05-09-2023 00:00:00</t>
  </si>
  <si>
    <t>06-09-2023 00:00:00</t>
  </si>
  <si>
    <t>Транспортирование твердых коммунальных отходов :: Захоронение твердых коммунальных отходов</t>
  </si>
  <si>
    <t>/ТКО/Транспортирование твердых коммунальных отходов :: /ТКО/Захоронение твердых коммунальных отходов</t>
  </si>
  <si>
    <t>28858682</t>
  </si>
  <si>
    <t>ООО "ЭкоТон"</t>
  </si>
  <si>
    <t>2334023762</t>
  </si>
  <si>
    <t>17-12-2014 00:00:00</t>
  </si>
  <si>
    <t>30908955</t>
  </si>
  <si>
    <t>ООО "ЭкоЦентр"</t>
  </si>
  <si>
    <t>3444177534</t>
  </si>
  <si>
    <t>770501001</t>
  </si>
  <si>
    <t>31230104</t>
  </si>
  <si>
    <t>ООО "ЭкоЮг"</t>
  </si>
  <si>
    <t>2337035220</t>
  </si>
  <si>
    <t>27-12-2016 00:00:00</t>
  </si>
  <si>
    <t>31456896</t>
  </si>
  <si>
    <t>ООО "Экотехпром"</t>
  </si>
  <si>
    <t>5026014960</t>
  </si>
  <si>
    <t>502701001</t>
  </si>
  <si>
    <t>01-03-2021 00:00:00</t>
  </si>
  <si>
    <t>31431358</t>
  </si>
  <si>
    <t>ООО "Экоформат"</t>
  </si>
  <si>
    <t>2339023967</t>
  </si>
  <si>
    <t>03-11-2016 00:00:00</t>
  </si>
  <si>
    <t>28469219</t>
  </si>
  <si>
    <t>ООО МП "ЖКХ" Красноармейского района</t>
  </si>
  <si>
    <t>2336023084</t>
  </si>
  <si>
    <t>31680032</t>
  </si>
  <si>
    <t>Общество с ограниченной ответственностью "ПрофиСервис"</t>
  </si>
  <si>
    <t>7720433089</t>
  </si>
  <si>
    <t>19-06-2018 00:00:00</t>
  </si>
  <si>
    <t>08-06-2023 00:00:00</t>
  </si>
  <si>
    <t>NSRF</t>
  </si>
  <si>
    <t>MR_NAME</t>
  </si>
  <si>
    <t>OKTMO_MR_NAME</t>
  </si>
  <si>
    <t>MO_NAME</t>
  </si>
  <si>
    <t>OKTMO_NAME</t>
  </si>
  <si>
    <t>TYPE</t>
  </si>
  <si>
    <t>MR_ID</t>
  </si>
  <si>
    <t>Абинский муниципальный район</t>
  </si>
  <si>
    <t>03601000</t>
  </si>
  <si>
    <t>муниципальный район</t>
  </si>
  <si>
    <t>Абинское городское</t>
  </si>
  <si>
    <t>03601101</t>
  </si>
  <si>
    <t>городское поселение, в состав которого входит город</t>
  </si>
  <si>
    <t>Ахтырское городское</t>
  </si>
  <si>
    <t>03601153</t>
  </si>
  <si>
    <t>городское поселение, в состав которого входит поселок</t>
  </si>
  <si>
    <t>Варнавинское</t>
  </si>
  <si>
    <t>03601401</t>
  </si>
  <si>
    <t>сельское поселение</t>
  </si>
  <si>
    <t>Мингрельское</t>
  </si>
  <si>
    <t>03601403</t>
  </si>
  <si>
    <t>Ольгинское</t>
  </si>
  <si>
    <t>03601402</t>
  </si>
  <si>
    <t>Светлогорское</t>
  </si>
  <si>
    <t>03601405</t>
  </si>
  <si>
    <t>Федоровское</t>
  </si>
  <si>
    <t>03601406</t>
  </si>
  <si>
    <t>Холмское</t>
  </si>
  <si>
    <t>03601408</t>
  </si>
  <si>
    <t>Апшеронский муниципальный район</t>
  </si>
  <si>
    <t>03605000</t>
  </si>
  <si>
    <t>Апшеронское городское</t>
  </si>
  <si>
    <t>03605101</t>
  </si>
  <si>
    <t>Кабардинское</t>
  </si>
  <si>
    <t>03605407</t>
  </si>
  <si>
    <t>Кубанское</t>
  </si>
  <si>
    <t>03605410</t>
  </si>
  <si>
    <t>Куринское</t>
  </si>
  <si>
    <t>03605413</t>
  </si>
  <si>
    <t>Мезмайское</t>
  </si>
  <si>
    <t>03605416</t>
  </si>
  <si>
    <t>Нефтегорское городское</t>
  </si>
  <si>
    <t>03605157</t>
  </si>
  <si>
    <t>Нижегородское</t>
  </si>
  <si>
    <t>03605418</t>
  </si>
  <si>
    <t>Новополянское</t>
  </si>
  <si>
    <t>03605419</t>
  </si>
  <si>
    <t>Отдаленное</t>
  </si>
  <si>
    <t>03605422</t>
  </si>
  <si>
    <t>Тверское</t>
  </si>
  <si>
    <t>03605431</t>
  </si>
  <si>
    <t>Хадыженское городское</t>
  </si>
  <si>
    <t>03605109</t>
  </si>
  <si>
    <t>Черниговское</t>
  </si>
  <si>
    <t>03605434</t>
  </si>
  <si>
    <t>Белоглинский муниципальный район</t>
  </si>
  <si>
    <t>03607000</t>
  </si>
  <si>
    <t>Белоглинское</t>
  </si>
  <si>
    <t>03607402</t>
  </si>
  <si>
    <t>Новопавловское</t>
  </si>
  <si>
    <t>03607404</t>
  </si>
  <si>
    <t>Успенское</t>
  </si>
  <si>
    <t>03607407</t>
  </si>
  <si>
    <t>Центральное</t>
  </si>
  <si>
    <t>03607410</t>
  </si>
  <si>
    <t>Белореченский муниципальный район</t>
  </si>
  <si>
    <t>03608000</t>
  </si>
  <si>
    <t>Белореченское городское</t>
  </si>
  <si>
    <t>03608101</t>
  </si>
  <si>
    <t>Бжедуховское</t>
  </si>
  <si>
    <t>03608402</t>
  </si>
  <si>
    <t>Великовечненское</t>
  </si>
  <si>
    <t>03608404</t>
  </si>
  <si>
    <t>Дружненское</t>
  </si>
  <si>
    <t>03608405</t>
  </si>
  <si>
    <t>Первомайское</t>
  </si>
  <si>
    <t>03608407</t>
  </si>
  <si>
    <t>Пшехское</t>
  </si>
  <si>
    <t>03608410</t>
  </si>
  <si>
    <t>Родниковское</t>
  </si>
  <si>
    <t>03608412</t>
  </si>
  <si>
    <t>Рязанское</t>
  </si>
  <si>
    <t>03608413</t>
  </si>
  <si>
    <t>03608416</t>
  </si>
  <si>
    <t>Школьненское</t>
  </si>
  <si>
    <t>03608419</t>
  </si>
  <si>
    <t>Южненское</t>
  </si>
  <si>
    <t>03608420</t>
  </si>
  <si>
    <t>Брюховецкий муниципальный район</t>
  </si>
  <si>
    <t>03610000</t>
  </si>
  <si>
    <t>Батуринское</t>
  </si>
  <si>
    <t>03610402</t>
  </si>
  <si>
    <t>Большебейсугское</t>
  </si>
  <si>
    <t>03610404</t>
  </si>
  <si>
    <t>Брюховецкое</t>
  </si>
  <si>
    <t>03610407</t>
  </si>
  <si>
    <t>Новоджерелиевское</t>
  </si>
  <si>
    <t>03610410</t>
  </si>
  <si>
    <t>Новосельское</t>
  </si>
  <si>
    <t>03610413</t>
  </si>
  <si>
    <t>Переясловское</t>
  </si>
  <si>
    <t>03610416</t>
  </si>
  <si>
    <t>Свободненское</t>
  </si>
  <si>
    <t>03610419</t>
  </si>
  <si>
    <t>Чепигинское</t>
  </si>
  <si>
    <t>03610422</t>
  </si>
  <si>
    <t>Выселковский муниципальный район</t>
  </si>
  <si>
    <t>03612000</t>
  </si>
  <si>
    <t>Бейсугское</t>
  </si>
  <si>
    <t>03612402</t>
  </si>
  <si>
    <t>Бейсужекское</t>
  </si>
  <si>
    <t>03612404</t>
  </si>
  <si>
    <t>Березанское</t>
  </si>
  <si>
    <t>03612407</t>
  </si>
  <si>
    <t>Бузиновское</t>
  </si>
  <si>
    <t>03612410</t>
  </si>
  <si>
    <t>Выселковское</t>
  </si>
  <si>
    <t>03612413</t>
  </si>
  <si>
    <t>Газырское</t>
  </si>
  <si>
    <t>03612416</t>
  </si>
  <si>
    <t>Ирклиевское</t>
  </si>
  <si>
    <t>03612419</t>
  </si>
  <si>
    <t>Крупское</t>
  </si>
  <si>
    <t>03612420</t>
  </si>
  <si>
    <t>Новобейсугское</t>
  </si>
  <si>
    <t>03612422</t>
  </si>
  <si>
    <t>Новомалороссийское</t>
  </si>
  <si>
    <t>03612425</t>
  </si>
  <si>
    <t>Город Армавир</t>
  </si>
  <si>
    <t>03705000</t>
  </si>
  <si>
    <t>городской округ</t>
  </si>
  <si>
    <t>60</t>
  </si>
  <si>
    <t>Город Краснодар</t>
  </si>
  <si>
    <t>03701000</t>
  </si>
  <si>
    <t>62</t>
  </si>
  <si>
    <t>Город Новороссийск</t>
  </si>
  <si>
    <t>03720000</t>
  </si>
  <si>
    <t>63</t>
  </si>
  <si>
    <t>Город-курорт Анапа</t>
  </si>
  <si>
    <t>03703000</t>
  </si>
  <si>
    <t>64</t>
  </si>
  <si>
    <t>Город-курорт Геленджик</t>
  </si>
  <si>
    <t>03708000</t>
  </si>
  <si>
    <t>65</t>
  </si>
  <si>
    <t>Гулькевичский муниципальный район</t>
  </si>
  <si>
    <t>03613000</t>
  </si>
  <si>
    <t>Венцы-Заря</t>
  </si>
  <si>
    <t>03613404</t>
  </si>
  <si>
    <t>67</t>
  </si>
  <si>
    <t>Гирейское городское</t>
  </si>
  <si>
    <t>03613154</t>
  </si>
  <si>
    <t>69</t>
  </si>
  <si>
    <t>Гулькевичское городское</t>
  </si>
  <si>
    <t>03613101</t>
  </si>
  <si>
    <t>70</t>
  </si>
  <si>
    <t>Комсомольское</t>
  </si>
  <si>
    <t>03613413</t>
  </si>
  <si>
    <t>71</t>
  </si>
  <si>
    <t>Красносельское городское</t>
  </si>
  <si>
    <t>03613162</t>
  </si>
  <si>
    <t>72</t>
  </si>
  <si>
    <t>Кубань</t>
  </si>
  <si>
    <t>03613416</t>
  </si>
  <si>
    <t>73</t>
  </si>
  <si>
    <t>Николенское</t>
  </si>
  <si>
    <t>03613425</t>
  </si>
  <si>
    <t>74</t>
  </si>
  <si>
    <t>Новоукраинское</t>
  </si>
  <si>
    <t>03613429</t>
  </si>
  <si>
    <t>75</t>
  </si>
  <si>
    <t>Отрадо-Кубанское</t>
  </si>
  <si>
    <t>03613434</t>
  </si>
  <si>
    <t>76</t>
  </si>
  <si>
    <t>Отрадо-Ольгинское</t>
  </si>
  <si>
    <t>03613437</t>
  </si>
  <si>
    <t>77</t>
  </si>
  <si>
    <t>Пушкинское</t>
  </si>
  <si>
    <t>03613440</t>
  </si>
  <si>
    <t>78</t>
  </si>
  <si>
    <t>Скобелевское</t>
  </si>
  <si>
    <t>03613445</t>
  </si>
  <si>
    <t>79</t>
  </si>
  <si>
    <t>Соколовское</t>
  </si>
  <si>
    <t>03613448</t>
  </si>
  <si>
    <t>80</t>
  </si>
  <si>
    <t>Союз Четырех Хуторов</t>
  </si>
  <si>
    <t>03613450</t>
  </si>
  <si>
    <t>81</t>
  </si>
  <si>
    <t>Тысячное</t>
  </si>
  <si>
    <t>03613455</t>
  </si>
  <si>
    <t>82</t>
  </si>
  <si>
    <t>Динской муниципальный район</t>
  </si>
  <si>
    <t>03614000</t>
  </si>
  <si>
    <t>Васюринское</t>
  </si>
  <si>
    <t>03614402</t>
  </si>
  <si>
    <t>83</t>
  </si>
  <si>
    <t>Динское</t>
  </si>
  <si>
    <t>03614404</t>
  </si>
  <si>
    <t>84</t>
  </si>
  <si>
    <t>85</t>
  </si>
  <si>
    <t>Красносельское</t>
  </si>
  <si>
    <t>03614410</t>
  </si>
  <si>
    <t>86</t>
  </si>
  <si>
    <t>Мичуринское</t>
  </si>
  <si>
    <t>03614412</t>
  </si>
  <si>
    <t>87</t>
  </si>
  <si>
    <t>Нововеличковское</t>
  </si>
  <si>
    <t>03614414</t>
  </si>
  <si>
    <t>88</t>
  </si>
  <si>
    <t>Новотитаровское</t>
  </si>
  <si>
    <t>03614416</t>
  </si>
  <si>
    <t>89</t>
  </si>
  <si>
    <t>Первореченское</t>
  </si>
  <si>
    <t>03614419</t>
  </si>
  <si>
    <t>90</t>
  </si>
  <si>
    <t>Пластуновское</t>
  </si>
  <si>
    <t>03614422</t>
  </si>
  <si>
    <t>91</t>
  </si>
  <si>
    <t>Старомышастовское</t>
  </si>
  <si>
    <t>03614428</t>
  </si>
  <si>
    <t>92</t>
  </si>
  <si>
    <t>Южно-Кубанское</t>
  </si>
  <si>
    <t>03614445</t>
  </si>
  <si>
    <t>93</t>
  </si>
  <si>
    <t>Ейский муниципальный район</t>
  </si>
  <si>
    <t>03616000</t>
  </si>
  <si>
    <t>Александровское</t>
  </si>
  <si>
    <t>03616402</t>
  </si>
  <si>
    <t>94</t>
  </si>
  <si>
    <t>Должанское</t>
  </si>
  <si>
    <t>03616404</t>
  </si>
  <si>
    <t>95</t>
  </si>
  <si>
    <t>96</t>
  </si>
  <si>
    <t>Ейское</t>
  </si>
  <si>
    <t>03616407</t>
  </si>
  <si>
    <t>97</t>
  </si>
  <si>
    <t>Ейское городское</t>
  </si>
  <si>
    <t>03616101</t>
  </si>
  <si>
    <t>98</t>
  </si>
  <si>
    <t>Камышеватское</t>
  </si>
  <si>
    <t>03616410</t>
  </si>
  <si>
    <t>99</t>
  </si>
  <si>
    <t>Копанское</t>
  </si>
  <si>
    <t>03616413</t>
  </si>
  <si>
    <t>100</t>
  </si>
  <si>
    <t>Красноармейское</t>
  </si>
  <si>
    <t>03616416</t>
  </si>
  <si>
    <t>101</t>
  </si>
  <si>
    <t>Кухаривское</t>
  </si>
  <si>
    <t>03616419</t>
  </si>
  <si>
    <t>102</t>
  </si>
  <si>
    <t>Моревское</t>
  </si>
  <si>
    <t>03616420</t>
  </si>
  <si>
    <t>103</t>
  </si>
  <si>
    <t>Трудовое</t>
  </si>
  <si>
    <t>03616421</t>
  </si>
  <si>
    <t>104</t>
  </si>
  <si>
    <t>Ясенское</t>
  </si>
  <si>
    <t>03616422</t>
  </si>
  <si>
    <t>105</t>
  </si>
  <si>
    <t>03618000</t>
  </si>
  <si>
    <t>Дмитриевское</t>
  </si>
  <si>
    <t>03618404</t>
  </si>
  <si>
    <t>106</t>
  </si>
  <si>
    <t>107</t>
  </si>
  <si>
    <t>Кавказское</t>
  </si>
  <si>
    <t>03618410</t>
  </si>
  <si>
    <t>108</t>
  </si>
  <si>
    <t>Казанское</t>
  </si>
  <si>
    <t>03618413</t>
  </si>
  <si>
    <t>109</t>
  </si>
  <si>
    <t>Лосевское</t>
  </si>
  <si>
    <t>03618419</t>
  </si>
  <si>
    <t>111</t>
  </si>
  <si>
    <t>Мирское</t>
  </si>
  <si>
    <t>03618422</t>
  </si>
  <si>
    <t>112</t>
  </si>
  <si>
    <t>Привольное</t>
  </si>
  <si>
    <t>03618432</t>
  </si>
  <si>
    <t>113</t>
  </si>
  <si>
    <t>Темижбекское</t>
  </si>
  <si>
    <t>03618452</t>
  </si>
  <si>
    <t>114</t>
  </si>
  <si>
    <t>им М Горького</t>
  </si>
  <si>
    <t>03618407</t>
  </si>
  <si>
    <t>115</t>
  </si>
  <si>
    <t>Калининский муниципальный район</t>
  </si>
  <si>
    <t>03619000</t>
  </si>
  <si>
    <t>Бойкопонурское</t>
  </si>
  <si>
    <t>03619405</t>
  </si>
  <si>
    <t>116</t>
  </si>
  <si>
    <t>Гривенское</t>
  </si>
  <si>
    <t>03619406</t>
  </si>
  <si>
    <t>117</t>
  </si>
  <si>
    <t>Гришковское</t>
  </si>
  <si>
    <t>03619407</t>
  </si>
  <si>
    <t>118</t>
  </si>
  <si>
    <t>Джумайловское</t>
  </si>
  <si>
    <t>03619408</t>
  </si>
  <si>
    <t>119</t>
  </si>
  <si>
    <t>120</t>
  </si>
  <si>
    <t>Калининское</t>
  </si>
  <si>
    <t>03619420</t>
  </si>
  <si>
    <t>121</t>
  </si>
  <si>
    <t>Куйбышевское</t>
  </si>
  <si>
    <t>03619422</t>
  </si>
  <si>
    <t>122</t>
  </si>
  <si>
    <t>Новониколаевское</t>
  </si>
  <si>
    <t>03619427</t>
  </si>
  <si>
    <t>123</t>
  </si>
  <si>
    <t>Старовеличковское</t>
  </si>
  <si>
    <t>03619435</t>
  </si>
  <si>
    <t>124</t>
  </si>
  <si>
    <t>Каневской муниципальный район</t>
  </si>
  <si>
    <t>03620000</t>
  </si>
  <si>
    <t>Каневское</t>
  </si>
  <si>
    <t>03620402</t>
  </si>
  <si>
    <t>125</t>
  </si>
  <si>
    <t>126</t>
  </si>
  <si>
    <t>Красногвардейское</t>
  </si>
  <si>
    <t>03620404</t>
  </si>
  <si>
    <t>127</t>
  </si>
  <si>
    <t>Кубанскостепное</t>
  </si>
  <si>
    <t>03620405</t>
  </si>
  <si>
    <t>128</t>
  </si>
  <si>
    <t>Новодеревянковское</t>
  </si>
  <si>
    <t>03620407</t>
  </si>
  <si>
    <t>129</t>
  </si>
  <si>
    <t>Новоминское</t>
  </si>
  <si>
    <t>03620410</t>
  </si>
  <si>
    <t>130</t>
  </si>
  <si>
    <t>Привольненское</t>
  </si>
  <si>
    <t>03620413</t>
  </si>
  <si>
    <t>131</t>
  </si>
  <si>
    <t>Придорожное</t>
  </si>
  <si>
    <t>03620414</t>
  </si>
  <si>
    <t>132</t>
  </si>
  <si>
    <t>Стародеревянковское</t>
  </si>
  <si>
    <t>03620416</t>
  </si>
  <si>
    <t>133</t>
  </si>
  <si>
    <t>Челбасское</t>
  </si>
  <si>
    <t>03620419</t>
  </si>
  <si>
    <t>134</t>
  </si>
  <si>
    <t>Кореновский муниципальный район</t>
  </si>
  <si>
    <t>03621000</t>
  </si>
  <si>
    <t>Братковское</t>
  </si>
  <si>
    <t>03621402</t>
  </si>
  <si>
    <t>135</t>
  </si>
  <si>
    <t>Бураковское</t>
  </si>
  <si>
    <t>03621404</t>
  </si>
  <si>
    <t>136</t>
  </si>
  <si>
    <t>Дядьковское</t>
  </si>
  <si>
    <t>03621407</t>
  </si>
  <si>
    <t>137</t>
  </si>
  <si>
    <t>Журавское</t>
  </si>
  <si>
    <t>03621410</t>
  </si>
  <si>
    <t>138</t>
  </si>
  <si>
    <t>139</t>
  </si>
  <si>
    <t>Кореновское городское</t>
  </si>
  <si>
    <t>03621101</t>
  </si>
  <si>
    <t>140</t>
  </si>
  <si>
    <t>Новоберезанское</t>
  </si>
  <si>
    <t>03621413</t>
  </si>
  <si>
    <t>141</t>
  </si>
  <si>
    <t>Платнировское</t>
  </si>
  <si>
    <t>03621419</t>
  </si>
  <si>
    <t>142</t>
  </si>
  <si>
    <t>Пролетарское</t>
  </si>
  <si>
    <t>03621422</t>
  </si>
  <si>
    <t>143</t>
  </si>
  <si>
    <t>Раздольненское</t>
  </si>
  <si>
    <t>03621425</t>
  </si>
  <si>
    <t>144</t>
  </si>
  <si>
    <t>Сергиевское</t>
  </si>
  <si>
    <t>03621428</t>
  </si>
  <si>
    <t>145</t>
  </si>
  <si>
    <t>Красноармейский муниципальный район</t>
  </si>
  <si>
    <t>03623000</t>
  </si>
  <si>
    <t>Ивановское</t>
  </si>
  <si>
    <t>03623407</t>
  </si>
  <si>
    <t>146</t>
  </si>
  <si>
    <t>147</t>
  </si>
  <si>
    <t>Марьянское</t>
  </si>
  <si>
    <t>03623412</t>
  </si>
  <si>
    <t>148</t>
  </si>
  <si>
    <t>Новомышастовское</t>
  </si>
  <si>
    <t>03623413</t>
  </si>
  <si>
    <t>149</t>
  </si>
  <si>
    <t>Октябрьское</t>
  </si>
  <si>
    <t>03623419</t>
  </si>
  <si>
    <t>150</t>
  </si>
  <si>
    <t>Полтавское</t>
  </si>
  <si>
    <t>03623410</t>
  </si>
  <si>
    <t>151</t>
  </si>
  <si>
    <t>Протичкинское</t>
  </si>
  <si>
    <t>03623420</t>
  </si>
  <si>
    <t>152</t>
  </si>
  <si>
    <t>Староджерелиевское</t>
  </si>
  <si>
    <t>03623422</t>
  </si>
  <si>
    <t>153</t>
  </si>
  <si>
    <t>Старонижестеблиевское</t>
  </si>
  <si>
    <t>03623425</t>
  </si>
  <si>
    <t>154</t>
  </si>
  <si>
    <t>Трудобеликовское</t>
  </si>
  <si>
    <t>03623428</t>
  </si>
  <si>
    <t>155</t>
  </si>
  <si>
    <t>Чебургольское</t>
  </si>
  <si>
    <t>03623431</t>
  </si>
  <si>
    <t>156</t>
  </si>
  <si>
    <t>Крыловский муниципальный район</t>
  </si>
  <si>
    <t>03624000</t>
  </si>
  <si>
    <t>157</t>
  </si>
  <si>
    <t>Крыловское</t>
  </si>
  <si>
    <t>03624411</t>
  </si>
  <si>
    <t>158</t>
  </si>
  <si>
    <t>Кугоейское</t>
  </si>
  <si>
    <t>03624414</t>
  </si>
  <si>
    <t>159</t>
  </si>
  <si>
    <t>Новопашковское</t>
  </si>
  <si>
    <t>03624418</t>
  </si>
  <si>
    <t>160</t>
  </si>
  <si>
    <t>Новосергиевское</t>
  </si>
  <si>
    <t>03624421</t>
  </si>
  <si>
    <t>161</t>
  </si>
  <si>
    <t>03624424</t>
  </si>
  <si>
    <t>162</t>
  </si>
  <si>
    <t>Шевченковское</t>
  </si>
  <si>
    <t>03624430</t>
  </si>
  <si>
    <t>163</t>
  </si>
  <si>
    <t>Крымский муниципальный район</t>
  </si>
  <si>
    <t>03625000</t>
  </si>
  <si>
    <t>Адагумское</t>
  </si>
  <si>
    <t>03625402</t>
  </si>
  <si>
    <t>164</t>
  </si>
  <si>
    <t>Варениковское</t>
  </si>
  <si>
    <t>03625404</t>
  </si>
  <si>
    <t>165</t>
  </si>
  <si>
    <t>Кеслеровское</t>
  </si>
  <si>
    <t>03625407</t>
  </si>
  <si>
    <t>166</t>
  </si>
  <si>
    <t>Киевское</t>
  </si>
  <si>
    <t>03625410</t>
  </si>
  <si>
    <t>167</t>
  </si>
  <si>
    <t>168</t>
  </si>
  <si>
    <t>Крымское городское</t>
  </si>
  <si>
    <t>03625101</t>
  </si>
  <si>
    <t>169</t>
  </si>
  <si>
    <t>Мерчанское</t>
  </si>
  <si>
    <t>03625416</t>
  </si>
  <si>
    <t>170</t>
  </si>
  <si>
    <t>Молдаванское</t>
  </si>
  <si>
    <t>03625419</t>
  </si>
  <si>
    <t>171</t>
  </si>
  <si>
    <t>Нижнебаканское</t>
  </si>
  <si>
    <t>03625412</t>
  </si>
  <si>
    <t>172</t>
  </si>
  <si>
    <t>Пригородное</t>
  </si>
  <si>
    <t>03625413</t>
  </si>
  <si>
    <t>173</t>
  </si>
  <si>
    <t>Троицкое</t>
  </si>
  <si>
    <t>03625422</t>
  </si>
  <si>
    <t>174</t>
  </si>
  <si>
    <t>Южное</t>
  </si>
  <si>
    <t>03625431</t>
  </si>
  <si>
    <t>175</t>
  </si>
  <si>
    <t>Курганинский муниципальный район</t>
  </si>
  <si>
    <t>03627000</t>
  </si>
  <si>
    <t>Безводное</t>
  </si>
  <si>
    <t>03627402</t>
  </si>
  <si>
    <t>176</t>
  </si>
  <si>
    <t>Воздвиженское</t>
  </si>
  <si>
    <t>03627404</t>
  </si>
  <si>
    <t>177</t>
  </si>
  <si>
    <t>Константиновское</t>
  </si>
  <si>
    <t>03627407</t>
  </si>
  <si>
    <t>178</t>
  </si>
  <si>
    <t>179</t>
  </si>
  <si>
    <t>Курганинское городское</t>
  </si>
  <si>
    <t>03627101</t>
  </si>
  <si>
    <t>180</t>
  </si>
  <si>
    <t>Михайловское</t>
  </si>
  <si>
    <t>03627410</t>
  </si>
  <si>
    <t>181</t>
  </si>
  <si>
    <t>Новоалексеевское</t>
  </si>
  <si>
    <t>03627413</t>
  </si>
  <si>
    <t>182</t>
  </si>
  <si>
    <t>03627416</t>
  </si>
  <si>
    <t>183</t>
  </si>
  <si>
    <t>Петропавловское</t>
  </si>
  <si>
    <t>03627419</t>
  </si>
  <si>
    <t>184</t>
  </si>
  <si>
    <t>03627422</t>
  </si>
  <si>
    <t>185</t>
  </si>
  <si>
    <t>Темиргоевское</t>
  </si>
  <si>
    <t>03627425</t>
  </si>
  <si>
    <t>186</t>
  </si>
  <si>
    <t>Кущевский муниципальный район</t>
  </si>
  <si>
    <t>03628000</t>
  </si>
  <si>
    <t>Глебовское</t>
  </si>
  <si>
    <t>03628403</t>
  </si>
  <si>
    <t>187</t>
  </si>
  <si>
    <t>Ильинское</t>
  </si>
  <si>
    <t>03628404</t>
  </si>
  <si>
    <t>188</t>
  </si>
  <si>
    <t>Кисляковское</t>
  </si>
  <si>
    <t>03628407</t>
  </si>
  <si>
    <t>189</t>
  </si>
  <si>
    <t>Краснополянское</t>
  </si>
  <si>
    <t>03628402</t>
  </si>
  <si>
    <t>190</t>
  </si>
  <si>
    <t>03628410</t>
  </si>
  <si>
    <t>191</t>
  </si>
  <si>
    <t>192</t>
  </si>
  <si>
    <t>Кущевское</t>
  </si>
  <si>
    <t>03628416</t>
  </si>
  <si>
    <t>193</t>
  </si>
  <si>
    <t>Новомихайловское</t>
  </si>
  <si>
    <t>03628420</t>
  </si>
  <si>
    <t>194</t>
  </si>
  <si>
    <t>03628422</t>
  </si>
  <si>
    <t>195</t>
  </si>
  <si>
    <t>Полтавченское</t>
  </si>
  <si>
    <t>03628425</t>
  </si>
  <si>
    <t>196</t>
  </si>
  <si>
    <t>03628428</t>
  </si>
  <si>
    <t>197</t>
  </si>
  <si>
    <t>Среднечубуркское</t>
  </si>
  <si>
    <t>03628429</t>
  </si>
  <si>
    <t>198</t>
  </si>
  <si>
    <t>Шкуринское</t>
  </si>
  <si>
    <t>03628431</t>
  </si>
  <si>
    <t>199</t>
  </si>
  <si>
    <t>Лабинский муниципальный район</t>
  </si>
  <si>
    <t>03630000</t>
  </si>
  <si>
    <t>Ахметовское</t>
  </si>
  <si>
    <t>03630404</t>
  </si>
  <si>
    <t>200</t>
  </si>
  <si>
    <t>Владимирское</t>
  </si>
  <si>
    <t>03630416</t>
  </si>
  <si>
    <t>201</t>
  </si>
  <si>
    <t>Вознесенское</t>
  </si>
  <si>
    <t>03630419</t>
  </si>
  <si>
    <t>202</t>
  </si>
  <si>
    <t>Зассовское</t>
  </si>
  <si>
    <t>03630425</t>
  </si>
  <si>
    <t>203</t>
  </si>
  <si>
    <t>Каладжинское</t>
  </si>
  <si>
    <t>03630428</t>
  </si>
  <si>
    <t>204</t>
  </si>
  <si>
    <t>205</t>
  </si>
  <si>
    <t>Лабинское городское</t>
  </si>
  <si>
    <t>03630101</t>
  </si>
  <si>
    <t>206</t>
  </si>
  <si>
    <t>Лучевое</t>
  </si>
  <si>
    <t>03630439</t>
  </si>
  <si>
    <t>207</t>
  </si>
  <si>
    <t>Отважненское</t>
  </si>
  <si>
    <t>03630443</t>
  </si>
  <si>
    <t>208</t>
  </si>
  <si>
    <t>Первосинюхинское</t>
  </si>
  <si>
    <t>03630446</t>
  </si>
  <si>
    <t>209</t>
  </si>
  <si>
    <t>Сладковское</t>
  </si>
  <si>
    <t>03630450</t>
  </si>
  <si>
    <t>210</t>
  </si>
  <si>
    <t>Упорненское</t>
  </si>
  <si>
    <t>03630455</t>
  </si>
  <si>
    <t>211</t>
  </si>
  <si>
    <t>Харьковское</t>
  </si>
  <si>
    <t>03630458</t>
  </si>
  <si>
    <t>212</t>
  </si>
  <si>
    <t>Чамлыкское</t>
  </si>
  <si>
    <t>03630437</t>
  </si>
  <si>
    <t>213</t>
  </si>
  <si>
    <t>Ленинградский муниципальный район</t>
  </si>
  <si>
    <t>03632000</t>
  </si>
  <si>
    <t>Белохуторское</t>
  </si>
  <si>
    <t>03632401</t>
  </si>
  <si>
    <t>214</t>
  </si>
  <si>
    <t>Восточное</t>
  </si>
  <si>
    <t>03632402</t>
  </si>
  <si>
    <t>215</t>
  </si>
  <si>
    <t>Западное</t>
  </si>
  <si>
    <t>03632420</t>
  </si>
  <si>
    <t>216</t>
  </si>
  <si>
    <t>Коржовское</t>
  </si>
  <si>
    <t>03632403</t>
  </si>
  <si>
    <t>217</t>
  </si>
  <si>
    <t>03632404</t>
  </si>
  <si>
    <t>218</t>
  </si>
  <si>
    <t>Куликовское</t>
  </si>
  <si>
    <t>03632407</t>
  </si>
  <si>
    <t>219</t>
  </si>
  <si>
    <t>220</t>
  </si>
  <si>
    <t>Ленинградское</t>
  </si>
  <si>
    <t>03632410</t>
  </si>
  <si>
    <t>221</t>
  </si>
  <si>
    <t>Новоплатнировское</t>
  </si>
  <si>
    <t>03632413</t>
  </si>
  <si>
    <t>222</t>
  </si>
  <si>
    <t>Новоуманское</t>
  </si>
  <si>
    <t>03632414</t>
  </si>
  <si>
    <t>223</t>
  </si>
  <si>
    <t>Образцовое</t>
  </si>
  <si>
    <t>03632415</t>
  </si>
  <si>
    <t>224</t>
  </si>
  <si>
    <t>03632417</t>
  </si>
  <si>
    <t>225</t>
  </si>
  <si>
    <t>Уманское</t>
  </si>
  <si>
    <t>03632416</t>
  </si>
  <si>
    <t>226</t>
  </si>
  <si>
    <t>Мостовский муниципальный район</t>
  </si>
  <si>
    <t>03633000</t>
  </si>
  <si>
    <t>Андрюковское</t>
  </si>
  <si>
    <t>03633404</t>
  </si>
  <si>
    <t>227</t>
  </si>
  <si>
    <t>Баговское</t>
  </si>
  <si>
    <t>03633407</t>
  </si>
  <si>
    <t>228</t>
  </si>
  <si>
    <t>Беноковское</t>
  </si>
  <si>
    <t>03633410</t>
  </si>
  <si>
    <t>229</t>
  </si>
  <si>
    <t>Бесленеевское</t>
  </si>
  <si>
    <t>03633413</t>
  </si>
  <si>
    <t>230</t>
  </si>
  <si>
    <t>Губское</t>
  </si>
  <si>
    <t>03633422</t>
  </si>
  <si>
    <t>231</t>
  </si>
  <si>
    <t>Костромское</t>
  </si>
  <si>
    <t>03633431</t>
  </si>
  <si>
    <t>232</t>
  </si>
  <si>
    <t>Краснокутское</t>
  </si>
  <si>
    <t>03633434</t>
  </si>
  <si>
    <t>233</t>
  </si>
  <si>
    <t>Махошевское</t>
  </si>
  <si>
    <t>03633440</t>
  </si>
  <si>
    <t>234</t>
  </si>
  <si>
    <t>235</t>
  </si>
  <si>
    <t>Мостовское городское</t>
  </si>
  <si>
    <t>03633151</t>
  </si>
  <si>
    <t>236</t>
  </si>
  <si>
    <t>Переправненское</t>
  </si>
  <si>
    <t>03633449</t>
  </si>
  <si>
    <t>237</t>
  </si>
  <si>
    <t>Псебайское городское</t>
  </si>
  <si>
    <t>03633156</t>
  </si>
  <si>
    <t>238</t>
  </si>
  <si>
    <t>Унароковское</t>
  </si>
  <si>
    <t>03633452</t>
  </si>
  <si>
    <t>239</t>
  </si>
  <si>
    <t>Шедокское</t>
  </si>
  <si>
    <t>03633461</t>
  </si>
  <si>
    <t>240</t>
  </si>
  <si>
    <t>Ярославское</t>
  </si>
  <si>
    <t>03633464</t>
  </si>
  <si>
    <t>241</t>
  </si>
  <si>
    <t>Новокубанский муниципальный район</t>
  </si>
  <si>
    <t>03634000</t>
  </si>
  <si>
    <t>Бесскорбненское</t>
  </si>
  <si>
    <t>03634402</t>
  </si>
  <si>
    <t>242</t>
  </si>
  <si>
    <t>Верхнекубанское</t>
  </si>
  <si>
    <t>03634403</t>
  </si>
  <si>
    <t>243</t>
  </si>
  <si>
    <t>Ковалевское</t>
  </si>
  <si>
    <t>03634407</t>
  </si>
  <si>
    <t>244</t>
  </si>
  <si>
    <t>Ляпинское</t>
  </si>
  <si>
    <t>03634413</t>
  </si>
  <si>
    <t>245</t>
  </si>
  <si>
    <t>246</t>
  </si>
  <si>
    <t>Новокубанское городское</t>
  </si>
  <si>
    <t>03634101</t>
  </si>
  <si>
    <t>247</t>
  </si>
  <si>
    <t>03634422</t>
  </si>
  <si>
    <t>248</t>
  </si>
  <si>
    <t>Прикубанское</t>
  </si>
  <si>
    <t>03634425</t>
  </si>
  <si>
    <t>249</t>
  </si>
  <si>
    <t>Прочноокопское</t>
  </si>
  <si>
    <t>03634428</t>
  </si>
  <si>
    <t>250</t>
  </si>
  <si>
    <t>Советское</t>
  </si>
  <si>
    <t>03634431</t>
  </si>
  <si>
    <t>251</t>
  </si>
  <si>
    <t>Новопокровский муниципальный район</t>
  </si>
  <si>
    <t>03635000</t>
  </si>
  <si>
    <t>Горькобалковское</t>
  </si>
  <si>
    <t>03635402</t>
  </si>
  <si>
    <t>252</t>
  </si>
  <si>
    <t>03635404</t>
  </si>
  <si>
    <t>253</t>
  </si>
  <si>
    <t>Калниболотское</t>
  </si>
  <si>
    <t>03635407</t>
  </si>
  <si>
    <t>254</t>
  </si>
  <si>
    <t>03635410</t>
  </si>
  <si>
    <t>255</t>
  </si>
  <si>
    <t>Незамаевское</t>
  </si>
  <si>
    <t>03635413</t>
  </si>
  <si>
    <t>256</t>
  </si>
  <si>
    <t>Новоивановское</t>
  </si>
  <si>
    <t>03635416</t>
  </si>
  <si>
    <t>257</t>
  </si>
  <si>
    <t>258</t>
  </si>
  <si>
    <t>Новопокровское</t>
  </si>
  <si>
    <t>03635419</t>
  </si>
  <si>
    <t>259</t>
  </si>
  <si>
    <t>Покровское</t>
  </si>
  <si>
    <t>03635422</t>
  </si>
  <si>
    <t>260</t>
  </si>
  <si>
    <t>Отрадненский муниципальный район</t>
  </si>
  <si>
    <t>03637000</t>
  </si>
  <si>
    <t>Бесстрашненское</t>
  </si>
  <si>
    <t>03637401</t>
  </si>
  <si>
    <t>261</t>
  </si>
  <si>
    <t>Благодарненское</t>
  </si>
  <si>
    <t>03637402</t>
  </si>
  <si>
    <t>262</t>
  </si>
  <si>
    <t>03637404</t>
  </si>
  <si>
    <t>263</t>
  </si>
  <si>
    <t>Малотенгинское</t>
  </si>
  <si>
    <t>03637407</t>
  </si>
  <si>
    <t>264</t>
  </si>
  <si>
    <t>Маякское</t>
  </si>
  <si>
    <t>03637408</t>
  </si>
  <si>
    <t>265</t>
  </si>
  <si>
    <t>Надежненское</t>
  </si>
  <si>
    <t>03637410</t>
  </si>
  <si>
    <t>266</t>
  </si>
  <si>
    <t>267</t>
  </si>
  <si>
    <t>Отрадненское</t>
  </si>
  <si>
    <t>03637413</t>
  </si>
  <si>
    <t>268</t>
  </si>
  <si>
    <t>Передовское</t>
  </si>
  <si>
    <t>03637416</t>
  </si>
  <si>
    <t>269</t>
  </si>
  <si>
    <t>Подгорненское</t>
  </si>
  <si>
    <t>03637419</t>
  </si>
  <si>
    <t>270</t>
  </si>
  <si>
    <t>Подгорно-Синюхинское</t>
  </si>
  <si>
    <t>03637422</t>
  </si>
  <si>
    <t>271</t>
  </si>
  <si>
    <t>Попутненское</t>
  </si>
  <si>
    <t>03637425</t>
  </si>
  <si>
    <t>272</t>
  </si>
  <si>
    <t>Рудьевское</t>
  </si>
  <si>
    <t>03637426</t>
  </si>
  <si>
    <t>273</t>
  </si>
  <si>
    <t>Спокойненское</t>
  </si>
  <si>
    <t>03637428</t>
  </si>
  <si>
    <t>274</t>
  </si>
  <si>
    <t>Удобненское</t>
  </si>
  <si>
    <t>03637431</t>
  </si>
  <si>
    <t>275</t>
  </si>
  <si>
    <t>Павловский муниципальный район</t>
  </si>
  <si>
    <t>03639000</t>
  </si>
  <si>
    <t>Атаманское</t>
  </si>
  <si>
    <t>03639402</t>
  </si>
  <si>
    <t>276</t>
  </si>
  <si>
    <t>Веселовское</t>
  </si>
  <si>
    <t>03639404</t>
  </si>
  <si>
    <t>277</t>
  </si>
  <si>
    <t>03639410</t>
  </si>
  <si>
    <t>278</t>
  </si>
  <si>
    <t>Новолеушковское</t>
  </si>
  <si>
    <t>03639413</t>
  </si>
  <si>
    <t>279</t>
  </si>
  <si>
    <t>Новопетровское</t>
  </si>
  <si>
    <t>03639419</t>
  </si>
  <si>
    <t>280</t>
  </si>
  <si>
    <t>Новопластуновское</t>
  </si>
  <si>
    <t>03639422</t>
  </si>
  <si>
    <t>281</t>
  </si>
  <si>
    <t>282</t>
  </si>
  <si>
    <t>Павловское</t>
  </si>
  <si>
    <t>03639428</t>
  </si>
  <si>
    <t>283</t>
  </si>
  <si>
    <t>Северное</t>
  </si>
  <si>
    <t>03639430</t>
  </si>
  <si>
    <t>284</t>
  </si>
  <si>
    <t>Среднечелбасское</t>
  </si>
  <si>
    <t>03639431</t>
  </si>
  <si>
    <t>285</t>
  </si>
  <si>
    <t>Старолеушковское</t>
  </si>
  <si>
    <t>03639434</t>
  </si>
  <si>
    <t>286</t>
  </si>
  <si>
    <t>03639440</t>
  </si>
  <si>
    <t>287</t>
  </si>
  <si>
    <t>Приморско-Ахтарский муниципальный район</t>
  </si>
  <si>
    <t>03641000</t>
  </si>
  <si>
    <t>Ахтарское</t>
  </si>
  <si>
    <t>03641401</t>
  </si>
  <si>
    <t>288</t>
  </si>
  <si>
    <t>Бородинское</t>
  </si>
  <si>
    <t>03641402</t>
  </si>
  <si>
    <t>289</t>
  </si>
  <si>
    <t>Бриньковское</t>
  </si>
  <si>
    <t>03641404</t>
  </si>
  <si>
    <t>290</t>
  </si>
  <si>
    <t>03641407</t>
  </si>
  <si>
    <t>291</t>
  </si>
  <si>
    <t>03641410</t>
  </si>
  <si>
    <t>292</t>
  </si>
  <si>
    <t>Приазовское</t>
  </si>
  <si>
    <t>03641413</t>
  </si>
  <si>
    <t>293</t>
  </si>
  <si>
    <t>294</t>
  </si>
  <si>
    <t>Приморско-Ахтарское городское</t>
  </si>
  <si>
    <t>03641101</t>
  </si>
  <si>
    <t>295</t>
  </si>
  <si>
    <t>Свободное</t>
  </si>
  <si>
    <t>03641416</t>
  </si>
  <si>
    <t>296</t>
  </si>
  <si>
    <t>Степное</t>
  </si>
  <si>
    <t>03641419</t>
  </si>
  <si>
    <t>297</t>
  </si>
  <si>
    <t>Северский муниципальный район</t>
  </si>
  <si>
    <t>03643000</t>
  </si>
  <si>
    <t>Азовское</t>
  </si>
  <si>
    <t>03643402</t>
  </si>
  <si>
    <t>298</t>
  </si>
  <si>
    <t>Афипское городское</t>
  </si>
  <si>
    <t>03643152</t>
  </si>
  <si>
    <t>299</t>
  </si>
  <si>
    <t>Григорьевское</t>
  </si>
  <si>
    <t>03643404</t>
  </si>
  <si>
    <t>300</t>
  </si>
  <si>
    <t>Ильское городское</t>
  </si>
  <si>
    <t>03643155</t>
  </si>
  <si>
    <t>301</t>
  </si>
  <si>
    <t>Калужское</t>
  </si>
  <si>
    <t>03643406</t>
  </si>
  <si>
    <t>302</t>
  </si>
  <si>
    <t>Львовское</t>
  </si>
  <si>
    <t>03643407</t>
  </si>
  <si>
    <t>303</t>
  </si>
  <si>
    <t>03643408</t>
  </si>
  <si>
    <t>304</t>
  </si>
  <si>
    <t>Новодмитриевское</t>
  </si>
  <si>
    <t>03643410</t>
  </si>
  <si>
    <t>305</t>
  </si>
  <si>
    <t>306</t>
  </si>
  <si>
    <t>Северское</t>
  </si>
  <si>
    <t>03643413</t>
  </si>
  <si>
    <t>307</t>
  </si>
  <si>
    <t>Смоленское</t>
  </si>
  <si>
    <t>03643416</t>
  </si>
  <si>
    <t>308</t>
  </si>
  <si>
    <t>Черноморское</t>
  </si>
  <si>
    <t>03643158</t>
  </si>
  <si>
    <t>309</t>
  </si>
  <si>
    <t>Шабановское</t>
  </si>
  <si>
    <t>03643419</t>
  </si>
  <si>
    <t>310</t>
  </si>
  <si>
    <t>Сириус</t>
  </si>
  <si>
    <t>03731000</t>
  </si>
  <si>
    <t>311</t>
  </si>
  <si>
    <t>Славянский муниципальный район</t>
  </si>
  <si>
    <t>03645000</t>
  </si>
  <si>
    <t>Анастасиевское</t>
  </si>
  <si>
    <t>03645402</t>
  </si>
  <si>
    <t>312</t>
  </si>
  <si>
    <t>Ачуевское</t>
  </si>
  <si>
    <t>03645401</t>
  </si>
  <si>
    <t>313</t>
  </si>
  <si>
    <t>Голубая Нива</t>
  </si>
  <si>
    <t>03645403</t>
  </si>
  <si>
    <t>314</t>
  </si>
  <si>
    <t>Забойское</t>
  </si>
  <si>
    <t>03645404</t>
  </si>
  <si>
    <t>315</t>
  </si>
  <si>
    <t>Кировское</t>
  </si>
  <si>
    <t>03645407</t>
  </si>
  <si>
    <t>316</t>
  </si>
  <si>
    <t>Коржевское</t>
  </si>
  <si>
    <t>03645410</t>
  </si>
  <si>
    <t>317</t>
  </si>
  <si>
    <t>Маевское</t>
  </si>
  <si>
    <t>03645412</t>
  </si>
  <si>
    <t>318</t>
  </si>
  <si>
    <t>Петровское</t>
  </si>
  <si>
    <t>03645413</t>
  </si>
  <si>
    <t>319</t>
  </si>
  <si>
    <t>Прибрежное</t>
  </si>
  <si>
    <t>03645414</t>
  </si>
  <si>
    <t>320</t>
  </si>
  <si>
    <t>03645415</t>
  </si>
  <si>
    <t>321</t>
  </si>
  <si>
    <t>Протокское</t>
  </si>
  <si>
    <t>03645416</t>
  </si>
  <si>
    <t>322</t>
  </si>
  <si>
    <t>Рисовое</t>
  </si>
  <si>
    <t>03645420</t>
  </si>
  <si>
    <t>323</t>
  </si>
  <si>
    <t>324</t>
  </si>
  <si>
    <t>Славянское городское</t>
  </si>
  <si>
    <t>03645101</t>
  </si>
  <si>
    <t>325</t>
  </si>
  <si>
    <t>Целинное</t>
  </si>
  <si>
    <t>03645425</t>
  </si>
  <si>
    <t>326</t>
  </si>
  <si>
    <t>Черноерковское</t>
  </si>
  <si>
    <t>03645429</t>
  </si>
  <si>
    <t>327</t>
  </si>
  <si>
    <t>Староминский муниципальный район</t>
  </si>
  <si>
    <t>03647000</t>
  </si>
  <si>
    <t>Канеловское</t>
  </si>
  <si>
    <t>03647402</t>
  </si>
  <si>
    <t>328</t>
  </si>
  <si>
    <t>03647404</t>
  </si>
  <si>
    <t>329</t>
  </si>
  <si>
    <t>Новоясенское</t>
  </si>
  <si>
    <t>03647407</t>
  </si>
  <si>
    <t>330</t>
  </si>
  <si>
    <t>Рассветовское</t>
  </si>
  <si>
    <t>03647410</t>
  </si>
  <si>
    <t>331</t>
  </si>
  <si>
    <t>332</t>
  </si>
  <si>
    <t>Староминское</t>
  </si>
  <si>
    <t>03647413</t>
  </si>
  <si>
    <t>333</t>
  </si>
  <si>
    <t>Тбилисский муниципальный район</t>
  </si>
  <si>
    <t>03649000</t>
  </si>
  <si>
    <t>Алексее-Тенгинское</t>
  </si>
  <si>
    <t>03649401</t>
  </si>
  <si>
    <t>334</t>
  </si>
  <si>
    <t>Ванновское</t>
  </si>
  <si>
    <t>03649402</t>
  </si>
  <si>
    <t>335</t>
  </si>
  <si>
    <t>Геймановское</t>
  </si>
  <si>
    <t>03649404</t>
  </si>
  <si>
    <t>336</t>
  </si>
  <si>
    <t>Ловлинское</t>
  </si>
  <si>
    <t>03649407</t>
  </si>
  <si>
    <t>337</t>
  </si>
  <si>
    <t>Марьинское</t>
  </si>
  <si>
    <t>03649410</t>
  </si>
  <si>
    <t>338</t>
  </si>
  <si>
    <t>Нововладимировское</t>
  </si>
  <si>
    <t>03649413</t>
  </si>
  <si>
    <t>339</t>
  </si>
  <si>
    <t>Песчаное</t>
  </si>
  <si>
    <t>03649416</t>
  </si>
  <si>
    <t>340</t>
  </si>
  <si>
    <t>341</t>
  </si>
  <si>
    <t>Тбилисское</t>
  </si>
  <si>
    <t>03649419</t>
  </si>
  <si>
    <t>342</t>
  </si>
  <si>
    <t>Темрюкский муниципальный район</t>
  </si>
  <si>
    <t>03651000</t>
  </si>
  <si>
    <t>Ахтанизовское</t>
  </si>
  <si>
    <t>03651402</t>
  </si>
  <si>
    <t>343</t>
  </si>
  <si>
    <t>Вышестеблиевское</t>
  </si>
  <si>
    <t>03651404</t>
  </si>
  <si>
    <t>344</t>
  </si>
  <si>
    <t>Голубицкое</t>
  </si>
  <si>
    <t>03651407</t>
  </si>
  <si>
    <t>345</t>
  </si>
  <si>
    <t>Запорожское</t>
  </si>
  <si>
    <t>03651410</t>
  </si>
  <si>
    <t>346</t>
  </si>
  <si>
    <t>Краснострельское</t>
  </si>
  <si>
    <t>03651413</t>
  </si>
  <si>
    <t>347</t>
  </si>
  <si>
    <t>Курчанское</t>
  </si>
  <si>
    <t>03651416</t>
  </si>
  <si>
    <t>348</t>
  </si>
  <si>
    <t>Новотаманское</t>
  </si>
  <si>
    <t>03651418</t>
  </si>
  <si>
    <t>349</t>
  </si>
  <si>
    <t>Сенное</t>
  </si>
  <si>
    <t>03651419</t>
  </si>
  <si>
    <t>350</t>
  </si>
  <si>
    <t>Старотитаровское</t>
  </si>
  <si>
    <t>03651422</t>
  </si>
  <si>
    <t>351</t>
  </si>
  <si>
    <t>Таманское</t>
  </si>
  <si>
    <t>03651425</t>
  </si>
  <si>
    <t>352</t>
  </si>
  <si>
    <t>353</t>
  </si>
  <si>
    <t>Темрюкское городское</t>
  </si>
  <si>
    <t>03651101</t>
  </si>
  <si>
    <t>354</t>
  </si>
  <si>
    <t>Фонталовское</t>
  </si>
  <si>
    <t>03651430</t>
  </si>
  <si>
    <t>355</t>
  </si>
  <si>
    <t>Тимашевский муниципальный район</t>
  </si>
  <si>
    <t>03653000</t>
  </si>
  <si>
    <t>Дербентское</t>
  </si>
  <si>
    <t>03653402</t>
  </si>
  <si>
    <t>356</t>
  </si>
  <si>
    <t>Днепровское</t>
  </si>
  <si>
    <t>03653404</t>
  </si>
  <si>
    <t>357</t>
  </si>
  <si>
    <t>Кубанец</t>
  </si>
  <si>
    <t>03653410</t>
  </si>
  <si>
    <t>358</t>
  </si>
  <si>
    <t>Медведовское</t>
  </si>
  <si>
    <t>03653413</t>
  </si>
  <si>
    <t>359</t>
  </si>
  <si>
    <t>Незаймановское</t>
  </si>
  <si>
    <t>03653416</t>
  </si>
  <si>
    <t>360</t>
  </si>
  <si>
    <t>Новокорсунское</t>
  </si>
  <si>
    <t>03653419</t>
  </si>
  <si>
    <t>361</t>
  </si>
  <si>
    <t>Новоленинское</t>
  </si>
  <si>
    <t>03653422</t>
  </si>
  <si>
    <t>362</t>
  </si>
  <si>
    <t>Поселковое</t>
  </si>
  <si>
    <t>03653425</t>
  </si>
  <si>
    <t>363</t>
  </si>
  <si>
    <t>Роговское</t>
  </si>
  <si>
    <t>03653428</t>
  </si>
  <si>
    <t>364</t>
  </si>
  <si>
    <t>365</t>
  </si>
  <si>
    <t>Тимашевское городское</t>
  </si>
  <si>
    <t>03653101</t>
  </si>
  <si>
    <t>366</t>
  </si>
  <si>
    <t>Тихорецкий муниципальный район</t>
  </si>
  <si>
    <t>03654000</t>
  </si>
  <si>
    <t>Алексеевское</t>
  </si>
  <si>
    <t>03654402</t>
  </si>
  <si>
    <t>367</t>
  </si>
  <si>
    <t>Архангельское</t>
  </si>
  <si>
    <t>03654404</t>
  </si>
  <si>
    <t>368</t>
  </si>
  <si>
    <t>Братское</t>
  </si>
  <si>
    <t>03654405</t>
  </si>
  <si>
    <t>369</t>
  </si>
  <si>
    <t>Еремизино-Борисовское</t>
  </si>
  <si>
    <t>03654407</t>
  </si>
  <si>
    <t>370</t>
  </si>
  <si>
    <t>Крутое</t>
  </si>
  <si>
    <t>03654408</t>
  </si>
  <si>
    <t>371</t>
  </si>
  <si>
    <t>Новорождественское</t>
  </si>
  <si>
    <t>03654410</t>
  </si>
  <si>
    <t>372</t>
  </si>
  <si>
    <t>03654413</t>
  </si>
  <si>
    <t>373</t>
  </si>
  <si>
    <t>Парковское</t>
  </si>
  <si>
    <t>03654416</t>
  </si>
  <si>
    <t>374</t>
  </si>
  <si>
    <t>Терновское</t>
  </si>
  <si>
    <t>03654419</t>
  </si>
  <si>
    <t>375</t>
  </si>
  <si>
    <t>376</t>
  </si>
  <si>
    <t>Тихорецкое городское</t>
  </si>
  <si>
    <t>03654101</t>
  </si>
  <si>
    <t>377</t>
  </si>
  <si>
    <t>Фастовецкое</t>
  </si>
  <si>
    <t>03654422</t>
  </si>
  <si>
    <t>378</t>
  </si>
  <si>
    <t>Хоперское</t>
  </si>
  <si>
    <t>03654425</t>
  </si>
  <si>
    <t>379</t>
  </si>
  <si>
    <t>Юго-Северное</t>
  </si>
  <si>
    <t>03654435</t>
  </si>
  <si>
    <t>380</t>
  </si>
  <si>
    <t>Туапсинский муниципальный район</t>
  </si>
  <si>
    <t>03655000</t>
  </si>
  <si>
    <t>Вельяминовское</t>
  </si>
  <si>
    <t>03655404</t>
  </si>
  <si>
    <t>381</t>
  </si>
  <si>
    <t>Георгиевское</t>
  </si>
  <si>
    <t>03655407</t>
  </si>
  <si>
    <t>382</t>
  </si>
  <si>
    <t>Джубгское городское</t>
  </si>
  <si>
    <t>03655154</t>
  </si>
  <si>
    <t>383</t>
  </si>
  <si>
    <t>Небугское</t>
  </si>
  <si>
    <t>03655402</t>
  </si>
  <si>
    <t>384</t>
  </si>
  <si>
    <t>Новомихайловское городское</t>
  </si>
  <si>
    <t>03655158</t>
  </si>
  <si>
    <t>385</t>
  </si>
  <si>
    <t>03655410</t>
  </si>
  <si>
    <t>386</t>
  </si>
  <si>
    <t>Тенгинское</t>
  </si>
  <si>
    <t>03655412</t>
  </si>
  <si>
    <t>387</t>
  </si>
  <si>
    <t>388</t>
  </si>
  <si>
    <t>Туапсинское</t>
  </si>
  <si>
    <t>03655101</t>
  </si>
  <si>
    <t>389</t>
  </si>
  <si>
    <t>Шаумянское</t>
  </si>
  <si>
    <t>03655413</t>
  </si>
  <si>
    <t>390</t>
  </si>
  <si>
    <t>Шепсинское</t>
  </si>
  <si>
    <t>03655415</t>
  </si>
  <si>
    <t>391</t>
  </si>
  <si>
    <t>Успенский муниципальный район</t>
  </si>
  <si>
    <t>03656000</t>
  </si>
  <si>
    <t>03656402</t>
  </si>
  <si>
    <t>392</t>
  </si>
  <si>
    <t>Вольненское</t>
  </si>
  <si>
    <t>03656404</t>
  </si>
  <si>
    <t>393</t>
  </si>
  <si>
    <t>Коноковское</t>
  </si>
  <si>
    <t>03656410</t>
  </si>
  <si>
    <t>394</t>
  </si>
  <si>
    <t>Кургоковское</t>
  </si>
  <si>
    <t>03656413</t>
  </si>
  <si>
    <t>395</t>
  </si>
  <si>
    <t>Маламинское</t>
  </si>
  <si>
    <t>03656416</t>
  </si>
  <si>
    <t>396</t>
  </si>
  <si>
    <t>Николаевское</t>
  </si>
  <si>
    <t>03656419</t>
  </si>
  <si>
    <t>397</t>
  </si>
  <si>
    <t>Трехсельское</t>
  </si>
  <si>
    <t>03656434</t>
  </si>
  <si>
    <t>398</t>
  </si>
  <si>
    <t>Убеженское</t>
  </si>
  <si>
    <t>03656437</t>
  </si>
  <si>
    <t>399</t>
  </si>
  <si>
    <t>Урупское</t>
  </si>
  <si>
    <t>03656440</t>
  </si>
  <si>
    <t>400</t>
  </si>
  <si>
    <t>401</t>
  </si>
  <si>
    <t>03656443</t>
  </si>
  <si>
    <t>402</t>
  </si>
  <si>
    <t>Усть-Лабинский муниципальный район</t>
  </si>
  <si>
    <t>03657000</t>
  </si>
  <si>
    <t>03657402</t>
  </si>
  <si>
    <t>403</t>
  </si>
  <si>
    <t>03657404</t>
  </si>
  <si>
    <t>404</t>
  </si>
  <si>
    <t>Вимовское</t>
  </si>
  <si>
    <t>03657405</t>
  </si>
  <si>
    <t>405</t>
  </si>
  <si>
    <t>Воронежское</t>
  </si>
  <si>
    <t>03657407</t>
  </si>
  <si>
    <t>406</t>
  </si>
  <si>
    <t>03657410</t>
  </si>
  <si>
    <t>407</t>
  </si>
  <si>
    <t>Двубратское</t>
  </si>
  <si>
    <t>03657412</t>
  </si>
  <si>
    <t>408</t>
  </si>
  <si>
    <t>Железное</t>
  </si>
  <si>
    <t>03657413</t>
  </si>
  <si>
    <t>409</t>
  </si>
  <si>
    <t>Кирпильское</t>
  </si>
  <si>
    <t>03657416</t>
  </si>
  <si>
    <t>410</t>
  </si>
  <si>
    <t>Ладожское</t>
  </si>
  <si>
    <t>03657419</t>
  </si>
  <si>
    <t>411</t>
  </si>
  <si>
    <t>Ленинское</t>
  </si>
  <si>
    <t>03657422</t>
  </si>
  <si>
    <t>412</t>
  </si>
  <si>
    <t>Некрасовское</t>
  </si>
  <si>
    <t>03657425</t>
  </si>
  <si>
    <t>413</t>
  </si>
  <si>
    <t>Новолабинское</t>
  </si>
  <si>
    <t>03657428</t>
  </si>
  <si>
    <t>414</t>
  </si>
  <si>
    <t>Суворовское</t>
  </si>
  <si>
    <t>03657431</t>
  </si>
  <si>
    <t>415</t>
  </si>
  <si>
    <t>03657433</t>
  </si>
  <si>
    <t>416</t>
  </si>
  <si>
    <t>417</t>
  </si>
  <si>
    <t>Усть-Лабинское городское</t>
  </si>
  <si>
    <t>03657101</t>
  </si>
  <si>
    <t>418</t>
  </si>
  <si>
    <t>Щербиновский муниципальный район</t>
  </si>
  <si>
    <t>03659000</t>
  </si>
  <si>
    <t>Глафировское</t>
  </si>
  <si>
    <t>03659402</t>
  </si>
  <si>
    <t>419</t>
  </si>
  <si>
    <t>Ейскоукрепленское</t>
  </si>
  <si>
    <t>03659404</t>
  </si>
  <si>
    <t>420</t>
  </si>
  <si>
    <t>Екатериновское</t>
  </si>
  <si>
    <t>03659407</t>
  </si>
  <si>
    <t>421</t>
  </si>
  <si>
    <t>03659409</t>
  </si>
  <si>
    <t>422</t>
  </si>
  <si>
    <t>Новощербиновское</t>
  </si>
  <si>
    <t>03659410</t>
  </si>
  <si>
    <t>423</t>
  </si>
  <si>
    <t>Старощербиновское</t>
  </si>
  <si>
    <t>03659413</t>
  </si>
  <si>
    <t>424</t>
  </si>
  <si>
    <t>Шабельское</t>
  </si>
  <si>
    <t>03659416</t>
  </si>
  <si>
    <t>425</t>
  </si>
  <si>
    <t>426</t>
  </si>
  <si>
    <t>Щербиновское</t>
  </si>
  <si>
    <t>03659419</t>
  </si>
  <si>
    <t>427</t>
  </si>
  <si>
    <t>NUMBER_POINT</t>
  </si>
  <si>
    <t>L_NAME</t>
  </si>
  <si>
    <t>L_START_DATE</t>
  </si>
  <si>
    <t>L_END_DATE</t>
  </si>
  <si>
    <t>Инвестиционная программа № 10/2018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городского поселения Джубгское городское, Туапсинский муниципальный район на 2019-2023 годы</t>
  </si>
  <si>
    <t>01.01.2019</t>
  </si>
  <si>
    <t>31.12.2023</t>
  </si>
  <si>
    <t>Инвестиционная программа № 10/2019 от 30.10.2019 МП "ЖКХ" Красноармейского района в сфере водоснабжения и водоотведения по модернизации и реконструкции объектов централизованных систем водоснабжения и водоотведения, на территории муниципального района Красноармейский на 2020-2024 годы</t>
  </si>
  <si>
    <t>01.01.2020</t>
  </si>
  <si>
    <t>31.12.2024</t>
  </si>
  <si>
    <t>Инвестиционная программа № 12/2019 от 30.10.2019 МУП "ЮГ" в сфере водоснабжения и водоотведения по реконструкции объектов централизованных систем водоснабжения и водоотведения, на территории сельского поселения Южно-Кубанское, Динской муниципальный район на 2020-2023 годы</t>
  </si>
  <si>
    <t>Инвестиционная программа № 12/2020-ИП от 28.10.2020 ГУП КК "Кубаньводкомплекс" в сфере водоснабжения и водоотведения по строительству, реконструкции и модернизации централизованных систем холодного водоснабжения и водоотведения, на территории муниципального района Ейский на 2021-2025 годы</t>
  </si>
  <si>
    <t>01.01.2021</t>
  </si>
  <si>
    <t>31.12.2025</t>
  </si>
  <si>
    <t>Инвестиционная программа № 166 от 27.09.2019 ООО "Концессии водоснабжения-Геленджик" в сфере водоснабжения и водоотведения по модернизации и строительству систем инженерной инфраструктуры, на территории городского округа Город-курорт Геленджик на 2019-2023 годы</t>
  </si>
  <si>
    <t>27.09.2019</t>
  </si>
  <si>
    <t>Инвестиционная программа № 18/2018 от 30.10.2018 МУП "ЖКХ г. Туапсе" в сфере водоснабжения и водоотведения по развитию, модернизации и реконструкции систем водоснабжения и водоотведения, на территории сельского поселения Тенгинское, Туапсинский муниципальный район на 2019-2023 годы</t>
  </si>
  <si>
    <t>Инвестиционная программа № 2067 от 30.10.2018 МУП г. Горячий Ключ "Водоканал" в сфере водоснабжения и водоотведения по реконструкции объектов объектов централизованных систем водоснабжения и водоотведения на 2019-2023 годы</t>
  </si>
  <si>
    <t>Инвестиционная программа № 2953 от 30.10.2019 АО «Анапа Водоканал» в сфере водоснабжения и водоотведения по развитию объектов централизованных систем водоснабжения и водоотведения, на территории городского округа Город-курорт Анапа на 2020-2023 годы</t>
  </si>
  <si>
    <t>Инвестиционная программа № 3/2022-ип от 18.10.2022 ООО "Коммунальник" в сфере водоотведения по развитию систем водоотведения, на территории городского поселения Тимашевское городское, Тимашевский муниципальный район на 2023-2027 годы</t>
  </si>
  <si>
    <t>01.01.2023</t>
  </si>
  <si>
    <t>31.12.2027</t>
  </si>
  <si>
    <t>Инвестиционная программа № 476 от 25.12.2018 ГУП КК СВВУК "Курганинский групповой водопровод" в сфере водоотведения по модернизации и развитию систем водоотведения, на территории городского округа Армавир на 2019-2023 годы</t>
  </si>
  <si>
    <t>Инвестиционная программа № 571 от 29.10.2019 ГУП КК СВВУК "Курганинский групповой водопровод" в сфере водоотведения в отношении систем водоотведения, на территории городского округа Армавир на 2020-2025 годы</t>
  </si>
  <si>
    <t>Инвестиционная программа № 6/2020-ИП от 28.10.2020 МУП "ЖКХ Небугского сельского поселения" в сфере водоснабжения и водоотведения по реконструкции и модернизации централизованных систем холодного водоснабжения и водоотведения, на территории сельского поселения Небугское, Туапсинский муниципальный район на 2021-2023 годы</t>
  </si>
  <si>
    <t>Инвестиционная программа № 64 от 25.01.2019 МУП муниципального образования город-курорт Геленджик "Водопроводно-канализационное хозяйство" в сфере водоснабжения и водоотведения в отношении централизованных систем холодного водоснабжения и водоотведения, на территории городского округа Город-курорт Геленджик на 2019-2021 годы</t>
  </si>
  <si>
    <t>25.01.2019</t>
  </si>
  <si>
    <t>31.12.2021</t>
  </si>
  <si>
    <t>Инвестиционная программа № 8/2021-ип от 27.10.2021 ОАО "Водоканал Апшеронского района" в сфере водоснабжения и водоотведения по развитию систем водоснабжения и водоотведения, на территории муниципального района Апшеронский на 2022-2028 годы</t>
  </si>
  <si>
    <t>01.01.2022</t>
  </si>
  <si>
    <t>31.12.2028</t>
  </si>
  <si>
    <t>Инвестиционная программа № 9/2019 от 30.10.2019 МУП "ЖКХ г. Туапсе" в сфере водоснабжения и водоотведения по развитию, модернизации и реконструкции систем водоcнабжения и водоотведения, на территории городского поселения Туапсинское, Туапсинский муниципальный район на 2020-2024 годы</t>
  </si>
  <si>
    <t>Инвестиционная программа МУП "Водоканал" города Сочи по развитию централизованных систем холодного водоснабжения и водоотведения муниципального образования город-курорт Сочи на 2018-2022 годы</t>
  </si>
  <si>
    <t>01.01.2018</t>
  </si>
  <si>
    <t>31.12.2022</t>
  </si>
  <si>
    <t>Инвестиционная программа МУП "Жилищно-коммунальное хозяйство Небугского сельского поселения" по развитию, реконструкции и модернизации систем водоснабжения и водоотведения Небугского сельского поселения Туапсинского района на 2018-2020 годы</t>
  </si>
  <si>
    <t>31.12.2020</t>
  </si>
  <si>
    <t>Инвестиционная программа ООО "Кубаньводоканал" в сфере холодного водоснабжения на территории городского поселения Славянское на 2017-2021 годы</t>
  </si>
  <si>
    <t>01.01.2017</t>
  </si>
  <si>
    <t>Инвестиционная программа от 17.12.2013 ООО "Краснодар Водоканал" в сфере водоснабжения и водоотведения по строительству, реконструкции и модернизации централизованных систем холодного водоснабжения и водоотведения, на территории городского округа Краснодар на 2014-2025 годы</t>
  </si>
  <si>
    <t>01.01.2014</t>
  </si>
  <si>
    <t>Инвестиционная программа от 27.09.2019 ООО "Концессии водоснабжения-Геленджик" в сфере водоотведения по строительству, реконструкции и модернизации систем водоотведения, на территории городского округа Город-курорт Геленджик на 2019-2024 годы</t>
  </si>
  <si>
    <t>Инвестиционная программа от 29.10.2019 ГУП КК СВВУК "Курганинский групповой водопровод" в сфере водоотведения по развитию систем водоотведения, на территории городского округа Армавир на 2020-2024 годы</t>
  </si>
  <si>
    <t>инвестиционная программа</t>
  </si>
  <si>
    <t>инвестиционная программа МУП "Водоканал города Новороссийска" по модернизации системы коммунальной инфраструктуры в сфере водоснабжения и водоотведения муниципального образования город Новороссийск на 2013-2021 годы</t>
  </si>
  <si>
    <t>01.01.2013</t>
  </si>
  <si>
    <t>TER_NAME</t>
  </si>
  <si>
    <t>Территория 1</t>
  </si>
  <si>
    <t>ID_TARIFF_NAME</t>
  </si>
  <si>
    <t>TARIFF_NAME</t>
  </si>
  <si>
    <t>VED_NAME</t>
  </si>
  <si>
    <t>4189713</t>
  </si>
  <si>
    <t>4189712</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</si>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</sst>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1" formatCode="_-* #,##0\ _₽_-;\-* #,##0\ _₽_-;_-* &quot;-&quot;\ _₽_-;_-@_-"/>
    <numFmt numFmtId="42" formatCode="_-* #,##0\ &quot;₽&quot;_-;\-* #,##0\ &quot;₽&quot;_-;_-* &quot;-&quot;\ &quot;₽&quot;_-;_-@_-"/>
    <numFmt numFmtId="43" formatCode="_-* #,##0.00\ _₽_-;\-* #,##0.00\ _₽_-;_-* &quot;-&quot;??\ _₽_-;_-@_-"/>
    <numFmt numFmtId="44" formatCode="_-* #,##0.00\ &quot;₽&quot;_-;\-* #,##0.00\ &quot;₽&quot;_-;_-* &quot;-&quot;??\ &quot;₽&quot;_-;_-@_-"/>
    <numFmt numFmtId="165" formatCode="#,##0.000"/>
    <numFmt numFmtId="166" formatCode="_-* #,##0.00[$€-1]_-;\-* #,##0.00[$€-1]_-;_-* &quot;-&quot;??[$€-1]_-"/>
    <numFmt numFmtId="167" formatCode="000000"/>
    <numFmt numFmtId="168" formatCode="#,##0.0"/>
    <numFmt numFmtId="169" formatCode="#,##0.0000"/>
    <numFmt numFmtId="170" formatCode="dd\.mm\.yyyy"/>
  </numFmts>
  <fonts count="137">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33399"/>
      <name val="Calibri"/>
    </font>
    <font>
      <sz val="11"/>
      <color rgb="FFFA7D00"/>
      <name val="Calibri"/>
      <scheme val="minor"/>
    </font>
    <font>
      <sz val="11"/>
      <color rgb="FF9C6500"/>
      <name val="Calibri"/>
      <scheme val="minor"/>
    </font>
    <font>
      <sz val="12"/>
      <color auto="1"/>
      <name val="Arial"/>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10"/>
      <color auto="1"/>
      <name val="Tahoma"/>
    </font>
    <font>
      <sz val="9"/>
      <color auto="1"/>
      <name val="Tahoma"/>
    </font>
    <font>
      <sz val="8"/>
      <color auto="1"/>
      <name val="Palatino"/>
    </font>
    <font>
      <u/>
      <sz val="10"/>
      <color rgb="FF800080"/>
      <name val="Arial Cyr"/>
    </font>
    <font>
      <u/>
      <sz val="10"/>
      <color rgb="FF0000FF"/>
      <name val="Arial Cyr"/>
    </font>
    <font>
      <sz val="8"/>
      <color auto="1"/>
      <name val="Helv"/>
    </font>
    <font>
      <sz val="11"/>
      <color auto="1"/>
      <name val="Tahoma"/>
    </font>
    <font>
      <sz val="11"/>
      <color rgb="FF000080"/>
      <name val="Calibri"/>
    </font>
    <font>
      <u/>
      <sz val="9"/>
      <color rgb="FF333399"/>
      <name val="Tahoma"/>
    </font>
    <font>
      <b/>
      <u/>
      <sz val="11"/>
      <color rgb="FF0000FF"/>
      <name val="Arial"/>
    </font>
    <font>
      <u/>
      <sz val="9"/>
      <color rgb="FF0000FF"/>
      <name val="Tahoma"/>
    </font>
    <font>
      <u/>
      <sz val="9"/>
      <color rgb="FF000080"/>
      <name val="Tahoma"/>
    </font>
    <font>
      <b/>
      <u/>
      <sz val="9"/>
      <color rgb="FF0000FF"/>
      <name val="Tahoma"/>
    </font>
    <font>
      <b/>
      <sz val="14"/>
      <color auto="1"/>
      <name val="Franklin Gothic Medium"/>
    </font>
    <font>
      <b/>
      <sz val="9"/>
      <color auto="1"/>
      <name val="Tahoma"/>
    </font>
    <font>
      <sz val="11"/>
      <color rgb="FF000000"/>
      <name val="Calibri"/>
    </font>
    <font>
      <sz val="10"/>
      <color auto="1"/>
      <name val="Arial Cyr"/>
    </font>
    <font>
      <sz val="9"/>
      <color rgb="FF00FF00"/>
      <name val="Tahoma"/>
    </font>
    <font>
      <sz val="11"/>
      <color rgb="FF333333"/>
      <name val="Calibri"/>
    </font>
    <font>
      <sz val="8"/>
      <color auto="1"/>
      <name val="Verdana"/>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9"/>
      <color theme="0"/>
      <name val="Tahoma"/>
    </font>
    <font>
      <sz val="1"/>
      <color theme="0"/>
      <name val="Tahoma"/>
    </font>
    <font>
      <b/>
      <sz val="1"/>
      <color theme="0"/>
      <name val="Calibri"/>
    </font>
    <font>
      <sz val="8"/>
      <color rgb="FFBCBCBC"/>
      <name val="Tahoma"/>
    </font>
    <font>
      <sz val="12"/>
      <color rgb="FF000000"/>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b/>
      <sz val="8"/>
      <color rgb="FFC0C0C0"/>
      <name val="Wingdings 2"/>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u/>
      <sz val="9"/>
      <color auto="1"/>
      <name val="Tahoma"/>
    </font>
    <font>
      <u/>
      <sz val="9"/>
      <color theme="0"/>
      <name val="Tahoma"/>
    </font>
    <font>
      <u/>
      <sz val="1"/>
      <color theme="0"/>
      <name val="Tahoma"/>
    </font>
    <font>
      <u/>
      <sz val="9"/>
      <color rgb="FF000000"/>
      <name val="Tahoma"/>
    </font>
    <font>
      <u/>
      <sz val="8"/>
      <color auto="1"/>
      <name val="Tahoma"/>
    </font>
    <font>
      <u/>
      <sz val="1"/>
      <color rgb="FF000000"/>
      <name val="Tahoma"/>
    </font>
  </fonts>
  <fills count="60">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FFFFC0"/>
      </patternFill>
    </fill>
    <fill>
      <patternFill patternType="solid">
        <fgColor rgb="FFC0C0C0"/>
      </patternFill>
    </fill>
    <fill>
      <patternFill patternType="solid">
        <fgColor rgb="FF969696"/>
      </patternFill>
    </fill>
    <fill>
      <patternFill patternType="solid">
        <fgColor rgb="FFBCBCBC"/>
      </patternFill>
    </fill>
    <fill>
      <patternFill patternType="solid">
        <fgColor rgb="FFFFFFFF"/>
      </patternFill>
    </fill>
    <fill>
      <patternFill patternType="solid">
        <fgColor rgb="FF00FF00"/>
      </patternFill>
    </fill>
    <fill>
      <patternFill patternType="solid">
        <fgColor rgb="FF000000"/>
      </patternFill>
    </fill>
    <fill>
      <patternFill patternType="solid">
        <fgColor rgb="FFCCFFCC"/>
      </patternFill>
    </fill>
    <fill>
      <patternFill patternType="solid">
        <fgColor rgb="FFD7EAD3"/>
      </patternFill>
    </fill>
    <fill>
      <patternFill patternType="solid">
        <fgColor rgb="FFFFB7B7"/>
      </patternFill>
    </fill>
    <fill>
      <patternFill patternType="lightDown">
        <fgColor rgb="FFC0C0C0"/>
      </patternFill>
    </fill>
    <fill>
      <patternFill patternType="solid">
        <fgColor rgb="FFE3FAFD"/>
      </patternFill>
    </fill>
    <fill>
      <patternFill patternType="solid">
        <fgColor rgb="FFB7E4FF"/>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EAEBEE"/>
      </patternFill>
    </fill>
  </fills>
  <borders count="81">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style="thin">
        <color rgb="FF808080"/>
      </left>
      <right style="thin">
        <color rgb="FF808080"/>
      </right>
      <top style="thin">
        <color rgb="FF808080"/>
      </top>
      <bottom style="thin">
        <color rgb="FF808080"/>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BCBCBC"/>
      </left>
      <right style="thin">
        <color rgb="FFBCBCBC"/>
      </right>
      <top style="thin">
        <color rgb="FFBCBCBC"/>
      </top>
      <bottom style="thin">
        <color rgb="FFBCBCBC"/>
      </bottom>
    </border>
    <border>
      <left style="thick">
        <color rgb="FF808080"/>
      </left>
      <right style="thick">
        <color rgb="FF808080"/>
      </right>
      <top style="thick">
        <color rgb="FF808080"/>
      </top>
      <bottom style="thick">
        <color rgb="FF808080"/>
      </bottom>
    </border>
    <border>
      <left style="thick">
        <color rgb="FFBCBCBC"/>
      </left>
      <right style="thick">
        <color rgb="FFBCBCBC"/>
      </right>
      <top style="thick">
        <color rgb="FFBCBCBC"/>
      </top>
      <bottom style="thick">
        <color rgb="FFBCBCBC"/>
      </bottom>
    </border>
    <border>
      <left style="thin">
        <color rgb="FF969696"/>
      </left>
      <right style="thin">
        <color rgb="FF969696"/>
      </right>
      <top style="thin">
        <color rgb="FF969696"/>
      </top>
      <bottom style="thin">
        <color rgb="FF969696"/>
      </bottom>
    </border>
    <border>
      <left style="thin">
        <color rgb="FF000000"/>
      </left>
      <right style="thin">
        <color rgb="FF000000"/>
      </right>
      <top style="thin">
        <color rgb="FF000000"/>
      </top>
      <bottom style="thin">
        <color rgb="FF000000"/>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96">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6" applyFont="1" applyFill="1" applyBorder="1">
      <alignment vertical="top"/>
    </xf>
    <xf numFmtId="0" fontId="13" fillId="0" borderId="7"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8" applyFont="0" applyFill="1" applyBorder="1">
      <alignment vertical="top"/>
    </xf>
    <xf numFmtId="0" fontId="16" fillId="27" borderId="9"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10" applyFont="1" applyFill="0" applyBorder="1">
      <alignment vertical="top"/>
    </xf>
    <xf numFmtId="0" fontId="19" fillId="0" borderId="0" applyFont="1" applyFill="0" applyBorder="0">
      <alignment vertical="top"/>
    </xf>
    <xf numFmtId="0" fontId="20" fillId="0" borderId="0" applyFont="1" applyFill="0" applyBorder="0"/>
    <xf numFmtId="166" fontId="20" fillId="0" borderId="0" applyFont="1" applyFill="0" applyBorder="0" applyNumberFormat="1"/>
    <xf numFmtId="38" fontId="21" fillId="0" borderId="0" applyFont="1" applyFill="0" applyBorder="0" applyNumberFormat="1">
      <alignment vertical="top"/>
    </xf>
    <xf numFmtId="0" fontId="22" fillId="0" borderId="6" applyFont="1" applyFill="0" applyBorder="1">
      <alignment vertical="top"/>
      <protection locked="0"/>
    </xf>
    <xf numFmtId="0" fontId="22" fillId="0" borderId="11" applyFont="1" applyFill="0" applyBorder="1">
      <alignment vertical="top"/>
      <protection locked="0"/>
    </xf>
    <xf numFmtId="168" fontId="23" fillId="33" borderId="0" applyFont="1" applyFill="1" applyBorder="0" applyNumberFormat="1">
      <protection locked="0"/>
    </xf>
    <xf numFmtId="168" fontId="23" fillId="34" borderId="0" applyFont="1" applyFill="1" applyBorder="0" applyNumberFormat="1">
      <protection locked="0"/>
    </xf>
    <xf numFmtId="0" fontId="24" fillId="0" borderId="0" applyFont="1" applyFill="0" applyBorder="0">
      <alignment vertical="center"/>
    </xf>
    <xf numFmtId="165" fontId="23" fillId="33" borderId="0" applyFont="1" applyFill="1" applyBorder="0" applyNumberFormat="1">
      <protection locked="0"/>
    </xf>
    <xf numFmtId="165" fontId="23" fillId="34" borderId="0" applyFont="1" applyFill="1" applyBorder="0" applyNumberFormat="1">
      <protection locked="0"/>
    </xf>
    <xf numFmtId="169" fontId="23" fillId="33" borderId="0" applyFont="1" applyFill="1" applyBorder="0" applyNumberFormat="1">
      <protection locked="0"/>
    </xf>
    <xf numFmtId="169" fontId="23" fillId="34" borderId="0" applyFont="1" applyFill="1" applyBorder="0" applyNumberFormat="1">
      <protection locked="0"/>
    </xf>
    <xf numFmtId="0" fontId="25" fillId="0" borderId="0" applyFont="1" applyFill="0" applyBorder="0">
      <alignment vertical="top"/>
    </xf>
    <xf numFmtId="0" fontId="22" fillId="35" borderId="6" applyFont="1" applyFill="1" applyBorder="1">
      <alignment vertical="top"/>
    </xf>
    <xf numFmtId="0" fontId="22" fillId="35" borderId="11" applyFont="1" applyFill="1" applyBorder="1">
      <alignment vertical="top"/>
    </xf>
    <xf numFmtId="0" fontId="26" fillId="0" borderId="0" applyFont="1" applyFill="0" applyBorder="0">
      <alignment vertical="top"/>
    </xf>
    <xf numFmtId="0" fontId="27" fillId="0" borderId="0" applyFont="1" applyFill="0" applyBorder="0"/>
    <xf numFmtId="0" fontId="28" fillId="36" borderId="12" applyFont="1" applyFill="1" applyBorder="1">
      <alignment horizontal="center" vertical="center"/>
    </xf>
    <xf numFmtId="0" fontId="28" fillId="37" borderId="13" applyFont="1" applyFill="1" applyBorder="1">
      <alignment horizontal="center" vertical="center"/>
    </xf>
    <xf numFmtId="0" fontId="12" fillId="30" borderId="6" applyFont="1" applyFill="1" applyBorder="1">
      <alignment vertical="top"/>
    </xf>
    <xf numFmtId="0" fontId="29" fillId="30" borderId="11" applyFont="1" applyFill="1" applyBorder="1">
      <alignment vertical="top"/>
    </xf>
    <xf numFmtId="0" fontId="30" fillId="0" borderId="0" applyFont="1" applyFill="0" applyBorder="0">
      <alignment vertical="top"/>
    </xf>
    <xf numFmtId="0" fontId="31" fillId="0" borderId="0" applyFont="1" applyFill="0" applyBorder="0">
      <alignment vertical="top"/>
    </xf>
    <xf numFmtId="0" fontId="32" fillId="0" borderId="0" applyFont="1" applyFill="0" applyBorder="0">
      <alignment vertical="top"/>
    </xf>
    <xf numFmtId="0" fontId="33" fillId="0" borderId="0" applyFont="1" applyFill="0" applyBorder="0">
      <alignment vertical="top"/>
    </xf>
    <xf numFmtId="0" fontId="34" fillId="0" borderId="0" applyFont="1" applyFill="0" applyBorder="0">
      <alignment vertical="top"/>
    </xf>
    <xf numFmtId="0" fontId="6" fillId="38" borderId="14" applyFont="0" applyFill="1" applyBorder="1">
      <alignment vertical="top"/>
    </xf>
    <xf numFmtId="0" fontId="6" fillId="38" borderId="11" applyFont="0" applyFill="1" applyBorder="1">
      <alignment vertical="top"/>
    </xf>
    <xf numFmtId="0" fontId="35" fillId="0" borderId="0" applyFont="1" applyFill="0" applyBorder="0">
      <alignment horizontal="center" vertical="center" wrapText="1"/>
    </xf>
    <xf numFmtId="0" fontId="36" fillId="0" borderId="0" applyFont="1" applyFill="0" applyBorder="0">
      <alignment horizontal="center" vertical="center" wrapText="1"/>
    </xf>
    <xf numFmtId="4" fontId="23" fillId="33" borderId="0" applyFont="1" applyFill="1" applyBorder="0" applyNumberFormat="1">
      <alignment horizontal="right"/>
    </xf>
    <xf numFmtId="4" fontId="23" fillId="34" borderId="0" applyFont="1" applyFill="1" applyBorder="0" applyNumberFormat="1">
      <alignment horizontal="right"/>
    </xf>
    <xf numFmtId="49" fontId="23" fillId="0" borderId="0" applyFont="1" applyFill="0" applyBorder="0" applyNumberFormat="1">
      <alignment vertical="top"/>
    </xf>
    <xf numFmtId="0" fontId="1" fillId="0" borderId="0" applyFont="1" applyFill="0" applyBorder="0"/>
    <xf numFmtId="0" fontId="37" fillId="0" borderId="0" applyFont="1" applyFill="0" applyBorder="0"/>
    <xf numFmtId="49" fontId="0" fillId="0" borderId="0" applyFont="1" applyFill="0" applyBorder="0" applyNumberFormat="1">
      <alignment vertical="top"/>
    </xf>
    <xf numFmtId="0" fontId="38" fillId="0" borderId="0" applyFont="1" applyFill="0" applyBorder="0"/>
    <xf numFmtId="49" fontId="39" fillId="0" borderId="0" applyFont="1" applyFill="0" applyBorder="0" applyNumberFormat="1">
      <alignment vertical="top"/>
    </xf>
    <xf numFmtId="0" fontId="39" fillId="39" borderId="0" applyFont="1" applyFill="1" applyBorder="0">
      <alignment vertical="top"/>
    </xf>
    <xf numFmtId="0" fontId="0" fillId="40" borderId="0" applyFont="1" applyFill="1" applyBorder="0">
      <alignment vertical="top"/>
    </xf>
    <xf numFmtId="49" fontId="0" fillId="38" borderId="0" applyFont="1" applyFill="1" applyBorder="0" applyNumberFormat="1">
      <alignment vertical="top"/>
    </xf>
    <xf numFmtId="49" fontId="23" fillId="39" borderId="0" applyFont="1" applyFill="1" applyBorder="0" applyNumberFormat="1">
      <alignment vertical="top"/>
    </xf>
    <xf numFmtId="49" fontId="23" fillId="40" borderId="0" applyFont="1" applyFill="1" applyBorder="0" applyNumberFormat="1">
      <alignment vertical="top"/>
    </xf>
    <xf numFmtId="0" fontId="40" fillId="0" borderId="0" applyFont="1" applyFill="0" applyBorder="0"/>
    <xf numFmtId="0" fontId="23" fillId="0" borderId="0" applyFont="1" applyFill="0" applyBorder="0">
      <alignment horizontal="left" vertical="center"/>
    </xf>
    <xf numFmtId="0" fontId="41" fillId="0" borderId="0" applyFont="1" applyFill="0" applyBorder="0"/>
    <xf numFmtId="0" fontId="42" fillId="0" borderId="0" applyFont="1" applyFill="0" applyBorder="0">
      <alignment vertical="top"/>
    </xf>
    <xf numFmtId="4" fontId="23" fillId="41" borderId="0" applyFont="1" applyFill="1" applyBorder="0" applyNumberFormat="1">
      <alignment horizontal="right"/>
    </xf>
  </cellStyleXfs>
  <cellXfs count="7681">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42"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6" xfId="38" applyFont="1" applyFill="1" applyBorder="1">
      <alignment vertical="top"/>
    </xf>
    <xf numFmtId="0" fontId="13" fillId="0" borderId="7" xfId="39" applyFont="1" applyBorder="1">
      <alignment vertical="top"/>
    </xf>
    <xf numFmtId="0" fontId="14" fillId="31" borderId="0" xfId="40" applyFont="1" applyFill="1">
      <alignment vertical="top"/>
    </xf>
    <xf numFmtId="0" fontId="15" fillId="0" borderId="0" xfId="41" applyFont="1">
      <alignment vertical="top"/>
    </xf>
    <xf numFmtId="0" fontId="6" fillId="32" borderId="8" xfId="42" applyFill="1" applyBorder="1">
      <alignment vertical="top"/>
    </xf>
    <xf numFmtId="0" fontId="16" fillId="27" borderId="9" xfId="43" applyFont="1" applyFill="1" applyBorder="1">
      <alignment vertical="top"/>
    </xf>
    <xf numFmtId="9" fontId="6" fillId="0" borderId="0" xfId="44" applyNumberFormat="1">
      <alignment vertical="top"/>
    </xf>
    <xf numFmtId="0" fontId="17" fillId="0" borderId="0" xfId="45" applyFont="1">
      <alignment vertical="top"/>
    </xf>
    <xf numFmtId="0" fontId="18" fillId="0" borderId="10" xfId="46" applyFont="1" applyBorder="1">
      <alignment vertical="top"/>
    </xf>
    <xf numFmtId="0" fontId="19" fillId="0" borderId="0" xfId="47" applyFont="1">
      <alignment vertical="top"/>
    </xf>
    <xf numFmtId="0" fontId="20" fillId="0" borderId="0" xfId="48" applyFont="1"/>
    <xf numFmtId="166" fontId="20" fillId="0" borderId="0" xfId="49" applyFont="1" applyNumberFormat="1"/>
    <xf numFmtId="38" fontId="21" fillId="0" borderId="0" xfId="50" applyFont="1" applyNumberFormat="1">
      <alignment vertical="top"/>
    </xf>
    <xf numFmtId="0" fontId="22" fillId="0" borderId="6" xfId="51" applyFont="1" applyBorder="1">
      <alignment vertical="top"/>
      <protection locked="0"/>
    </xf>
    <xf numFmtId="0" fontId="22" fillId="0" borderId="11" xfId="52" applyFont="1" applyBorder="1">
      <alignment vertical="top"/>
      <protection locked="0"/>
    </xf>
    <xf numFmtId="168" fontId="23" fillId="33" borderId="0" xfId="53" applyFont="1" applyFill="1" applyNumberFormat="1">
      <protection locked="0"/>
    </xf>
    <xf numFmtId="168" fontId="23" fillId="34" borderId="0" xfId="54" applyFont="1" applyFill="1" applyNumberFormat="1">
      <protection locked="0"/>
    </xf>
    <xf numFmtId="0" fontId="24" fillId="0" borderId="0" xfId="55" applyFont="1">
      <alignment vertical="center"/>
    </xf>
    <xf numFmtId="165" fontId="23" fillId="33" borderId="0" xfId="56" applyFont="1" applyFill="1" applyNumberFormat="1">
      <protection locked="0"/>
    </xf>
    <xf numFmtId="165" fontId="23" fillId="34" borderId="0" xfId="57" applyFont="1" applyFill="1" applyNumberFormat="1">
      <protection locked="0"/>
    </xf>
    <xf numFmtId="169" fontId="23" fillId="33" borderId="0" xfId="58" applyFont="1" applyFill="1" applyNumberFormat="1">
      <protection locked="0"/>
    </xf>
    <xf numFmtId="169" fontId="23" fillId="34" borderId="0" xfId="59" applyFont="1" applyFill="1" applyNumberFormat="1">
      <protection locked="0"/>
    </xf>
    <xf numFmtId="0" fontId="25" fillId="0" borderId="0" xfId="60" applyFont="1">
      <alignment vertical="top"/>
    </xf>
    <xf numFmtId="0" fontId="22" fillId="35" borderId="6" xfId="61" applyFont="1" applyFill="1" applyBorder="1">
      <alignment vertical="top"/>
    </xf>
    <xf numFmtId="0" fontId="22" fillId="35" borderId="11" xfId="62" applyFont="1" applyFill="1" applyBorder="1">
      <alignment vertical="top"/>
    </xf>
    <xf numFmtId="0" fontId="26" fillId="0" borderId="0" xfId="63" applyFont="1">
      <alignment vertical="top"/>
    </xf>
    <xf numFmtId="0" fontId="27" fillId="0" borderId="0" xfId="64" applyFont="1"/>
    <xf numFmtId="0" fontId="28" fillId="36" borderId="12" xfId="65" applyFont="1" applyFill="1" applyBorder="1">
      <alignment horizontal="center" vertical="center"/>
    </xf>
    <xf numFmtId="0" fontId="28" fillId="37" borderId="13" xfId="66" applyFont="1" applyFill="1" applyBorder="1">
      <alignment horizontal="center" vertical="center"/>
    </xf>
    <xf numFmtId="0" fontId="12" fillId="30" borderId="6" xfId="67" applyFont="1" applyFill="1" applyBorder="1">
      <alignment vertical="top"/>
    </xf>
    <xf numFmtId="0" fontId="29" fillId="30" borderId="11" xfId="68" applyFont="1" applyFill="1" applyBorder="1">
      <alignment vertical="top"/>
    </xf>
    <xf numFmtId="0" fontId="30" fillId="0" borderId="0" xfId="69" applyFont="1">
      <alignment vertical="top"/>
    </xf>
    <xf numFmtId="0" fontId="31" fillId="0" borderId="0" xfId="70" applyFont="1">
      <alignment vertical="top"/>
    </xf>
    <xf numFmtId="0" fontId="32" fillId="0" borderId="0" xfId="71" applyFont="1">
      <alignment vertical="top"/>
    </xf>
    <xf numFmtId="0" fontId="33" fillId="0" borderId="0" xfId="72" applyFont="1">
      <alignment vertical="top"/>
    </xf>
    <xf numFmtId="0" fontId="34" fillId="0" borderId="0" xfId="73" applyFont="1">
      <alignment vertical="top"/>
    </xf>
    <xf numFmtId="0" fontId="6" fillId="38" borderId="14" xfId="74" applyFill="1" applyBorder="1">
      <alignment vertical="top"/>
    </xf>
    <xf numFmtId="0" fontId="6" fillId="38" borderId="11" xfId="75" applyFill="1" applyBorder="1">
      <alignment vertical="top"/>
    </xf>
    <xf numFmtId="0" fontId="35" fillId="0" borderId="0" xfId="76" applyFont="1">
      <alignment horizontal="center" vertical="center" wrapText="1"/>
    </xf>
    <xf numFmtId="0" fontId="36" fillId="0" borderId="0" xfId="77" applyFont="1">
      <alignment horizontal="center" vertical="center" wrapText="1"/>
    </xf>
    <xf numFmtId="4" fontId="23" fillId="33" borderId="0" xfId="78" applyFont="1" applyFill="1" applyNumberFormat="1">
      <alignment horizontal="right"/>
    </xf>
    <xf numFmtId="4" fontId="23" fillId="34" borderId="0" xfId="79" applyFont="1" applyFill="1" applyNumberFormat="1">
      <alignment horizontal="right"/>
    </xf>
    <xf numFmtId="49" fontId="23" fillId="0" borderId="0" xfId="80" applyFont="1" applyNumberFormat="1">
      <alignment vertical="top"/>
    </xf>
    <xf numFmtId="0" fontId="1" fillId="0" borderId="0" xfId="81" applyFont="1"/>
    <xf numFmtId="0" fontId="37" fillId="0" borderId="0" xfId="82" applyFont="1"/>
    <xf numFmtId="49" fontId="0" fillId="0" borderId="0" xfId="83" applyFont="1" applyNumberFormat="1">
      <alignment vertical="top"/>
    </xf>
    <xf numFmtId="0" fontId="38" fillId="0" borderId="0" xfId="84" applyFont="1"/>
    <xf numFmtId="49" fontId="39" fillId="0" borderId="0" xfId="85" applyFont="1" applyNumberFormat="1">
      <alignment vertical="top"/>
    </xf>
    <xf numFmtId="0" fontId="39" fillId="39" borderId="0" xfId="86" applyFont="1" applyFill="1">
      <alignment vertical="top"/>
    </xf>
    <xf numFmtId="0" fontId="0" fillId="40" borderId="0" xfId="87" applyFont="1" applyFill="1">
      <alignment vertical="top"/>
    </xf>
    <xf numFmtId="49" fontId="0" fillId="38" borderId="0" xfId="88" applyFont="1" applyFill="1" applyNumberFormat="1">
      <alignment vertical="top"/>
    </xf>
    <xf numFmtId="49" fontId="23" fillId="39" borderId="0" xfId="89" applyFont="1" applyFill="1" applyNumberFormat="1">
      <alignment vertical="top"/>
    </xf>
    <xf numFmtId="49" fontId="23" fillId="40" borderId="0" xfId="90" applyFont="1" applyFill="1" applyNumberFormat="1">
      <alignment vertical="top"/>
    </xf>
    <xf numFmtId="0" fontId="40" fillId="0" borderId="0" xfId="91" applyFont="1"/>
    <xf numFmtId="0" fontId="23" fillId="0" borderId="0" xfId="92" applyFont="1">
      <alignment horizontal="left" vertical="center"/>
    </xf>
    <xf numFmtId="0" fontId="41" fillId="0" borderId="0" xfId="93" applyFont="1"/>
    <xf numFmtId="0" fontId="42" fillId="0" borderId="0" xfId="94" applyFont="1">
      <alignment vertical="top"/>
    </xf>
    <xf numFmtId="4" fontId="23" fillId="41" borderId="0" xfId="95" applyFont="1" applyFill="1" applyNumberFormat="1">
      <alignment horizontal="right"/>
    </xf>
    <xf numFmtId="49" fontId="0" fillId="0" borderId="0" xfId="0" applyFont="1" applyNumberFormat="1">
      <alignment vertical="top"/>
    </xf>
    <xf numFmtId="0" fontId="1" fillId="2" borderId="0" xfId="1" applyFont="1" applyFill="1" applyNumberFormat="1">
      <alignment vertical="top"/>
    </xf>
    <xf numFmtId="0" fontId="1" fillId="3" borderId="0" xfId="2" applyFont="1" applyFill="1" applyNumberFormat="1">
      <alignment vertical="top"/>
    </xf>
    <xf numFmtId="0" fontId="1" fillId="4" borderId="0" xfId="3" applyFont="1" applyFill="1" applyNumberFormat="1">
      <alignment vertical="top"/>
    </xf>
    <xf numFmtId="0" fontId="1" fillId="5" borderId="0" xfId="4" applyFont="1" applyFill="1" applyNumberFormat="1">
      <alignment vertical="top"/>
    </xf>
    <xf numFmtId="0" fontId="1" fillId="6" borderId="0" xfId="5" applyFont="1" applyFill="1" applyNumberFormat="1">
      <alignment vertical="top"/>
    </xf>
    <xf numFmtId="0" fontId="1" fillId="7" borderId="0" xfId="6" applyFont="1" applyFill="1" applyNumberFormat="1">
      <alignment vertical="top"/>
    </xf>
    <xf numFmtId="0" fontId="1" fillId="8" borderId="0" xfId="7" applyFont="1" applyFill="1" applyNumberFormat="1">
      <alignment vertical="top"/>
    </xf>
    <xf numFmtId="0" fontId="1" fillId="9" borderId="0" xfId="8" applyFont="1" applyFill="1" applyNumberFormat="1">
      <alignment vertical="top"/>
    </xf>
    <xf numFmtId="0" fontId="1" fillId="10" borderId="0" xfId="9" applyFont="1" applyFill="1" applyNumberFormat="1">
      <alignment vertical="top"/>
    </xf>
    <xf numFmtId="0" fontId="1" fillId="11" borderId="0" xfId="10" applyFont="1" applyFill="1" applyNumberFormat="1">
      <alignment vertical="top"/>
    </xf>
    <xf numFmtId="0" fontId="1" fillId="12" borderId="0" xfId="11" applyFont="1" applyFill="1" applyNumberFormat="1">
      <alignment vertical="top"/>
    </xf>
    <xf numFmtId="0" fontId="1" fillId="13" borderId="0" xfId="12" applyFont="1" applyFill="1" applyNumberFormat="1">
      <alignment vertical="top"/>
    </xf>
    <xf numFmtId="0" fontId="2" fillId="14" borderId="0" xfId="13" applyFont="1" applyFill="1" applyNumberFormat="1">
      <alignment vertical="top"/>
    </xf>
    <xf numFmtId="0" fontId="2" fillId="15" borderId="0" xfId="14" applyFont="1" applyFill="1" applyNumberFormat="1">
      <alignment vertical="top"/>
    </xf>
    <xf numFmtId="0" fontId="2" fillId="16" borderId="0" xfId="15" applyFont="1" applyFill="1" applyNumberFormat="1">
      <alignment vertical="top"/>
    </xf>
    <xf numFmtId="0" fontId="2" fillId="17" borderId="0" xfId="16" applyFont="1" applyFill="1" applyNumberFormat="1">
      <alignment vertical="top"/>
    </xf>
    <xf numFmtId="0" fontId="2" fillId="18" borderId="0" xfId="17" applyFont="1" applyFill="1" applyNumberFormat="1">
      <alignment vertical="top"/>
    </xf>
    <xf numFmtId="0" fontId="2" fillId="19" borderId="0" xfId="18" applyFont="1" applyFill="1" applyNumberFormat="1">
      <alignment vertical="top"/>
    </xf>
    <xf numFmtId="0" fontId="2" fillId="20" borderId="0" xfId="19" applyFont="1" applyFill="1" applyNumberFormat="1">
      <alignment vertical="top"/>
    </xf>
    <xf numFmtId="0" fontId="2" fillId="21" borderId="0" xfId="20" applyFont="1" applyFill="1" applyNumberFormat="1">
      <alignment vertical="top"/>
    </xf>
    <xf numFmtId="0" fontId="2" fillId="22" borderId="0" xfId="21" applyFont="1" applyFill="1" applyNumberFormat="1">
      <alignment vertical="top"/>
    </xf>
    <xf numFmtId="0" fontId="2" fillId="23" borderId="0" xfId="22" applyFont="1" applyFill="1" applyNumberFormat="1">
      <alignment vertical="top"/>
    </xf>
    <xf numFmtId="0" fontId="2" fillId="24" borderId="0" xfId="23" applyFont="1" applyFill="1" applyNumberFormat="1">
      <alignment vertical="top"/>
    </xf>
    <xf numFmtId="0" fontId="2" fillId="25" borderId="0" xfId="24" applyFont="1" applyFill="1" applyNumberFormat="1">
      <alignment vertical="top"/>
    </xf>
    <xf numFmtId="0" fontId="3" fillId="26" borderId="0" xfId="25" applyFont="1" applyFill="1" applyNumberFormat="1">
      <alignment vertical="top"/>
    </xf>
    <xf numFmtId="0" fontId="4" fillId="27" borderId="1" xfId="26" applyFont="1" applyFill="1" applyBorder="1" applyNumberFormat="1">
      <alignment vertical="top"/>
    </xf>
    <xf numFmtId="0" fontId="5" fillId="28" borderId="2" xfId="27" applyFont="1" applyFill="1" applyBorder="1" applyNumberFormat="1">
      <alignment vertical="top"/>
    </xf>
    <xf numFmtId="43" fontId="37" fillId="0" borderId="0" xfId="28" applyFont="1" applyNumberFormat="1">
      <alignment vertical="top"/>
    </xf>
    <xf numFmtId="41" fontId="37" fillId="0" borderId="0" xfId="29" applyFont="1" applyNumberFormat="1">
      <alignment vertical="top"/>
    </xf>
    <xf numFmtId="44" fontId="37" fillId="0" borderId="0" xfId="30" applyFont="1" applyNumberFormat="1">
      <alignment vertical="top"/>
    </xf>
    <xf numFmtId="42" fontId="37" fillId="0" borderId="0" xfId="31" applyFont="1" applyNumberFormat="1">
      <alignment vertical="top"/>
    </xf>
    <xf numFmtId="0" fontId="7" fillId="0" borderId="0" xfId="32" applyFont="1" applyNumberFormat="1">
      <alignment vertical="top"/>
    </xf>
    <xf numFmtId="0" fontId="8" fillId="29" borderId="0" xfId="33" applyFont="1" applyFill="1" applyNumberFormat="1">
      <alignment vertical="top"/>
    </xf>
    <xf numFmtId="0" fontId="9" fillId="0" borderId="3" xfId="34" applyFont="1" applyBorder="1" applyNumberFormat="1">
      <alignment vertical="top"/>
    </xf>
    <xf numFmtId="0" fontId="10" fillId="0" borderId="4" xfId="35" applyFont="1" applyBorder="1" applyNumberFormat="1">
      <alignment vertical="top"/>
    </xf>
    <xf numFmtId="0" fontId="11" fillId="0" borderId="5" xfId="36" applyFont="1" applyBorder="1" applyNumberFormat="1">
      <alignment vertical="top"/>
    </xf>
    <xf numFmtId="0" fontId="11" fillId="0" borderId="0" xfId="37" applyFont="1" applyNumberFormat="1">
      <alignment vertical="top"/>
    </xf>
    <xf numFmtId="0" fontId="12" fillId="30" borderId="6" xfId="38" applyFont="1" applyFill="1" applyBorder="1" applyNumberFormat="1">
      <alignment vertical="top"/>
    </xf>
    <xf numFmtId="0" fontId="13" fillId="0" borderId="7" xfId="39" applyFont="1" applyBorder="1" applyNumberFormat="1">
      <alignment vertical="top"/>
    </xf>
    <xf numFmtId="0" fontId="14" fillId="31" borderId="0" xfId="40" applyFont="1" applyFill="1" applyNumberFormat="1">
      <alignment vertical="top"/>
    </xf>
    <xf numFmtId="0" fontId="37" fillId="32" borderId="8" xfId="42" applyFont="1" applyFill="1" applyBorder="1" applyNumberFormat="1">
      <alignment vertical="top"/>
    </xf>
    <xf numFmtId="0" fontId="16" fillId="27" borderId="9" xfId="43" applyFont="1" applyFill="1" applyBorder="1" applyNumberFormat="1">
      <alignment vertical="top"/>
    </xf>
    <xf numFmtId="9" fontId="37" fillId="0" borderId="0" xfId="44" applyFont="1" applyNumberFormat="1">
      <alignment vertical="top"/>
    </xf>
    <xf numFmtId="0" fontId="17" fillId="0" borderId="0" xfId="45" applyFont="1" applyNumberFormat="1">
      <alignment vertical="top"/>
    </xf>
    <xf numFmtId="0" fontId="18" fillId="0" borderId="10" xfId="46" applyFont="1" applyBorder="1" applyNumberFormat="1">
      <alignment vertical="top"/>
    </xf>
    <xf numFmtId="0" fontId="19" fillId="0" borderId="0" xfId="47" applyFont="1" applyNumberFormat="1">
      <alignment vertical="top"/>
    </xf>
    <xf numFmtId="0" fontId="20" fillId="0" borderId="0" xfId="0" applyFont="1" applyNumberFormat="1"/>
    <xf numFmtId="166" fontId="20" fillId="0" borderId="0" xfId="0" applyFont="1" applyNumberFormat="1"/>
    <xf numFmtId="0" fontId="20" fillId="0" borderId="0" xfId="0" applyFont="1" applyNumberFormat="1"/>
    <xf numFmtId="38" fontId="21" fillId="0" borderId="0" xfId="0" applyFont="1" applyNumberFormat="1">
      <alignment vertical="top"/>
    </xf>
    <xf numFmtId="0" fontId="22" fillId="0" borderId="6" xfId="51" applyFont="1" applyBorder="1" applyNumberFormat="1">
      <alignment vertical="top"/>
      <protection locked="0"/>
    </xf>
    <xf numFmtId="0" fontId="22" fillId="0" borderId="11" xfId="52" applyFont="1" applyBorder="1" applyNumberFormat="1">
      <alignment vertical="top"/>
      <protection locked="0"/>
    </xf>
    <xf numFmtId="0" fontId="24" fillId="0" borderId="0" xfId="0" applyFont="1" applyNumberFormat="1">
      <alignment vertical="center"/>
    </xf>
    <xf numFmtId="0" fontId="24" fillId="0" borderId="0" xfId="0" applyFont="1" applyNumberFormat="1">
      <alignment vertical="center"/>
    </xf>
    <xf numFmtId="0" fontId="25" fillId="0" borderId="0" xfId="60" applyFont="1" applyNumberFormat="1">
      <alignment vertical="top"/>
    </xf>
    <xf numFmtId="0" fontId="25" fillId="0" borderId="0" xfId="0" applyFont="1" applyNumberFormat="1">
      <alignment vertical="top"/>
    </xf>
    <xf numFmtId="0" fontId="22" fillId="35" borderId="6" xfId="61" applyFont="1" applyFill="1" applyBorder="1" applyNumberFormat="1">
      <alignment vertical="top"/>
    </xf>
    <xf numFmtId="0" fontId="22" fillId="35" borderId="11" xfId="62" applyFont="1" applyFill="1" applyBorder="1" applyNumberFormat="1">
      <alignment vertical="top"/>
    </xf>
    <xf numFmtId="0" fontId="26" fillId="0" borderId="0" xfId="63" applyFont="1" applyNumberFormat="1">
      <alignment vertical="top"/>
    </xf>
    <xf numFmtId="0" fontId="15" fillId="0" borderId="0" xfId="0" applyFont="1" applyNumberFormat="1">
      <alignment vertical="top"/>
    </xf>
    <xf numFmtId="0" fontId="27" fillId="0" borderId="0" xfId="64" applyFont="1" applyNumberFormat="1"/>
    <xf numFmtId="0" fontId="27" fillId="0" borderId="0" xfId="0" applyFont="1" applyNumberFormat="1"/>
    <xf numFmtId="0" fontId="28" fillId="36" borderId="12" xfId="65" applyFont="1" applyFill="1" applyBorder="1" applyNumberFormat="1">
      <alignment horizontal="center" vertical="center"/>
    </xf>
    <xf numFmtId="0" fontId="28" fillId="37" borderId="13" xfId="66" applyFont="1" applyFill="1" applyBorder="1" applyNumberFormat="1">
      <alignment horizontal="center" vertical="center"/>
    </xf>
    <xf numFmtId="0" fontId="12" fillId="30" borderId="6" xfId="0" applyFont="1" applyFill="1" applyBorder="1" applyNumberFormat="1">
      <alignment vertical="top"/>
    </xf>
    <xf numFmtId="0" fontId="29" fillId="30" borderId="11" xfId="0" applyFont="1" applyFill="1" applyBorder="1" applyNumberFormat="1">
      <alignment vertical="top"/>
    </xf>
    <xf numFmtId="0" fontId="30" fillId="0" borderId="0" xfId="0" applyFont="1" applyNumberFormat="1">
      <alignment vertical="top"/>
    </xf>
    <xf numFmtId="0" fontId="31" fillId="0" borderId="0" xfId="70" applyFont="1" applyNumberFormat="1">
      <alignment vertical="top"/>
    </xf>
    <xf numFmtId="0" fontId="32" fillId="0" borderId="0" xfId="71" applyFont="1" applyNumberFormat="1">
      <alignment vertical="top"/>
    </xf>
    <xf numFmtId="0" fontId="32" fillId="0" borderId="0" xfId="0" applyFont="1" applyNumberFormat="1">
      <alignment vertical="top"/>
    </xf>
    <xf numFmtId="0" fontId="33" fillId="0" borderId="0" xfId="72" applyFont="1" applyNumberFormat="1">
      <alignment vertical="top"/>
    </xf>
    <xf numFmtId="0" fontId="33" fillId="0" borderId="0" xfId="0" applyFont="1" applyNumberFormat="1">
      <alignment vertical="top"/>
    </xf>
    <xf numFmtId="0" fontId="31" fillId="0" borderId="0" xfId="0" applyFont="1" applyNumberFormat="1">
      <alignment vertical="top"/>
    </xf>
    <xf numFmtId="0" fontId="30" fillId="0" borderId="0" xfId="0" applyFont="1" applyNumberFormat="1">
      <alignment vertical="top"/>
    </xf>
    <xf numFmtId="0" fontId="34" fillId="0" borderId="0" xfId="73" applyFont="1" applyNumberFormat="1">
      <alignment vertical="top"/>
    </xf>
    <xf numFmtId="0" fontId="34" fillId="0" borderId="0" xfId="0" applyFont="1" applyNumberFormat="1">
      <alignment vertical="top"/>
    </xf>
    <xf numFmtId="0" fontId="37" fillId="38" borderId="14" xfId="74" applyFont="1" applyFill="1" applyBorder="1" applyNumberFormat="1">
      <alignment vertical="top"/>
    </xf>
    <xf numFmtId="0" fontId="37" fillId="38" borderId="11" xfId="75" applyFont="1" applyFill="1" applyBorder="1" applyNumberFormat="1">
      <alignment vertical="top"/>
    </xf>
    <xf numFmtId="0" fontId="35" fillId="0" borderId="0" xfId="0" applyFont="1" applyNumberFormat="1">
      <alignment horizontal="center" vertical="center" wrapText="1"/>
    </xf>
    <xf numFmtId="0" fontId="36" fillId="0" borderId="0" xfId="0" applyFont="1" applyNumberFormat="1">
      <alignment horizontal="center" vertical="center" wrapText="1"/>
    </xf>
    <xf numFmtId="0" fontId="1" fillId="0" borderId="0" xfId="0" applyFont="1" applyNumberFormat="1"/>
    <xf numFmtId="0" fontId="1" fillId="0" borderId="0" xfId="0" applyFont="1" applyNumberFormat="1"/>
    <xf numFmtId="0" fontId="37" fillId="0" borderId="0" xfId="0" applyFont="1" applyNumberFormat="1"/>
    <xf numFmtId="0" fontId="37" fillId="0" borderId="0" xfId="0" applyFont="1" applyNumberFormat="1"/>
    <xf numFmtId="49" fontId="0" fillId="0" borderId="0" xfId="0" applyFont="1" applyNumberFormat="1">
      <alignment vertical="top"/>
    </xf>
    <xf numFmtId="0" fontId="38" fillId="0" borderId="0" xfId="0" applyFont="1" applyNumberFormat="1"/>
    <xf numFmtId="0" fontId="38" fillId="0" borderId="0" xfId="0" applyFont="1" applyNumberFormat="1"/>
    <xf numFmtId="0" fontId="39" fillId="39" borderId="0" xfId="86" applyFont="1" applyFill="1" applyNumberFormat="1">
      <alignment vertical="top"/>
    </xf>
    <xf numFmtId="0" fontId="0" fillId="40" borderId="0" xfId="87" applyFont="1" applyFill="1" applyNumberFormat="1">
      <alignment vertical="top"/>
    </xf>
    <xf numFmtId="0" fontId="40" fillId="0" borderId="0" xfId="91" applyFont="1" applyNumberFormat="1"/>
    <xf numFmtId="0" fontId="40" fillId="0" borderId="0" xfId="0" applyFont="1" applyNumberFormat="1"/>
    <xf numFmtId="0" fontId="23" fillId="0" borderId="0" xfId="92" applyFont="1" applyNumberFormat="1">
      <alignment horizontal="left" vertical="center"/>
    </xf>
    <xf numFmtId="0" fontId="41" fillId="0" borderId="0" xfId="93" applyFont="1" applyNumberFormat="1"/>
    <xf numFmtId="0" fontId="42" fillId="0" borderId="0" xfId="94" applyFont="1" applyNumberFormat="1">
      <alignment vertical="top"/>
    </xf>
    <xf numFmtId="0" fontId="42" fillId="0" borderId="0" xfId="0" applyFont="1" applyNumberFormat="1">
      <alignment vertical="top"/>
    </xf>
    <xf numFmtId="0" fontId="23" fillId="0" borderId="0" xfId="0" applyFont="1" applyNumberFormat="1">
      <alignment vertical="top" wrapText="1"/>
    </xf>
    <xf numFmtId="49" fontId="0" fillId="0" borderId="0" xfId="0" applyFont="1" applyNumberFormat="1">
      <alignment vertical="top"/>
    </xf>
    <xf numFmtId="49" fontId="23" fillId="42" borderId="15" xfId="0" applyFont="1" applyFill="1" applyBorder="1" applyNumberFormat="1">
      <alignment horizontal="center" vertical="top"/>
    </xf>
    <xf numFmtId="49" fontId="0" fillId="0" borderId="0" xfId="0" applyFont="1" applyNumberFormat="1">
      <alignment vertical="top"/>
    </xf>
    <xf numFmtId="0" fontId="23" fillId="0" borderId="0" xfId="0" applyFont="1" applyNumberFormat="1"/>
    <xf numFmtId="0" fontId="23" fillId="38" borderId="0" xfId="0" applyFont="1" applyFill="1" applyNumberFormat="1"/>
    <xf numFmtId="0" fontId="43" fillId="0" borderId="0" xfId="92" applyFont="1" applyNumberFormat="1">
      <alignment vertical="center" wrapText="1"/>
    </xf>
    <xf numFmtId="0" fontId="44" fillId="0" borderId="0" xfId="92" applyFont="1" applyNumberFormat="1">
      <alignment vertical="center" wrapText="1"/>
    </xf>
    <xf numFmtId="0" fontId="23" fillId="38" borderId="0" xfId="92" applyFont="1" applyFill="1" applyNumberFormat="1">
      <alignment vertical="center" wrapText="1"/>
    </xf>
    <xf numFmtId="0" fontId="23" fillId="0" borderId="0" xfId="92" applyFont="1" applyNumberFormat="1">
      <alignment vertical="center" wrapText="1"/>
    </xf>
    <xf numFmtId="0" fontId="45" fillId="38" borderId="0" xfId="92" applyFont="1" applyFill="1" applyNumberFormat="1">
      <alignment vertical="center" wrapText="1"/>
    </xf>
    <xf numFmtId="0" fontId="23" fillId="38" borderId="0" xfId="92" applyFont="1" applyFill="1" applyNumberFormat="1">
      <alignment horizontal="right" vertical="center" wrapText="1" indent="1"/>
    </xf>
    <xf numFmtId="0" fontId="23" fillId="38" borderId="0" xfId="92" applyFont="1" applyFill="1" applyNumberFormat="1">
      <alignment horizontal="center" vertical="center" wrapText="1"/>
    </xf>
    <xf numFmtId="0" fontId="44" fillId="0" borderId="0" xfId="92" applyFont="1" applyNumberFormat="1">
      <alignment horizontal="center" vertical="center" wrapText="1"/>
    </xf>
    <xf numFmtId="0" fontId="46" fillId="38" borderId="0" xfId="92" applyFont="1" applyFill="1" applyNumberFormat="1">
      <alignment horizontal="center" vertical="center" wrapText="1"/>
    </xf>
    <xf numFmtId="0" fontId="23" fillId="0" borderId="0" xfId="92" applyFont="1" applyNumberFormat="1">
      <alignment vertical="center"/>
    </xf>
    <xf numFmtId="49" fontId="23" fillId="38" borderId="0" xfId="92" applyFont="1" applyFill="1" applyNumberFormat="1">
      <alignment horizontal="right" vertical="center" wrapText="1" indent="1"/>
    </xf>
    <xf numFmtId="49" fontId="45" fillId="38" borderId="0" xfId="92" applyFont="1" applyFill="1" applyNumberFormat="1">
      <alignment horizontal="center" vertical="center" wrapText="1"/>
    </xf>
    <xf numFmtId="49" fontId="0" fillId="43" borderId="0" xfId="0" applyFont="1" applyFill="1" applyNumberFormat="1">
      <alignment vertical="top"/>
    </xf>
    <xf numFmtId="0" fontId="23" fillId="0" borderId="0" xfId="0" applyFont="1" applyNumberFormat="1">
      <alignment vertical="center" wrapText="1"/>
    </xf>
    <xf numFmtId="0" fontId="23" fillId="38" borderId="0" xfId="0" applyFont="1" applyFill="1" applyNumberFormat="1">
      <alignment vertical="center" wrapText="1"/>
    </xf>
    <xf numFmtId="0" fontId="23" fillId="38" borderId="0" xfId="0" applyFont="1" applyFill="1" applyNumberFormat="1">
      <alignment horizontal="right" vertical="center" wrapText="1"/>
    </xf>
    <xf numFmtId="49" fontId="0" fillId="38" borderId="0" xfId="92" applyFont="1" applyFill="1" applyNumberFormat="1">
      <alignment horizontal="right" vertical="center" wrapText="1" indent="1"/>
    </xf>
    <xf numFmtId="49" fontId="47" fillId="38"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48" fillId="38" borderId="0" xfId="0" applyFont="1" applyFill="1" applyNumberFormat="1">
      <alignment horizontal="center" vertical="center" wrapText="1"/>
    </xf>
    <xf numFmtId="0" fontId="48" fillId="38" borderId="0" xfId="0" applyFont="1" applyFill="1" applyNumberFormat="1">
      <alignment horizontal="center"/>
    </xf>
    <xf numFmtId="0" fontId="48" fillId="0" borderId="0" xfId="0" applyFont="1" applyNumberFormat="1">
      <alignment horizontal="center" vertical="center"/>
    </xf>
    <xf numFmtId="0" fontId="48" fillId="38" borderId="0" xfId="0" applyFont="1" applyFill="1" applyNumberFormat="1">
      <alignment horizontal="center" vertical="center"/>
    </xf>
    <xf numFmtId="49" fontId="49" fillId="0" borderId="11" xfId="0" applyFont="1" applyBorder="1" applyNumberFormat="1">
      <alignment vertical="top" wrapText="1"/>
    </xf>
    <xf numFmtId="0" fontId="0" fillId="0" borderId="11" xfId="0" applyFont="1" applyBorder="1" applyNumberFormat="1">
      <alignment vertical="top" wrapText="1"/>
    </xf>
    <xf numFmtId="0" fontId="38" fillId="0" borderId="0" xfId="0" applyFont="1" applyNumberFormat="1"/>
    <xf numFmtId="0" fontId="23" fillId="38" borderId="0" xfId="0" applyFont="1" applyFill="1" applyNumberFormat="1">
      <alignment horizontal="center" vertical="center" wrapText="1"/>
    </xf>
    <xf numFmtId="0" fontId="50" fillId="38" borderId="0" xfId="0" applyFont="1" applyFill="1" applyNumberFormat="1">
      <alignment vertical="center" wrapText="1"/>
    </xf>
    <xf numFmtId="0" fontId="50" fillId="0" borderId="0" xfId="0" applyFont="1" applyNumberFormat="1">
      <alignment vertical="center" wrapText="1"/>
    </xf>
    <xf numFmtId="0" fontId="43" fillId="0" borderId="0" xfId="92" applyFont="1" applyNumberFormat="1">
      <alignment horizontal="left" vertical="center" wrapText="1"/>
    </xf>
    <xf numFmtId="49" fontId="43" fillId="0" borderId="0" xfId="92" applyFont="1" applyNumberFormat="1">
      <alignment horizontal="left" vertical="center" wrapText="1"/>
    </xf>
    <xf numFmtId="0" fontId="0" fillId="0" borderId="0" xfId="0" applyFont="1" applyNumberFormat="1">
      <alignment vertical="top"/>
    </xf>
    <xf numFmtId="49" fontId="0" fillId="0" borderId="0" xfId="0" applyFont="1" applyNumberFormat="1">
      <alignment horizontal="left" vertical="top"/>
    </xf>
    <xf numFmtId="49" fontId="23" fillId="0" borderId="0" xfId="0" applyFont="1" applyNumberFormat="1">
      <alignment vertical="center" wrapText="1"/>
    </xf>
    <xf numFmtId="49" fontId="23" fillId="0" borderId="0" xfId="0" applyFont="1" applyNumberFormat="1">
      <alignment vertical="top"/>
    </xf>
    <xf numFmtId="0" fontId="23" fillId="0" borderId="0" xfId="0" applyFont="1" applyNumberFormat="1">
      <alignment vertical="center" wrapText="1"/>
    </xf>
    <xf numFmtId="0" fontId="0" fillId="0" borderId="0" xfId="0" applyFont="1" applyNumberFormat="1">
      <alignment vertical="center"/>
    </xf>
    <xf numFmtId="0" fontId="23" fillId="38" borderId="16" xfId="0" applyFont="1" applyFill="1" applyBorder="1" applyNumberFormat="1">
      <alignment horizontal="center" vertical="center" wrapText="1"/>
    </xf>
    <xf numFmtId="49" fontId="23" fillId="34" borderId="16" xfId="0" applyFont="1" applyFill="1" applyBorder="1" applyNumberFormat="1">
      <alignment horizontal="left" vertical="center" wrapText="1"/>
      <protection locked="0"/>
    </xf>
    <xf numFmtId="49" fontId="51" fillId="44" borderId="17" xfId="0" applyFont="1" applyFill="1" applyBorder="1" applyNumberFormat="1">
      <alignment horizontal="left" vertical="center"/>
    </xf>
    <xf numFmtId="0" fontId="0" fillId="0" borderId="16" xfId="0" applyFont="1" applyBorder="1" applyNumberFormat="1">
      <alignment horizontal="center" vertical="center" wrapText="1"/>
    </xf>
    <xf numFmtId="0" fontId="23" fillId="44" borderId="18" xfId="0" applyFont="1" applyFill="1" applyBorder="1" applyNumberFormat="1">
      <alignment vertical="center" wrapText="1"/>
    </xf>
    <xf numFmtId="0" fontId="23" fillId="0" borderId="16" xfId="0" applyFont="1" applyBorder="1" applyNumberFormat="1">
      <alignment horizontal="center" vertical="center" wrapText="1"/>
    </xf>
    <xf numFmtId="0" fontId="52" fillId="0" borderId="0" xfId="0" applyFont="1" applyNumberFormat="1">
      <alignment vertical="center"/>
    </xf>
    <xf numFmtId="49" fontId="23" fillId="0" borderId="16" xfId="0" applyFont="1" applyBorder="1" applyNumberFormat="1">
      <alignment horizontal="center" vertical="center" wrapText="1"/>
    </xf>
    <xf numFmtId="0" fontId="23" fillId="38" borderId="16" xfId="0" applyFont="1" applyFill="1" applyBorder="1" applyNumberFormat="1">
      <alignment horizontal="center" vertical="center"/>
    </xf>
    <xf numFmtId="49" fontId="23" fillId="34" borderId="16" xfId="0" applyFont="1" applyFill="1" applyBorder="1" applyNumberFormat="1">
      <alignment horizontal="left" vertical="center" wrapText="1"/>
      <protection locked="0"/>
    </xf>
    <xf numFmtId="0" fontId="43" fillId="0" borderId="0" xfId="0" applyFont="1" applyNumberFormat="1">
      <alignment vertical="center" wrapText="1"/>
    </xf>
    <xf numFmtId="0" fontId="53" fillId="0" borderId="0" xfId="0" applyFont="1" applyNumberFormat="1">
      <alignment vertical="center" wrapText="1"/>
    </xf>
    <xf numFmtId="49" fontId="23" fillId="0" borderId="0" xfId="0" applyFont="1" applyNumberFormat="1">
      <alignment vertical="top"/>
    </xf>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23" fillId="38" borderId="0" xfId="0" applyFont="1" applyFill="1" applyNumberFormat="1"/>
    <xf numFmtId="0" fontId="54" fillId="38" borderId="0" xfId="0" applyFont="1" applyFill="1" applyNumberFormat="1">
      <alignment horizontal="center" vertical="center" wrapText="1"/>
    </xf>
    <xf numFmtId="0" fontId="43" fillId="38" borderId="0" xfId="0" applyFont="1" applyFill="1" applyNumberFormat="1"/>
    <xf numFmtId="49" fontId="23" fillId="0" borderId="0" xfId="0" applyFont="1" applyNumberFormat="1">
      <alignment vertical="top"/>
    </xf>
    <xf numFmtId="49" fontId="48" fillId="0" borderId="0" xfId="0" applyFont="1" applyNumberFormat="1">
      <alignment horizontal="center" vertical="center" wrapText="1"/>
    </xf>
    <xf numFmtId="0" fontId="23" fillId="38"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55" fillId="44" borderId="19" xfId="0" applyFont="1" applyFill="1" applyBorder="1" applyNumberFormat="1">
      <alignment horizontal="center" vertical="top"/>
    </xf>
    <xf numFmtId="49" fontId="51" fillId="44" borderId="19" xfId="0" applyFont="1" applyFill="1" applyBorder="1" applyNumberFormat="1">
      <alignment horizontal="left" vertical="center"/>
    </xf>
    <xf numFmtId="49" fontId="23" fillId="0" borderId="0" xfId="0" applyFont="1" applyNumberFormat="1">
      <alignment horizontal="center" vertical="top"/>
    </xf>
    <xf numFmtId="0" fontId="52" fillId="0" borderId="0" xfId="0" applyFont="1" applyNumberFormat="1">
      <alignment vertical="center"/>
    </xf>
    <xf numFmtId="0" fontId="0" fillId="0" borderId="0" xfId="0" applyFont="1" applyNumberFormat="1">
      <alignment vertical="center"/>
    </xf>
    <xf numFmtId="0" fontId="0" fillId="0" borderId="0" xfId="92" applyFont="1" applyNumberFormat="1">
      <alignment horizontal="center" vertical="center" wrapText="1"/>
    </xf>
    <xf numFmtId="49" fontId="23" fillId="0" borderId="0" xfId="92" applyFont="1" applyNumberFormat="1">
      <alignment horizontal="center" vertical="center" wrapText="1"/>
    </xf>
    <xf numFmtId="49" fontId="23" fillId="0" borderId="0" xfId="0" applyFont="1" applyNumberFormat="1">
      <alignment vertical="center" wrapText="1"/>
    </xf>
    <xf numFmtId="0" fontId="48" fillId="38" borderId="0" xfId="0" applyFont="1" applyFill="1" applyNumberFormat="1">
      <alignment horizontal="center" vertical="center" wrapText="1"/>
    </xf>
    <xf numFmtId="49" fontId="56" fillId="0" borderId="0" xfId="0" applyFont="1" applyNumberFormat="1">
      <alignment horizontal="right" vertical="top"/>
    </xf>
    <xf numFmtId="49" fontId="56" fillId="0" borderId="0" xfId="0" applyFont="1" applyNumberFormat="1">
      <alignment vertical="top"/>
    </xf>
    <xf numFmtId="0" fontId="23" fillId="0" borderId="0" xfId="0" applyFont="1" applyNumberFormat="1">
      <alignment horizontal="center" vertical="center" wrapText="1"/>
    </xf>
    <xf numFmtId="49" fontId="23" fillId="0" borderId="0" xfId="0" applyFont="1" applyNumberFormat="1">
      <alignment vertical="top"/>
    </xf>
    <xf numFmtId="0" fontId="0" fillId="0" borderId="0" xfId="0" applyFont="1" applyNumberFormat="1">
      <alignment vertical="center"/>
    </xf>
    <xf numFmtId="0" fontId="22" fillId="0" borderId="0" xfId="0" applyFont="1" applyNumberFormat="1">
      <alignment vertical="center" wrapText="1"/>
    </xf>
    <xf numFmtId="49" fontId="23" fillId="0" borderId="20" xfId="0" applyFont="1" applyBorder="1" applyNumberFormat="1">
      <alignment vertical="top"/>
    </xf>
    <xf numFmtId="0" fontId="38" fillId="0" borderId="0" xfId="0" applyFont="1" applyNumberFormat="1"/>
    <xf numFmtId="49" fontId="57" fillId="0" borderId="0" xfId="0" applyFont="1" applyNumberFormat="1">
      <alignment vertical="top"/>
    </xf>
    <xf numFmtId="0" fontId="57" fillId="0" borderId="0" xfId="0" applyFont="1" applyNumberFormat="1">
      <alignment vertical="center" wrapText="1"/>
    </xf>
    <xf numFmtId="49" fontId="0" fillId="38" borderId="16" xfId="0" applyFont="1" applyFill="1" applyBorder="1" applyNumberFormat="1">
      <alignment horizontal="center" vertical="center" wrapText="1"/>
    </xf>
    <xf numFmtId="0" fontId="43" fillId="0" borderId="0" xfId="92" applyFont="1" applyNumberFormat="1">
      <alignment horizontal="left" vertical="center" wrapText="1"/>
    </xf>
    <xf numFmtId="49" fontId="23" fillId="0" borderId="16" xfId="0" applyFont="1" applyBorder="1" applyNumberFormat="1">
      <alignment horizontal="left" vertical="center" wrapText="1"/>
    </xf>
    <xf numFmtId="0" fontId="23" fillId="38" borderId="21" xfId="0" applyFont="1" applyFill="1" applyBorder="1" applyNumberFormat="1">
      <alignment horizontal="center" vertical="center"/>
    </xf>
    <xf numFmtId="0" fontId="23" fillId="0" borderId="16" xfId="0" applyFont="1" applyBorder="1" applyNumberFormat="1">
      <alignment vertical="center" wrapText="1"/>
    </xf>
    <xf numFmtId="0" fontId="58" fillId="0" borderId="0" xfId="0" applyFont="1" applyNumberFormat="1">
      <alignment vertical="center" wrapText="1"/>
    </xf>
    <xf numFmtId="49" fontId="0" fillId="0" borderId="0" xfId="0" applyFont="1" applyNumberFormat="1">
      <alignment vertical="center"/>
    </xf>
    <xf numFmtId="49" fontId="0" fillId="0" borderId="0" xfId="0" applyFont="1" applyNumberFormat="1">
      <alignment vertical="top"/>
    </xf>
    <xf numFmtId="0" fontId="58" fillId="0" borderId="0" xfId="0" applyFont="1" applyNumberFormat="1">
      <alignment vertical="center"/>
    </xf>
    <xf numFmtId="0" fontId="59" fillId="0" borderId="0" xfId="0" applyFont="1" applyNumberFormat="1">
      <alignment vertical="center"/>
    </xf>
    <xf numFmtId="0" fontId="58" fillId="0" borderId="0" xfId="0" applyFont="1" applyNumberFormat="1">
      <alignment vertical="center"/>
    </xf>
    <xf numFmtId="0" fontId="58" fillId="0" borderId="0" xfId="0" applyFont="1" applyNumberFormat="1">
      <alignment vertical="center"/>
    </xf>
    <xf numFmtId="0" fontId="0" fillId="0" borderId="0" xfId="0" applyFont="1" applyNumberFormat="1">
      <alignment vertical="top" wrapText="1"/>
    </xf>
    <xf numFmtId="49" fontId="23" fillId="0" borderId="16" xfId="0" applyFont="1" applyBorder="1" applyNumberFormat="1">
      <alignment horizontal="center" vertical="center" wrapText="1"/>
    </xf>
    <xf numFmtId="0" fontId="22" fillId="0" borderId="22" xfId="0" applyFont="1" applyBorder="1" applyNumberFormat="1">
      <alignment vertical="top" wrapText="1"/>
    </xf>
    <xf numFmtId="49" fontId="0" fillId="0" borderId="16" xfId="0" applyFont="1" applyBorder="1" applyNumberFormat="1">
      <alignment vertical="top" wrapText="1"/>
    </xf>
    <xf numFmtId="0" fontId="0" fillId="0" borderId="16" xfId="0" applyFont="1" applyBorder="1" applyNumberFormat="1">
      <alignment vertical="top" wrapText="1"/>
    </xf>
    <xf numFmtId="0" fontId="1" fillId="0" borderId="0" xfId="0" applyFont="1" applyNumberFormat="1"/>
    <xf numFmtId="0" fontId="0" fillId="0" borderId="0" xfId="0" applyFont="1" applyNumberFormat="1"/>
    <xf numFmtId="0" fontId="48" fillId="0" borderId="0" xfId="0" applyFont="1" applyNumberFormat="1">
      <alignment horizontal="center" vertical="center" wrapText="1"/>
    </xf>
    <xf numFmtId="0" fontId="48" fillId="0" borderId="0" xfId="0" applyFont="1" applyNumberFormat="1">
      <alignment horizontal="center" vertical="center" wrapText="1"/>
    </xf>
    <xf numFmtId="0" fontId="23" fillId="0" borderId="0" xfId="0" applyFont="1" applyNumberFormat="1">
      <alignment horizontal="right" vertical="center" wrapText="1"/>
    </xf>
    <xf numFmtId="4" fontId="23" fillId="0" borderId="0" xfId="78"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 fontId="23" fillId="0" borderId="0" xfId="78" applyFont="1" applyNumberFormat="1">
      <alignment horizontal="center" vertical="center" wrapText="1"/>
    </xf>
    <xf numFmtId="0" fontId="57" fillId="0" borderId="0" xfId="0" applyFont="1" applyNumberFormat="1">
      <alignment vertical="center"/>
    </xf>
    <xf numFmtId="167" fontId="23" fillId="0" borderId="16" xfId="0" applyFont="1" applyBorder="1" applyNumberFormat="1">
      <alignment horizontal="center" vertical="center" wrapText="1"/>
    </xf>
    <xf numFmtId="49" fontId="57" fillId="44" borderId="23" xfId="0" applyFont="1" applyFill="1" applyBorder="1" applyNumberFormat="1">
      <alignment horizontal="left" vertical="center" wrapText="1"/>
    </xf>
    <xf numFmtId="49" fontId="0" fillId="44" borderId="19" xfId="0" applyFont="1" applyFill="1" applyBorder="1" applyNumberFormat="1">
      <alignment horizontal="left" vertical="center"/>
    </xf>
    <xf numFmtId="49" fontId="57" fillId="44" borderId="24" xfId="0" applyFont="1" applyFill="1" applyBorder="1" applyNumberFormat="1">
      <alignment horizontal="left" vertical="center" wrapText="1"/>
    </xf>
    <xf numFmtId="0" fontId="47" fillId="0" borderId="0" xfId="0" applyFont="1" applyNumberFormat="1">
      <alignment horizontal="center" vertical="center" wrapText="1"/>
    </xf>
    <xf numFmtId="49" fontId="36" fillId="44" borderId="19"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23" fillId="44" borderId="17" xfId="0" applyFont="1" applyFill="1" applyBorder="1" applyNumberFormat="1">
      <alignment horizontal="right" vertical="center" wrapText="1"/>
    </xf>
    <xf numFmtId="0" fontId="23" fillId="0" borderId="25" xfId="0" applyFont="1" applyBorder="1" applyNumberFormat="1">
      <alignment vertical="center" wrapText="1"/>
    </xf>
    <xf numFmtId="0" fontId="56" fillId="0" borderId="0" xfId="0" applyFont="1" applyNumberFormat="1">
      <alignment vertical="center" wrapText="1"/>
    </xf>
    <xf numFmtId="0" fontId="60" fillId="0" borderId="0" xfId="0" applyFont="1" applyNumberFormat="1">
      <alignment horizontal="center" vertical="center" wrapText="1"/>
    </xf>
    <xf numFmtId="49" fontId="61" fillId="43" borderId="0" xfId="0" applyFont="1" applyFill="1" applyNumberFormat="1">
      <alignment vertical="top"/>
    </xf>
    <xf numFmtId="49" fontId="61" fillId="0" borderId="0" xfId="0" applyFont="1" applyNumberFormat="1">
      <alignment vertical="top"/>
    </xf>
    <xf numFmtId="0" fontId="57" fillId="0" borderId="0" xfId="0" applyFont="1" applyNumberFormat="1">
      <alignment vertical="center"/>
    </xf>
    <xf numFmtId="49" fontId="0" fillId="44" borderId="19" xfId="0" applyFont="1" applyFill="1" applyBorder="1" applyNumberFormat="1">
      <alignment horizontal="right" vertical="center" wrapText="1"/>
    </xf>
    <xf numFmtId="49" fontId="0" fillId="0" borderId="0" xfId="0" applyFont="1" applyNumberFormat="1">
      <alignment vertical="top"/>
    </xf>
    <xf numFmtId="0" fontId="36" fillId="0" borderId="11" xfId="0" applyFont="1" applyBorder="1" applyNumberFormat="1">
      <alignment vertical="center" wrapText="1"/>
    </xf>
    <xf numFmtId="0" fontId="22" fillId="0" borderId="0" xfId="92" applyFont="1" applyNumberFormat="1">
      <alignment vertical="top" wrapText="1"/>
    </xf>
    <xf numFmtId="0" fontId="23" fillId="0" borderId="11" xfId="0" applyFont="1" applyBorder="1" applyNumberFormat="1">
      <alignment vertical="center" wrapText="1"/>
    </xf>
    <xf numFmtId="49" fontId="23" fillId="0" borderId="0" xfId="0" applyFont="1" applyNumberFormat="1">
      <alignment vertical="top"/>
    </xf>
    <xf numFmtId="0" fontId="23" fillId="38" borderId="0" xfId="0" applyFont="1" applyFill="1" applyNumberFormat="1">
      <alignment horizontal="right" vertical="center"/>
    </xf>
    <xf numFmtId="0" fontId="0" fillId="0" borderId="16" xfId="0" applyFont="1" applyBorder="1" applyNumberFormat="1">
      <alignment horizontal="left" vertical="center" wrapText="1" indent="1"/>
    </xf>
    <xf numFmtId="0" fontId="0" fillId="45" borderId="16" xfId="0" applyFont="1" applyFill="1" applyBorder="1" applyNumberFormat="1">
      <alignment horizontal="left" vertical="center" wrapText="1" indent="2"/>
      <protection locked="0"/>
    </xf>
    <xf numFmtId="49" fontId="58" fillId="0" borderId="0" xfId="0" applyFont="1" applyNumberFormat="1">
      <alignment vertical="top"/>
    </xf>
    <xf numFmtId="0" fontId="0" fillId="0" borderId="16" xfId="0" applyFont="1" applyBorder="1" applyNumberFormat="1">
      <alignment vertical="center" wrapText="1"/>
    </xf>
    <xf numFmtId="0" fontId="0" fillId="0" borderId="16" xfId="0" applyFont="1" applyBorder="1" applyNumberFormat="1">
      <alignment horizontal="center" vertical="center" wrapText="1"/>
    </xf>
    <xf numFmtId="0" fontId="0" fillId="45" borderId="16" xfId="0" applyFont="1" applyFill="1" applyBorder="1" applyNumberFormat="1">
      <alignment horizontal="left" vertical="center" wrapText="1" indent="1"/>
      <protection locked="0"/>
    </xf>
    <xf numFmtId="49" fontId="51" fillId="44" borderId="19" xfId="0" applyFont="1" applyFill="1" applyBorder="1" applyNumberFormat="1">
      <alignment horizontal="left" vertical="center" indent="3"/>
    </xf>
    <xf numFmtId="49" fontId="55" fillId="44" borderId="17" xfId="0" applyFont="1" applyFill="1" applyBorder="1" applyNumberFormat="1">
      <alignment horizontal="center" vertical="top"/>
    </xf>
    <xf numFmtId="0" fontId="22" fillId="0" borderId="0" xfId="0" applyFont="1" applyNumberFormat="1">
      <alignment horizontal="right" vertical="top" wrapText="1"/>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indent="2"/>
    </xf>
    <xf numFmtId="0" fontId="0" fillId="0" borderId="16" xfId="0" applyFont="1" applyBorder="1" applyNumberFormat="1">
      <alignment horizontal="left" vertical="center" wrapText="1" indent="1"/>
    </xf>
    <xf numFmtId="0" fontId="0" fillId="0" borderId="16" xfId="0" applyFont="1" applyBorder="1" applyNumberFormat="1">
      <alignment horizontal="left" vertical="center" wrapText="1" indent="2"/>
    </xf>
    <xf numFmtId="49" fontId="23" fillId="46" borderId="16" xfId="0" applyFont="1" applyFill="1" applyBorder="1" applyNumberFormat="1">
      <alignment horizontal="left" vertical="center" wrapText="1"/>
    </xf>
    <xf numFmtId="0" fontId="23" fillId="0" borderId="16" xfId="0" applyFont="1" applyBorder="1" applyNumberFormat="1">
      <alignment vertical="top" wrapText="1"/>
    </xf>
    <xf numFmtId="49" fontId="23" fillId="34"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49" fontId="0" fillId="0" borderId="21" xfId="0" applyFont="1" applyBorder="1" applyNumberFormat="1">
      <alignment vertical="top"/>
    </xf>
    <xf numFmtId="0" fontId="58" fillId="0" borderId="0" xfId="0" applyFont="1" applyNumberFormat="1">
      <alignment vertical="center"/>
    </xf>
    <xf numFmtId="0" fontId="37" fillId="0" borderId="0" xfId="0" applyFont="1" applyNumberFormat="1">
      <alignment vertical="center"/>
    </xf>
    <xf numFmtId="49" fontId="30" fillId="45" borderId="16" xfId="0" applyFont="1" applyFill="1" applyBorder="1" applyNumberFormat="1">
      <alignment horizontal="left" vertical="center" wrapText="1"/>
      <protection locked="0"/>
    </xf>
    <xf numFmtId="49" fontId="55" fillId="44" borderId="17" xfId="0" applyFont="1" applyFill="1" applyBorder="1" applyNumberFormat="1">
      <alignment horizontal="center" vertical="top"/>
    </xf>
    <xf numFmtId="0" fontId="0" fillId="42" borderId="16" xfId="92" applyFont="1" applyFill="1" applyBorder="1" applyNumberFormat="1">
      <alignment horizontal="left" vertical="center" wrapText="1" indent="1"/>
    </xf>
    <xf numFmtId="49" fontId="23" fillId="45" borderId="16" xfId="92" applyFont="1" applyFill="1" applyBorder="1" applyNumberFormat="1">
      <alignment horizontal="left" vertical="center" wrapText="1" indent="1"/>
      <protection locked="0"/>
    </xf>
    <xf numFmtId="49" fontId="23" fillId="42" borderId="16" xfId="92" applyFont="1" applyFill="1" applyBorder="1" applyNumberFormat="1">
      <alignment horizontal="left" vertical="center" wrapText="1" indent="1"/>
    </xf>
    <xf numFmtId="49" fontId="23" fillId="0" borderId="16" xfId="92" applyFont="1" applyBorder="1" applyNumberFormat="1">
      <alignment horizontal="left" vertical="center" wrapText="1" indent="1"/>
    </xf>
    <xf numFmtId="0" fontId="23" fillId="0" borderId="16" xfId="0" applyFont="1" applyBorder="1" applyNumberFormat="1">
      <alignment horizontal="center" vertical="center" wrapText="1"/>
    </xf>
    <xf numFmtId="0" fontId="22" fillId="0" borderId="0" xfId="0" applyFont="1" applyNumberFormat="1">
      <alignment vertical="center" wrapText="1"/>
    </xf>
    <xf numFmtId="0" fontId="58" fillId="0" borderId="0" xfId="0" applyFont="1" applyNumberFormat="1">
      <alignment horizontal="center" vertical="center" wrapText="1"/>
    </xf>
    <xf numFmtId="0" fontId="0" fillId="0" borderId="16" xfId="0" applyFont="1" applyBorder="1" applyNumberFormat="1">
      <alignment horizontal="left" vertical="center" wrapText="1"/>
    </xf>
    <xf numFmtId="49" fontId="47" fillId="0" borderId="19" xfId="0" applyFont="1" applyBorder="1" applyNumberFormat="1">
      <alignment horizontal="center" vertical="center" wrapText="1"/>
    </xf>
    <xf numFmtId="0" fontId="62" fillId="0" borderId="0" xfId="0" applyFont="1" applyNumberFormat="1">
      <alignment vertical="center"/>
    </xf>
    <xf numFmtId="0" fontId="63" fillId="0" borderId="0" xfId="0" applyFont="1" applyNumberFormat="1">
      <alignment vertical="center"/>
    </xf>
    <xf numFmtId="0" fontId="58" fillId="0" borderId="0" xfId="0" applyFont="1" applyNumberFormat="1">
      <alignment vertical="center"/>
    </xf>
    <xf numFmtId="0" fontId="58" fillId="0" borderId="0" xfId="0" applyFont="1" applyNumberFormat="1">
      <alignment horizontal="left" vertical="center" wrapText="1" indent="1"/>
    </xf>
    <xf numFmtId="0" fontId="57" fillId="0" borderId="0" xfId="0" applyFont="1" applyNumberFormat="1">
      <alignment horizontal="left" vertical="center" wrapText="1" indent="1"/>
    </xf>
    <xf numFmtId="0" fontId="64" fillId="0" borderId="0" xfId="0" applyFont="1" applyNumberFormat="1">
      <alignment horizontal="left" vertical="center" wrapText="1" indent="1"/>
    </xf>
    <xf numFmtId="0" fontId="65" fillId="0" borderId="0" xfId="0" applyFont="1" applyNumberFormat="1">
      <alignment horizontal="left" vertical="center" indent="1"/>
    </xf>
    <xf numFmtId="0" fontId="64" fillId="0" borderId="0" xfId="0" applyFont="1" applyNumberFormat="1">
      <alignment vertical="center" wrapText="1"/>
    </xf>
    <xf numFmtId="0" fontId="66" fillId="0" borderId="0" xfId="92" applyFont="1" applyNumberFormat="1">
      <alignment horizontal="left" vertical="center" wrapText="1"/>
    </xf>
    <xf numFmtId="0" fontId="67" fillId="0" borderId="0" xfId="92" applyFont="1" applyNumberFormat="1">
      <alignment vertical="center" wrapText="1"/>
    </xf>
    <xf numFmtId="0" fontId="68" fillId="38" borderId="0" xfId="92" applyFont="1" applyFill="1" applyNumberFormat="1">
      <alignment vertical="center" wrapText="1"/>
    </xf>
    <xf numFmtId="0" fontId="69" fillId="38" borderId="0" xfId="92" applyFont="1" applyFill="1" applyNumberFormat="1">
      <alignment horizontal="right" vertical="center" wrapText="1" indent="1"/>
    </xf>
    <xf numFmtId="0" fontId="68" fillId="0" borderId="0" xfId="92" applyFont="1" applyNumberFormat="1">
      <alignment vertical="center" wrapText="1"/>
    </xf>
    <xf numFmtId="0" fontId="68" fillId="38" borderId="0" xfId="92" applyFont="1" applyFill="1" applyNumberFormat="1">
      <alignment horizontal="right" vertical="center" wrapText="1" indent="1"/>
    </xf>
    <xf numFmtId="0" fontId="70" fillId="38" borderId="0" xfId="92" applyFont="1" applyFill="1" applyNumberFormat="1">
      <alignment horizontal="center" vertical="center" wrapText="1"/>
    </xf>
    <xf numFmtId="0" fontId="66" fillId="38" borderId="0" xfId="92" applyFont="1" applyFill="1" applyNumberFormat="1">
      <alignment horizontal="center" vertical="center" wrapText="1"/>
    </xf>
    <xf numFmtId="0" fontId="68" fillId="38" borderId="0" xfId="92" applyFont="1" applyFill="1" applyNumberFormat="1">
      <alignment horizontal="left" vertical="center" wrapText="1" indent="1"/>
    </xf>
    <xf numFmtId="0" fontId="71" fillId="0" borderId="0" xfId="92" applyFont="1" applyNumberFormat="1">
      <alignment horizontal="left" vertical="center" wrapText="1"/>
    </xf>
    <xf numFmtId="0" fontId="71" fillId="0" borderId="0" xfId="92" applyFont="1" applyNumberFormat="1">
      <alignment vertical="center" wrapText="1"/>
    </xf>
    <xf numFmtId="0" fontId="68" fillId="0" borderId="0" xfId="92" applyFont="1" applyNumberFormat="1">
      <alignment vertical="center" wrapText="1"/>
    </xf>
    <xf numFmtId="0" fontId="68" fillId="0" borderId="0" xfId="92" applyFont="1" applyNumberFormat="1">
      <alignment horizontal="right" vertical="center"/>
    </xf>
    <xf numFmtId="49" fontId="23" fillId="0" borderId="0" xfId="0" applyFont="1" applyNumberFormat="1">
      <alignment vertical="center" wrapText="1"/>
    </xf>
    <xf numFmtId="0" fontId="0" fillId="0" borderId="0" xfId="0" applyFont="1" applyNumberFormat="1">
      <alignment horizontal="left" vertical="center" indent="1"/>
    </xf>
    <xf numFmtId="0" fontId="58" fillId="0" borderId="0" xfId="0" applyFont="1" applyNumberFormat="1">
      <alignment horizontal="left" vertical="center" indent="1"/>
    </xf>
    <xf numFmtId="0" fontId="58" fillId="0" borderId="0" xfId="0" applyFont="1" applyNumberFormat="1">
      <alignment horizontal="left" vertical="center" indent="1"/>
    </xf>
    <xf numFmtId="0" fontId="58" fillId="0" borderId="26" xfId="0" applyFont="1" applyBorder="1" applyNumberFormat="1">
      <alignment vertical="center"/>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0" xfId="0" applyFont="1" applyNumberFormat="1">
      <alignment vertical="top"/>
    </xf>
    <xf numFmtId="0" fontId="23" fillId="0" borderId="0" xfId="0" applyFont="1" applyNumberFormat="1">
      <alignment horizontal="left" vertical="center" wrapText="1" indent="2"/>
    </xf>
    <xf numFmtId="0" fontId="23" fillId="0" borderId="16" xfId="0" applyFont="1" applyBorder="1" applyNumberFormat="1">
      <alignment vertical="top" wrapText="1"/>
    </xf>
    <xf numFmtId="0" fontId="0" fillId="45" borderId="16" xfId="0" applyFont="1" applyFill="1" applyBorder="1" applyNumberFormat="1">
      <alignment horizontal="left" vertical="center" wrapText="1"/>
      <protection locked="0"/>
    </xf>
    <xf numFmtId="0" fontId="23" fillId="0" borderId="16" xfId="0" applyFont="1" applyBorder="1" applyNumberFormat="1">
      <alignment horizontal="left" vertical="top" wrapText="1"/>
    </xf>
    <xf numFmtId="0" fontId="23" fillId="0" borderId="16" xfId="0" applyFont="1" applyBorder="1" applyNumberFormat="1">
      <alignment horizontal="left" vertical="center" wrapText="1"/>
    </xf>
    <xf numFmtId="0" fontId="23" fillId="0" borderId="16" xfId="0" applyFont="1" applyBorder="1" applyNumberFormat="1">
      <alignment horizontal="center" vertical="center" wrapText="1"/>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0" fontId="23" fillId="0" borderId="0" xfId="0" applyFont="1" applyNumberFormat="1"/>
    <xf numFmtId="0" fontId="72" fillId="0" borderId="0" xfId="0" applyFont="1" applyNumberFormat="1">
      <alignment vertical="center" wrapText="1"/>
    </xf>
    <xf numFmtId="0" fontId="72" fillId="0" borderId="0" xfId="0" applyFont="1" applyNumberFormat="1">
      <alignment vertical="center" wrapText="1"/>
    </xf>
    <xf numFmtId="0" fontId="72" fillId="0" borderId="0" xfId="0" applyFont="1" applyNumberFormat="1"/>
    <xf numFmtId="49" fontId="73" fillId="0" borderId="0" xfId="0" applyFont="1" applyNumberFormat="1">
      <alignment vertical="top"/>
    </xf>
    <xf numFmtId="49" fontId="74" fillId="0" borderId="0" xfId="0" applyFont="1" applyNumberFormat="1">
      <alignment vertical="top"/>
    </xf>
    <xf numFmtId="0" fontId="23" fillId="0" borderId="0" xfId="92" applyFont="1" applyNumberFormat="1">
      <alignment horizontal="center" vertical="center" wrapText="1"/>
    </xf>
    <xf numFmtId="49" fontId="23" fillId="45" borderId="16" xfId="0" applyFont="1" applyFill="1" applyBorder="1" applyNumberFormat="1">
      <alignment horizontal="left" vertical="center" wrapText="1" indent="1"/>
      <protection locked="0"/>
    </xf>
    <xf numFmtId="0" fontId="58" fillId="0" borderId="0" xfId="0" applyFont="1" applyNumberFormat="1">
      <alignment vertical="top"/>
    </xf>
    <xf numFmtId="49" fontId="58" fillId="0" borderId="0" xfId="0" applyFont="1" applyNumberFormat="1">
      <alignment vertical="top"/>
    </xf>
    <xf numFmtId="0" fontId="0" fillId="0" borderId="0" xfId="0" applyFont="1" applyNumberFormat="1">
      <alignment vertical="top"/>
    </xf>
    <xf numFmtId="49" fontId="23" fillId="0" borderId="16" xfId="0" applyFont="1" applyBorder="1" applyNumberFormat="1">
      <alignment horizontal="right" vertical="center"/>
    </xf>
    <xf numFmtId="0" fontId="75" fillId="0" borderId="0" xfId="0" applyFont="1" applyNumberFormat="1">
      <alignment vertical="center"/>
    </xf>
    <xf numFmtId="0" fontId="58" fillId="0" borderId="0" xfId="0" applyFont="1" applyNumberFormat="1">
      <alignment vertical="center"/>
    </xf>
    <xf numFmtId="0" fontId="22" fillId="0" borderId="0" xfId="0" applyFont="1" applyNumberFormat="1">
      <alignment horizontal="center" vertical="center" wrapText="1"/>
    </xf>
    <xf numFmtId="0" fontId="0" fillId="0" borderId="0" xfId="0" applyFont="1" applyNumberFormat="1">
      <alignment horizontal="center" vertical="center"/>
    </xf>
    <xf numFmtId="0" fontId="58" fillId="0" borderId="0" xfId="0" applyFont="1" applyNumberFormat="1">
      <alignment vertical="center" wrapText="1"/>
    </xf>
    <xf numFmtId="0" fontId="23" fillId="0" borderId="16" xfId="0" applyFont="1" applyBorder="1" applyNumberFormat="1">
      <alignment horizontal="left" vertical="center" wrapText="1"/>
    </xf>
    <xf numFmtId="0" fontId="76" fillId="0" borderId="0" xfId="0" applyFont="1" applyNumberFormat="1">
      <alignment vertical="center"/>
    </xf>
    <xf numFmtId="49" fontId="47" fillId="38" borderId="0" xfId="0" applyFont="1" applyFill="1" applyNumberFormat="1">
      <alignment horizontal="center" vertical="center" wrapText="1"/>
    </xf>
    <xf numFmtId="0" fontId="0" fillId="0" borderId="0" xfId="0" applyFont="1" applyNumberFormat="1">
      <alignment vertical="center"/>
    </xf>
    <xf numFmtId="0"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0" fontId="23" fillId="38" borderId="16" xfId="0" applyFont="1" applyFill="1" applyBorder="1" applyNumberFormat="1">
      <alignment horizontal="left" vertical="center" wrapText="1" indent="4"/>
    </xf>
    <xf numFmtId="0" fontId="23" fillId="38" borderId="16" xfId="0" applyFont="1" applyFill="1" applyBorder="1" applyNumberFormat="1">
      <alignment horizontal="left" vertical="center" wrapText="1" indent="5"/>
    </xf>
    <xf numFmtId="49" fontId="51" fillId="44" borderId="19" xfId="0" applyFont="1" applyFill="1" applyBorder="1" applyNumberFormat="1">
      <alignment horizontal="left" vertical="center" indent="5"/>
    </xf>
    <xf numFmtId="49" fontId="51" fillId="44" borderId="19" xfId="0" applyFont="1" applyFill="1" applyBorder="1" applyNumberFormat="1">
      <alignment horizontal="left" vertical="center" indent="6"/>
    </xf>
    <xf numFmtId="0" fontId="23" fillId="0" borderId="16" xfId="0" applyFont="1" applyBorder="1" applyNumberFormat="1">
      <alignment vertical="center" wrapText="1"/>
    </xf>
    <xf numFmtId="0" fontId="22" fillId="0" borderId="0" xfId="0" applyFont="1" applyNumberFormat="1">
      <alignment vertical="center" wrapText="1"/>
    </xf>
    <xf numFmtId="0" fontId="77" fillId="38" borderId="0" xfId="0" applyFont="1" applyFill="1" applyNumberFormat="1">
      <alignment vertical="center" wrapText="1"/>
    </xf>
    <xf numFmtId="49" fontId="23" fillId="0" borderId="16" xfId="0" applyFont="1" applyBorder="1" applyNumberFormat="1">
      <alignment horizontal="center" vertical="center" wrapText="1"/>
    </xf>
    <xf numFmtId="49" fontId="0" fillId="0" borderId="0" xfId="0" applyFont="1" applyNumberFormat="1">
      <alignment vertical="top"/>
    </xf>
    <xf numFmtId="49" fontId="51" fillId="44" borderId="18" xfId="0" applyFont="1" applyFill="1" applyBorder="1" applyNumberFormat="1">
      <alignment horizontal="left" vertical="center" indent="1"/>
    </xf>
    <xf numFmtId="0" fontId="0" fillId="38" borderId="16" xfId="92" applyFont="1" applyFill="1" applyBorder="1" applyNumberFormat="1">
      <alignment horizontal="right" vertical="center" wrapText="1" indent="1"/>
    </xf>
    <xf numFmtId="49" fontId="0" fillId="0" borderId="16" xfId="0" applyFont="1" applyBorder="1" applyNumberFormat="1">
      <alignment horizontal="left" vertical="center"/>
    </xf>
    <xf numFmtId="0" fontId="23" fillId="0" borderId="16" xfId="0" applyFont="1" applyBorder="1" applyNumberFormat="1">
      <alignment vertical="top" wrapText="1"/>
    </xf>
    <xf numFmtId="0" fontId="23" fillId="0" borderId="16" xfId="0" applyFont="1" applyBorder="1" applyNumberFormat="1">
      <alignment vertical="center" wrapText="1"/>
    </xf>
    <xf numFmtId="0" fontId="75" fillId="0" borderId="0" xfId="0" applyFont="1" applyNumberFormat="1">
      <alignment vertical="center"/>
    </xf>
    <xf numFmtId="0" fontId="23" fillId="0" borderId="16" xfId="0" applyFont="1" applyBorder="1" applyNumberFormat="1">
      <alignment horizontal="left" vertical="center" wrapText="1" indent="6"/>
    </xf>
    <xf numFmtId="0" fontId="23" fillId="0" borderId="21" xfId="0" applyFont="1" applyBorder="1" applyNumberFormat="1">
      <alignment vertical="center" wrapText="1"/>
    </xf>
    <xf numFmtId="0" fontId="23" fillId="0" borderId="27" xfId="0" applyFont="1" applyBorder="1" applyNumberFormat="1">
      <alignment vertical="center" wrapText="1"/>
    </xf>
    <xf numFmtId="49" fontId="0" fillId="44" borderId="17" xfId="0" applyFont="1" applyFill="1" applyBorder="1" applyNumberFormat="1">
      <alignment horizontal="center" vertical="center" wrapText="1"/>
    </xf>
    <xf numFmtId="0" fontId="0" fillId="0" borderId="18" xfId="0" applyFont="1" applyBorder="1" applyNumberFormat="1">
      <alignment vertical="center"/>
    </xf>
    <xf numFmtId="165" fontId="0" fillId="45" borderId="16" xfId="0" applyFont="1" applyFill="1" applyBorder="1" applyNumberFormat="1">
      <alignment horizontal="right" vertical="center"/>
      <protection locked="0"/>
    </xf>
    <xf numFmtId="0" fontId="0" fillId="38" borderId="18" xfId="92" applyFont="1" applyFill="1" applyBorder="1" applyNumberFormat="1">
      <alignment horizontal="right" vertical="center" wrapText="1" indent="1"/>
    </xf>
    <xf numFmtId="49" fontId="43" fillId="0" borderId="0" xfId="0" applyFont="1" applyNumberFormat="1">
      <alignment vertical="top"/>
    </xf>
    <xf numFmtId="0" fontId="50" fillId="38" borderId="0" xfId="0" applyFont="1" applyFill="1" applyNumberFormat="1">
      <alignment vertical="center" wrapText="1"/>
    </xf>
    <xf numFmtId="49" fontId="78" fillId="44" borderId="18" xfId="0" applyFont="1" applyFill="1" applyBorder="1" applyNumberFormat="1">
      <alignment horizontal="center" vertical="center"/>
    </xf>
    <xf numFmtId="0" fontId="23" fillId="38" borderId="16" xfId="0" applyFont="1" applyFill="1" applyBorder="1" applyNumberFormat="1">
      <alignment horizontal="left" vertical="center" wrapText="1" indent="1"/>
    </xf>
    <xf numFmtId="0" fontId="23" fillId="38" borderId="16" xfId="0" applyFont="1" applyFill="1" applyBorder="1" applyNumberFormat="1">
      <alignment horizontal="left" vertical="center" wrapText="1" indent="2"/>
    </xf>
    <xf numFmtId="0" fontId="23" fillId="38" borderId="16" xfId="0" applyFont="1" applyFill="1" applyBorder="1" applyNumberFormat="1">
      <alignment horizontal="left" vertical="center" wrapText="1" indent="3"/>
    </xf>
    <xf numFmtId="0" fontId="23" fillId="0" borderId="16" xfId="0" applyFont="1" applyBorder="1" applyNumberFormat="1">
      <alignment horizontal="left" vertical="center" wrapText="1" indent="4"/>
    </xf>
    <xf numFmtId="49" fontId="51" fillId="44" borderId="18" xfId="0" applyFont="1" applyFill="1" applyBorder="1" applyNumberFormat="1">
      <alignment vertical="center" wrapText="1"/>
    </xf>
    <xf numFmtId="49" fontId="51" fillId="44" borderId="19" xfId="0" applyFont="1" applyFill="1" applyBorder="1" applyNumberFormat="1">
      <alignment vertical="center"/>
    </xf>
    <xf numFmtId="49" fontId="51" fillId="44" borderId="19" xfId="0" applyFont="1" applyFill="1" applyBorder="1" applyNumberFormat="1">
      <alignment vertical="center" wrapText="1"/>
    </xf>
    <xf numFmtId="0" fontId="23" fillId="0" borderId="16" xfId="0" applyFont="1" applyBorder="1" applyNumberFormat="1">
      <alignment vertical="center" wrapText="1"/>
    </xf>
    <xf numFmtId="49" fontId="23" fillId="0" borderId="16" xfId="0" applyFont="1" applyBorder="1" applyNumberFormat="1">
      <alignment vertical="center" wrapText="1"/>
    </xf>
    <xf numFmtId="0" fontId="23" fillId="0" borderId="0" xfId="0" applyFont="1" applyNumberFormat="1">
      <alignment vertical="top" wrapText="1"/>
    </xf>
    <xf numFmtId="49" fontId="51" fillId="44" borderId="18" xfId="0" applyFont="1" applyFill="1" applyBorder="1" applyNumberFormat="1">
      <alignment horizontal="left" vertical="center"/>
    </xf>
    <xf numFmtId="49" fontId="0" fillId="0" borderId="16" xfId="0" applyFont="1" applyBorder="1" applyNumberFormat="1">
      <alignment vertical="center" wrapText="1"/>
    </xf>
    <xf numFmtId="0" fontId="0" fillId="44" borderId="19" xfId="0" applyFont="1" applyFill="1" applyBorder="1" applyNumberFormat="1">
      <alignment vertical="center"/>
    </xf>
    <xf numFmtId="49" fontId="0" fillId="0" borderId="0" xfId="0" applyFont="1" applyNumberFormat="1">
      <alignment vertical="top"/>
    </xf>
    <xf numFmtId="0" fontId="0" fillId="0" borderId="0" xfId="0" applyFont="1" applyNumberFormat="1">
      <alignment vertical="center"/>
    </xf>
    <xf numFmtId="0" fontId="51" fillId="44" borderId="18" xfId="0" applyFont="1" applyFill="1" applyBorder="1" applyNumberFormat="1">
      <alignment horizontal="left" vertical="center"/>
    </xf>
    <xf numFmtId="0" fontId="51" fillId="44" borderId="19" xfId="0" applyFont="1" applyFill="1" applyBorder="1" applyNumberFormat="1">
      <alignment horizontal="left" vertical="center"/>
    </xf>
    <xf numFmtId="0" fontId="51" fillId="44" borderId="17"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0" xfId="92" applyFont="1" applyNumberFormat="1">
      <alignment horizontal="right" vertical="center" wrapText="1" indent="1"/>
    </xf>
    <xf numFmtId="0" fontId="36" fillId="38" borderId="0" xfId="0" applyFont="1" applyFill="1" applyNumberFormat="1">
      <alignment horizontal="center" vertical="center" wrapText="1"/>
    </xf>
    <xf numFmtId="49" fontId="78" fillId="44" borderId="19" xfId="0" applyFont="1" applyFill="1" applyBorder="1" applyNumberFormat="1">
      <alignment horizontal="left" vertical="center"/>
    </xf>
    <xf numFmtId="0" fontId="23" fillId="0" borderId="0" xfId="0" applyFont="1" applyNumberFormat="1">
      <alignment vertical="center" wrapText="1"/>
    </xf>
    <xf numFmtId="49" fontId="23" fillId="44" borderId="17" xfId="0" applyFont="1" applyFill="1" applyBorder="1" applyNumberFormat="1">
      <alignment horizontal="center" vertical="center" wrapText="1"/>
    </xf>
    <xf numFmtId="4" fontId="23" fillId="0" borderId="16" xfId="0" applyFont="1" applyBorder="1" applyNumberFormat="1">
      <alignment horizontal="right" vertical="center" wrapText="1"/>
    </xf>
    <xf numFmtId="49" fontId="0" fillId="44" borderId="19" xfId="0" applyFont="1" applyFill="1" applyBorder="1" applyNumberFormat="1">
      <alignment horizontal="center" vertical="center" wrapText="1"/>
    </xf>
    <xf numFmtId="0" fontId="23" fillId="0" borderId="0" xfId="0" applyFont="1" applyNumberFormat="1">
      <alignment vertical="center" wrapText="1"/>
    </xf>
    <xf numFmtId="0" fontId="23" fillId="0" borderId="0" xfId="0" applyFont="1" applyNumberFormat="1">
      <alignment vertical="center" wrapText="1"/>
    </xf>
    <xf numFmtId="4" fontId="58" fillId="0" borderId="16" xfId="0" applyFont="1" applyBorder="1" applyNumberFormat="1">
      <alignment horizontal="center" vertical="center" wrapText="1"/>
    </xf>
    <xf numFmtId="0" fontId="0" fillId="0" borderId="0" xfId="0" applyFont="1" applyNumberFormat="1">
      <alignment vertical="center"/>
    </xf>
    <xf numFmtId="0" fontId="0" fillId="0" borderId="16" xfId="0" applyFont="1" applyBorder="1" applyNumberFormat="1">
      <alignment horizontal="left" vertical="center" wrapText="1" indent="1"/>
    </xf>
    <xf numFmtId="49" fontId="79" fillId="0" borderId="18" xfId="0" applyFont="1" applyBorder="1" applyNumberFormat="1">
      <alignment horizontal="left" vertical="center" wrapText="1"/>
    </xf>
    <xf numFmtId="0" fontId="75" fillId="0" borderId="16" xfId="0" applyFont="1" applyBorder="1" applyNumberFormat="1">
      <alignment horizontal="left" vertical="center" wrapText="1" indent="2"/>
    </xf>
    <xf numFmtId="49" fontId="75" fillId="0" borderId="16" xfId="0" applyFont="1" applyBorder="1" applyNumberFormat="1">
      <alignment horizontal="center" vertical="center" wrapText="1"/>
    </xf>
    <xf numFmtId="0" fontId="80" fillId="0" borderId="0" xfId="0" applyFont="1" applyNumberFormat="1">
      <alignment vertical="center" wrapText="1"/>
    </xf>
    <xf numFmtId="0" fontId="23" fillId="0" borderId="0" xfId="0" applyFont="1" applyNumberFormat="1">
      <alignment vertical="top"/>
    </xf>
    <xf numFmtId="0" fontId="23" fillId="0" borderId="0" xfId="0" applyFont="1" applyNumberFormat="1">
      <alignment horizontal="right" vertical="top" wrapText="1"/>
    </xf>
    <xf numFmtId="0" fontId="23" fillId="0" borderId="21" xfId="0" applyFont="1" applyBorder="1" applyNumberFormat="1">
      <alignment vertical="center" wrapText="1"/>
    </xf>
    <xf numFmtId="49" fontId="55" fillId="44" borderId="19" xfId="0" applyFont="1" applyFill="1" applyBorder="1" applyNumberFormat="1">
      <alignment horizontal="center" vertical="top"/>
    </xf>
    <xf numFmtId="0" fontId="23" fillId="0" borderId="27" xfId="0" applyFont="1" applyBorder="1" applyNumberFormat="1">
      <alignment vertical="top" wrapText="1"/>
    </xf>
    <xf numFmtId="0" fontId="0" fillId="0" borderId="0" xfId="0" applyFont="1" applyNumberFormat="1">
      <alignment horizontal="left" vertical="top" wrapText="1"/>
    </xf>
    <xf numFmtId="0" fontId="23" fillId="0" borderId="21" xfId="0" applyFont="1" applyBorder="1" applyNumberFormat="1">
      <alignment vertical="top" wrapText="1"/>
    </xf>
    <xf numFmtId="0" fontId="23" fillId="0" borderId="0" xfId="0" applyFont="1" applyNumberFormat="1">
      <alignment vertical="center" wrapText="1"/>
    </xf>
    <xf numFmtId="49" fontId="23" fillId="0" borderId="0" xfId="0" applyFont="1" applyNumberFormat="1">
      <alignment vertical="top"/>
    </xf>
    <xf numFmtId="0" fontId="50" fillId="0" borderId="0" xfId="0" applyFont="1" applyNumberFormat="1">
      <alignment vertical="center" wrapText="1"/>
    </xf>
    <xf numFmtId="0" fontId="23" fillId="0" borderId="16" xfId="0" applyFont="1" applyBorder="1" applyNumberFormat="1">
      <alignment vertical="center" wrapText="1"/>
    </xf>
    <xf numFmtId="49" fontId="23" fillId="0" borderId="0" xfId="0" applyFont="1" applyNumberFormat="1">
      <alignment horizontal="center" vertical="center" wrapText="1"/>
    </xf>
    <xf numFmtId="0" fontId="23" fillId="44" borderId="18" xfId="0" applyFont="1" applyFill="1" applyBorder="1" applyNumberFormat="1">
      <alignment vertical="center" wrapText="1"/>
    </xf>
    <xf numFmtId="0" fontId="23" fillId="45" borderId="16" xfId="92" applyFont="1" applyFill="1" applyBorder="1" applyNumberFormat="1">
      <alignment horizontal="left" vertical="center" wrapText="1" indent="1"/>
      <protection locked="0"/>
    </xf>
    <xf numFmtId="49" fontId="51" fillId="44" borderId="19" xfId="0" applyFont="1" applyFill="1" applyBorder="1" applyNumberFormat="1">
      <alignment horizontal="left" vertical="center" indent="2"/>
    </xf>
    <xf numFmtId="0" fontId="58" fillId="0" borderId="0" xfId="0" applyFont="1" applyNumberFormat="1">
      <alignment vertical="center"/>
    </xf>
    <xf numFmtId="0" fontId="81" fillId="0" borderId="0" xfId="0" applyFont="1" applyNumberFormat="1">
      <alignment vertical="center" wrapText="1"/>
    </xf>
    <xf numFmtId="0" fontId="53" fillId="38" borderId="0" xfId="0" applyFont="1" applyFill="1" applyNumberFormat="1">
      <alignment horizontal="center" vertical="center" wrapText="1"/>
    </xf>
    <xf numFmtId="0" fontId="23" fillId="0" borderId="28" xfId="0" applyFont="1" applyBorder="1" applyNumberFormat="1">
      <alignment vertical="center" wrapText="1"/>
    </xf>
    <xf numFmtId="0" fontId="48" fillId="0" borderId="0" xfId="0" applyFont="1" applyNumberFormat="1">
      <alignment vertical="center" wrapText="1"/>
    </xf>
    <xf numFmtId="49" fontId="23" fillId="0" borderId="28" xfId="0" applyFont="1" applyBorder="1" applyNumberFormat="1">
      <alignment vertical="top"/>
    </xf>
    <xf numFmtId="0" fontId="58" fillId="0" borderId="28" xfId="0" applyFont="1" applyBorder="1" applyNumberFormat="1">
      <alignment horizontal="center" vertical="center" wrapText="1"/>
    </xf>
    <xf numFmtId="0" fontId="58" fillId="0" borderId="28" xfId="0" applyFont="1" applyBorder="1" applyNumberFormat="1">
      <alignment vertical="center" wrapText="1"/>
    </xf>
    <xf numFmtId="49" fontId="43" fillId="0" borderId="0" xfId="0" applyFont="1" applyNumberFormat="1">
      <alignment vertical="top"/>
    </xf>
    <xf numFmtId="49" fontId="0" fillId="0" borderId="28" xfId="0" applyFont="1" applyBorder="1" applyNumberFormat="1">
      <alignment vertical="top"/>
    </xf>
    <xf numFmtId="49" fontId="23" fillId="0" borderId="0" xfId="0" applyFont="1" applyNumberFormat="1">
      <alignment vertical="top"/>
    </xf>
    <xf numFmtId="49" fontId="23" fillId="0" borderId="0" xfId="0" applyFont="1" applyNumberFormat="1">
      <alignment vertical="center" wrapText="1"/>
    </xf>
    <xf numFmtId="0" fontId="48" fillId="38" borderId="0" xfId="0" applyFont="1" applyFill="1" applyNumberFormat="1">
      <alignment vertical="center" wrapText="1"/>
    </xf>
    <xf numFmtId="0" fontId="43" fillId="0" borderId="0" xfId="0" applyFont="1" applyNumberFormat="1">
      <alignment horizontal="center" vertical="center" wrapText="1"/>
    </xf>
    <xf numFmtId="0" fontId="43" fillId="0" borderId="0" xfId="0" applyFont="1" applyNumberFormat="1">
      <alignment vertical="center" wrapText="1"/>
    </xf>
    <xf numFmtId="0" fontId="23" fillId="38" borderId="0" xfId="0" applyFont="1" applyFill="1" applyNumberFormat="1">
      <alignment vertical="center" wrapText="1"/>
    </xf>
    <xf numFmtId="49" fontId="23" fillId="0" borderId="0" xfId="0" applyFont="1" applyNumberFormat="1">
      <alignment vertical="center" wrapText="1"/>
    </xf>
    <xf numFmtId="49" fontId="51" fillId="44" borderId="19" xfId="0" applyFont="1" applyFill="1" applyBorder="1" applyNumberFormat="1">
      <alignment horizontal="left" vertical="center" indent="2"/>
    </xf>
    <xf numFmtId="49" fontId="51" fillId="44" borderId="19" xfId="0" applyFont="1" applyFill="1" applyBorder="1" applyNumberFormat="1">
      <alignment horizontal="left" vertical="center" indent="4"/>
    </xf>
    <xf numFmtId="49" fontId="23" fillId="0" borderId="0" xfId="0" applyFont="1" applyNumberFormat="1">
      <alignment vertical="center"/>
    </xf>
    <xf numFmtId="49" fontId="0"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0" fontId="58" fillId="0" borderId="0" xfId="0" applyFont="1" applyNumberFormat="1">
      <alignment vertical="center"/>
    </xf>
    <xf numFmtId="0" fontId="23" fillId="0" borderId="0" xfId="0" applyFont="1" applyNumberFormat="1">
      <alignment vertical="top" wrapText="1"/>
    </xf>
    <xf numFmtId="49" fontId="23" fillId="0" borderId="16" xfId="0" applyFont="1" applyBorder="1" applyNumberFormat="1">
      <alignment horizontal="right" vertical="top"/>
    </xf>
    <xf numFmtId="49" fontId="23" fillId="0" borderId="21" xfId="0" applyFont="1" applyBorder="1" applyNumberFormat="1">
      <alignment horizontal="right" vertical="top"/>
    </xf>
    <xf numFmtId="49" fontId="51" fillId="44" borderId="19" xfId="0" applyFont="1" applyFill="1" applyBorder="1" applyNumberFormat="1">
      <alignment horizontal="left" vertical="center" indent="3"/>
    </xf>
    <xf numFmtId="49" fontId="0" fillId="0" borderId="0" xfId="0" applyFont="1" applyNumberFormat="1">
      <alignment vertical="top"/>
    </xf>
    <xf numFmtId="0" fontId="23" fillId="0" borderId="0" xfId="0" applyFont="1" applyNumberFormat="1">
      <alignment vertical="center" wrapText="1"/>
    </xf>
    <xf numFmtId="49" fontId="43" fillId="0" borderId="0" xfId="0" applyFont="1" applyNumberFormat="1">
      <alignment vertical="top"/>
    </xf>
    <xf numFmtId="49" fontId="50" fillId="0" borderId="0" xfId="0" applyFont="1" applyNumberFormat="1">
      <alignment vertical="top"/>
    </xf>
    <xf numFmtId="0" fontId="50" fillId="38" borderId="0" xfId="0" applyFont="1" applyFill="1" applyNumberFormat="1">
      <alignment vertical="center" wrapText="1"/>
    </xf>
    <xf numFmtId="49" fontId="23" fillId="0" borderId="0" xfId="0" applyFont="1" applyNumberFormat="1">
      <alignment vertical="top"/>
    </xf>
    <xf numFmtId="49" fontId="23" fillId="45" borderId="16" xfId="0" applyFont="1" applyFill="1" applyBorder="1" applyNumberFormat="1">
      <alignment horizontal="left" vertical="center" wrapText="1" indent="4"/>
      <protection locked="0"/>
    </xf>
    <xf numFmtId="49" fontId="23"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58" fillId="0" borderId="0" xfId="0" applyFont="1" applyNumberFormat="1">
      <alignment vertical="top"/>
    </xf>
    <xf numFmtId="49" fontId="58" fillId="0" borderId="0" xfId="0" applyFont="1" applyNumberFormat="1">
      <alignment vertical="center" wrapText="1"/>
    </xf>
    <xf numFmtId="49" fontId="58" fillId="0" borderId="0" xfId="0" applyFont="1" applyNumberFormat="1">
      <alignment vertical="top"/>
    </xf>
    <xf numFmtId="49" fontId="58" fillId="0" borderId="0" xfId="0" applyFont="1" applyNumberFormat="1">
      <alignment vertical="center"/>
    </xf>
    <xf numFmtId="49" fontId="23" fillId="45" borderId="16" xfId="0" applyFont="1" applyFill="1" applyBorder="1" applyNumberFormat="1">
      <alignment horizontal="left" vertical="center" wrapText="1"/>
      <protection locked="0"/>
    </xf>
    <xf numFmtId="49" fontId="30" fillId="45" borderId="16" xfId="0" applyFont="1" applyFill="1" applyBorder="1" applyNumberFormat="1">
      <alignment horizontal="left" vertical="center" wrapText="1"/>
      <protection locked="0"/>
    </xf>
    <xf numFmtId="49" fontId="0" fillId="0" borderId="29" xfId="0" applyFont="1" applyBorder="1" applyNumberFormat="1">
      <alignment horizontal="center" vertical="center"/>
    </xf>
    <xf numFmtId="165" fontId="23" fillId="0" borderId="16" xfId="0" applyFont="1" applyBorder="1" applyNumberFormat="1">
      <alignment horizontal="right" vertical="center" wrapText="1"/>
    </xf>
    <xf numFmtId="49" fontId="30" fillId="45" borderId="18" xfId="0" applyFont="1" applyFill="1" applyBorder="1" applyNumberFormat="1">
      <alignment horizontal="left" vertical="center" wrapText="1"/>
      <protection locked="0"/>
    </xf>
    <xf numFmtId="0" fontId="23" fillId="38" borderId="16" xfId="0" applyFont="1" applyFill="1" applyBorder="1" applyNumberFormat="1">
      <alignment horizontal="center" vertical="center" wrapText="1"/>
    </xf>
    <xf numFmtId="0" fontId="48" fillId="38" borderId="0" xfId="0" applyFont="1" applyFill="1" applyNumberFormat="1">
      <alignment horizontal="center" vertical="center" wrapText="1"/>
    </xf>
    <xf numFmtId="0" fontId="23" fillId="0" borderId="27" xfId="0" applyFont="1" applyBorder="1" applyNumberFormat="1">
      <alignment horizontal="left" vertical="center" wrapText="1"/>
    </xf>
    <xf numFmtId="0" fontId="0" fillId="0" borderId="16" xfId="0" applyFont="1" applyBorder="1" applyNumberFormat="1">
      <alignment horizontal="left" vertical="center" wrapText="1"/>
    </xf>
    <xf numFmtId="0" fontId="23" fillId="38" borderId="0" xfId="0" applyFont="1" applyFill="1" applyNumberFormat="1">
      <alignment horizontal="center" vertical="center" wrapText="1"/>
    </xf>
    <xf numFmtId="0" fontId="36" fillId="0" borderId="0" xfId="92" applyFont="1" applyNumberFormat="1">
      <alignment vertical="top" wrapText="1"/>
    </xf>
    <xf numFmtId="0" fontId="23" fillId="38" borderId="30" xfId="92" applyFont="1" applyFill="1" applyBorder="1" applyNumberFormat="1">
      <alignment horizontal="right" vertical="center" wrapText="1" indent="1"/>
    </xf>
    <xf numFmtId="0" fontId="0" fillId="38" borderId="30" xfId="92" applyFont="1" applyFill="1" applyBorder="1" applyNumberFormat="1">
      <alignment horizontal="right" vertical="center" wrapText="1" indent="1"/>
    </xf>
    <xf numFmtId="0" fontId="23" fillId="0" borderId="0" xfId="92" applyFont="1" applyNumberFormat="1">
      <alignment horizontal="left" vertical="center" wrapText="1" indent="4"/>
    </xf>
    <xf numFmtId="0" fontId="23" fillId="38" borderId="0" xfId="92" applyFont="1" applyFill="1" applyNumberFormat="1">
      <alignment horizontal="center" vertical="center" wrapText="1"/>
    </xf>
    <xf numFmtId="49" fontId="51" fillId="44" borderId="19" xfId="0" applyFont="1" applyFill="1" applyBorder="1" applyNumberFormat="1">
      <alignment horizontal="left" vertical="center"/>
    </xf>
    <xf numFmtId="0" fontId="23" fillId="0" borderId="23" xfId="0" applyFont="1" applyBorder="1" applyNumberFormat="1">
      <alignment vertical="center" wrapText="1"/>
    </xf>
    <xf numFmtId="0" fontId="23" fillId="0" borderId="0" xfId="0" applyFont="1" applyNumberFormat="1">
      <alignment horizontal="left" vertical="center" wrapText="1" indent="1"/>
    </xf>
    <xf numFmtId="0" fontId="80" fillId="0" borderId="0" xfId="0" applyFont="1" applyNumberFormat="1">
      <alignment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23" fillId="44" borderId="31" xfId="0" applyFont="1" applyFill="1" applyBorder="1" applyNumberFormat="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49" fontId="30" fillId="34"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23" fillId="0" borderId="23" xfId="0" applyFont="1" applyBorder="1" applyNumberFormat="1">
      <alignment vertical="top"/>
    </xf>
    <xf numFmtId="49" fontId="78" fillId="44" borderId="17" xfId="0" applyFont="1" applyFill="1" applyBorder="1" applyNumberFormat="1">
      <alignment horizontal="left" vertical="center" indent="1"/>
    </xf>
    <xf numFmtId="49" fontId="78" fillId="44" borderId="19" xfId="0" applyFont="1" applyFill="1" applyBorder="1" applyNumberFormat="1">
      <alignment horizontal="left" vertical="center" indent="1"/>
    </xf>
    <xf numFmtId="49" fontId="36" fillId="44" borderId="18" xfId="0" applyFont="1" applyFill="1" applyBorder="1" applyNumberFormat="1">
      <alignment horizontal="center" vertical="center"/>
    </xf>
    <xf numFmtId="49" fontId="78" fillId="44" borderId="19" xfId="0" applyFont="1" applyFill="1" applyBorder="1" applyNumberFormat="1">
      <alignment vertical="center"/>
    </xf>
    <xf numFmtId="0" fontId="0" fillId="35" borderId="16" xfId="0" applyFont="1" applyFill="1" applyBorder="1" applyNumberFormat="1">
      <alignment horizontal="right" vertical="center"/>
    </xf>
    <xf numFmtId="0" fontId="44" fillId="0" borderId="0" xfId="92" applyFont="1" applyNumberFormat="1">
      <alignment vertical="center" wrapText="1"/>
    </xf>
    <xf numFmtId="0" fontId="23" fillId="0" borderId="0" xfId="92" applyFont="1" applyNumberFormat="1">
      <alignment vertical="center" wrapText="1"/>
    </xf>
    <xf numFmtId="0" fontId="45" fillId="38" borderId="0" xfId="92" applyFont="1" applyFill="1" applyNumberFormat="1">
      <alignment vertical="center" wrapText="1"/>
    </xf>
    <xf numFmtId="0" fontId="43" fillId="0" borderId="0" xfId="92" applyFont="1" applyNumberFormat="1">
      <alignment horizontal="center" vertical="center" wrapText="1"/>
    </xf>
    <xf numFmtId="0" fontId="0" fillId="0" borderId="0" xfId="0" applyFont="1" applyNumberFormat="1">
      <alignment vertical="center" wrapText="1"/>
    </xf>
    <xf numFmtId="0" fontId="43" fillId="0" borderId="0" xfId="92" applyFont="1" applyNumberFormat="1">
      <alignment horizontal="left" vertical="center" wrapText="1"/>
    </xf>
    <xf numFmtId="0" fontId="0" fillId="0" borderId="16" xfId="0" applyFont="1" applyBorder="1" applyNumberFormat="1">
      <alignment horizontal="center" vertical="center" wrapText="1"/>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7" fillId="0" borderId="0" xfId="0" applyFont="1" applyNumberFormat="1">
      <alignment vertical="center" wrapText="1"/>
    </xf>
    <xf numFmtId="0" fontId="0" fillId="0" borderId="0" xfId="0" applyFont="1" applyNumberFormat="1">
      <alignment vertical="center"/>
    </xf>
    <xf numFmtId="49" fontId="58" fillId="0" borderId="0" xfId="0" applyFont="1" applyNumberFormat="1">
      <alignment vertical="top"/>
    </xf>
    <xf numFmtId="0" fontId="82" fillId="0" borderId="0" xfId="0" applyFont="1" applyNumberFormat="1">
      <alignment vertical="center" wrapText="1"/>
    </xf>
    <xf numFmtId="49" fontId="36" fillId="44" borderId="18" xfId="0" applyFont="1" applyFill="1" applyBorder="1" applyNumberFormat="1">
      <alignment horizontal="right" vertical="center" wrapText="1"/>
    </xf>
    <xf numFmtId="49" fontId="57" fillId="0" borderId="0" xfId="0" applyFont="1" applyNumberFormat="1">
      <alignment vertical="top"/>
    </xf>
    <xf numFmtId="49" fontId="0" fillId="0" borderId="0" xfId="0" applyFont="1" applyNumberFormat="1">
      <alignment vertical="top"/>
    </xf>
    <xf numFmtId="49" fontId="0" fillId="44" borderId="17" xfId="0" applyFont="1" applyFill="1" applyBorder="1" applyNumberFormat="1">
      <alignment horizontal="right" vertical="center" wrapText="1"/>
    </xf>
    <xf numFmtId="0" fontId="0" fillId="0" borderId="16" xfId="0" applyFont="1" applyBorder="1" applyNumberFormat="1">
      <alignment horizontal="center" vertical="center" wrapText="1"/>
    </xf>
    <xf numFmtId="0" fontId="66" fillId="0" borderId="0" xfId="92" applyFont="1" applyNumberFormat="1">
      <alignment horizontal="left" vertical="center" wrapText="1"/>
    </xf>
    <xf numFmtId="0" fontId="67" fillId="0" borderId="0" xfId="92" applyFont="1" applyNumberFormat="1">
      <alignment vertical="center" wrapText="1"/>
    </xf>
    <xf numFmtId="0" fontId="68" fillId="38" borderId="0" xfId="92" applyFont="1" applyFill="1" applyNumberFormat="1">
      <alignment vertical="center" wrapText="1"/>
    </xf>
    <xf numFmtId="0" fontId="69" fillId="38" borderId="0" xfId="92" applyFont="1" applyFill="1" applyNumberFormat="1">
      <alignment horizontal="right" vertical="center" wrapText="1" indent="1"/>
    </xf>
    <xf numFmtId="0" fontId="68" fillId="0" borderId="0" xfId="92" applyFont="1" applyNumberFormat="1">
      <alignment vertical="center" wrapText="1"/>
    </xf>
    <xf numFmtId="0" fontId="0" fillId="0" borderId="18" xfId="0" applyFont="1" applyBorder="1" applyNumberFormat="1">
      <alignment horizontal="center" vertical="center" wrapText="1"/>
    </xf>
    <xf numFmtId="0" fontId="0" fillId="34"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3" fontId="0" fillId="45"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vertical="top" wrapText="1"/>
    </xf>
    <xf numFmtId="0" fontId="0" fillId="38" borderId="18" xfId="0" applyFont="1" applyFill="1" applyBorder="1" applyNumberFormat="1">
      <alignment horizontal="left" vertical="center" wrapText="1" indent="1"/>
    </xf>
    <xf numFmtId="0" fontId="0" fillId="38" borderId="21" xfId="0" applyFont="1" applyFill="1" applyBorder="1" applyNumberFormat="1">
      <alignment horizontal="left" vertical="center" wrapText="1"/>
    </xf>
    <xf numFmtId="0" fontId="0" fillId="38" borderId="16" xfId="0" applyFont="1" applyFill="1" applyBorder="1" applyNumberFormat="1">
      <alignment horizontal="left" vertical="center" wrapText="1"/>
    </xf>
    <xf numFmtId="0" fontId="0" fillId="38" borderId="16" xfId="0" applyFont="1" applyFill="1" applyBorder="1" applyNumberFormat="1">
      <alignment horizontal="left" vertical="center" wrapText="1" indent="2"/>
    </xf>
    <xf numFmtId="0" fontId="0" fillId="38" borderId="16" xfId="93" applyFont="1" applyFill="1" applyBorder="1" applyNumberFormat="1">
      <alignment horizontal="center" vertical="center"/>
    </xf>
    <xf numFmtId="49" fontId="0" fillId="45" borderId="16" xfId="0" applyFont="1" applyFill="1" applyBorder="1" applyNumberFormat="1">
      <alignment horizontal="left" vertical="center" wrapText="1"/>
      <protection locked="0"/>
    </xf>
    <xf numFmtId="0" fontId="0" fillId="38" borderId="16" xfId="0" applyFont="1" applyFill="1" applyBorder="1" applyNumberFormat="1">
      <alignment horizontal="left" vertical="center" wrapText="1" indent="1"/>
    </xf>
    <xf numFmtId="0" fontId="0" fillId="0" borderId="16" xfId="0" applyFont="1" applyBorder="1" applyNumberFormat="1">
      <alignment horizontal="center" vertical="center" wrapText="1"/>
    </xf>
    <xf numFmtId="0" fontId="0" fillId="38" borderId="16" xfId="0" applyFont="1" applyFill="1" applyBorder="1" applyNumberFormat="1">
      <alignment vertical="center" wrapText="1"/>
    </xf>
    <xf numFmtId="49" fontId="0" fillId="38" borderId="16" xfId="93" applyFont="1" applyFill="1" applyBorder="1" applyNumberFormat="1">
      <alignment horizontal="center" vertical="center"/>
    </xf>
    <xf numFmtId="0" fontId="0" fillId="38" borderId="16" xfId="0" applyFont="1" applyFill="1" applyBorder="1" applyNumberFormat="1">
      <alignment horizontal="center" vertical="center" wrapText="1"/>
    </xf>
    <xf numFmtId="0" fontId="23" fillId="0" borderId="0" xfId="0" applyFont="1" applyNumberFormat="1">
      <alignment vertical="center" wrapText="1"/>
    </xf>
    <xf numFmtId="49" fontId="47" fillId="38" borderId="0" xfId="0" applyFont="1" applyFill="1" applyNumberFormat="1">
      <alignment horizontal="center" vertical="center" wrapText="1"/>
    </xf>
    <xf numFmtId="0" fontId="43" fillId="0" borderId="0" xfId="0" applyFont="1" applyNumberFormat="1">
      <alignment vertical="center" wrapText="1"/>
    </xf>
    <xf numFmtId="0" fontId="48" fillId="38" borderId="0" xfId="0" applyFont="1" applyFill="1" applyNumberFormat="1">
      <alignment horizontal="center" vertical="center" wrapText="1"/>
    </xf>
    <xf numFmtId="0" fontId="48" fillId="0" borderId="0" xfId="0" applyFont="1" applyNumberFormat="1">
      <alignment horizontal="center" vertical="center" wrapText="1"/>
    </xf>
    <xf numFmtId="0" fontId="53" fillId="0" borderId="0" xfId="0" applyFont="1" applyNumberFormat="1">
      <alignment vertical="center" wrapText="1"/>
    </xf>
    <xf numFmtId="0" fontId="22" fillId="0" borderId="0" xfId="0" applyFont="1" applyNumberFormat="1">
      <alignment horizontal="center" vertical="center" wrapText="1"/>
    </xf>
    <xf numFmtId="0" fontId="56" fillId="0" borderId="0" xfId="92" applyFont="1" applyNumberFormat="1">
      <alignment vertical="center" wrapText="1"/>
    </xf>
    <xf numFmtId="0" fontId="0" fillId="38" borderId="0" xfId="0" applyFont="1" applyFill="1" applyNumberFormat="1"/>
    <xf numFmtId="0" fontId="0" fillId="38" borderId="0" xfId="0" applyFont="1" applyFill="1" applyNumberFormat="1">
      <alignment horizontal="center"/>
    </xf>
    <xf numFmtId="0" fontId="23" fillId="38" borderId="0" xfId="0" applyFont="1" applyFill="1" applyNumberFormat="1">
      <alignment vertical="center" wrapText="1"/>
    </xf>
    <xf numFmtId="0" fontId="83" fillId="38" borderId="0" xfId="0" applyFont="1" applyFill="1" applyNumberFormat="1">
      <alignment horizontal="center"/>
    </xf>
    <xf numFmtId="0" fontId="83" fillId="38" borderId="0" xfId="0" applyFont="1" applyFill="1" applyNumberFormat="1"/>
    <xf numFmtId="0" fontId="84" fillId="38" borderId="0" xfId="0" applyFont="1" applyFill="1" applyNumberFormat="1"/>
    <xf numFmtId="0" fontId="85" fillId="38" borderId="0" xfId="0" applyFont="1" applyFill="1" applyNumberFormat="1">
      <alignment horizontal="right" vertical="center"/>
    </xf>
    <xf numFmtId="0" fontId="85" fillId="38" borderId="0" xfId="0" applyFont="1" applyFill="1" applyNumberFormat="1">
      <alignment horizontal="right" vertical="top"/>
    </xf>
    <xf numFmtId="0" fontId="23" fillId="38" borderId="0" xfId="0" applyFont="1" applyFill="1" applyNumberFormat="1">
      <alignment horizontal="center" vertical="center" wrapText="1"/>
    </xf>
    <xf numFmtId="0" fontId="47" fillId="38" borderId="0" xfId="93" applyFont="1" applyFill="1" applyNumberFormat="1">
      <alignment horizontal="center" vertical="center"/>
    </xf>
    <xf numFmtId="0" fontId="23" fillId="0" borderId="16" xfId="0" applyFont="1" applyBorder="1" applyNumberFormat="1">
      <alignment horizontal="center" vertical="center" wrapText="1"/>
    </xf>
    <xf numFmtId="0" fontId="56" fillId="0" borderId="0" xfId="0" applyFont="1" applyNumberFormat="1">
      <alignment vertical="top" wrapText="1"/>
    </xf>
    <xf numFmtId="0" fontId="23" fillId="44" borderId="18" xfId="74" applyFont="1" applyFill="1" applyBorder="1" applyNumberFormat="1">
      <alignment horizontal="center"/>
    </xf>
    <xf numFmtId="0" fontId="78" fillId="44" borderId="19" xfId="74" applyFont="1" applyFill="1" applyBorder="1" applyNumberFormat="1">
      <alignment horizontal="left" vertical="center"/>
    </xf>
    <xf numFmtId="0" fontId="78" fillId="44" borderId="17" xfId="74" applyFont="1" applyFill="1" applyBorder="1" applyNumberFormat="1">
      <alignment horizontal="left" vertical="center"/>
    </xf>
    <xf numFmtId="0" fontId="86" fillId="38" borderId="0" xfId="0" applyFont="1" applyFill="1" applyNumberFormat="1">
      <alignment vertical="center"/>
    </xf>
    <xf numFmtId="0" fontId="86" fillId="38" borderId="0" xfId="0" applyFont="1" applyFill="1" applyNumberFormat="1">
      <alignment vertical="center" wrapText="1"/>
    </xf>
    <xf numFmtId="49" fontId="23" fillId="38" borderId="16" xfId="93"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8" borderId="16" xfId="0" applyFont="1" applyFill="1" applyBorder="1" applyNumberFormat="1">
      <alignment vertical="center" wrapText="1"/>
    </xf>
    <xf numFmtId="0" fontId="73" fillId="38" borderId="0" xfId="0" applyFont="1" applyFill="1" applyNumberFormat="1"/>
    <xf numFmtId="0" fontId="61" fillId="38" borderId="0" xfId="0" applyFont="1" applyFill="1" applyNumberFormat="1"/>
    <xf numFmtId="0" fontId="69" fillId="38" borderId="0" xfId="0" applyFont="1" applyFill="1" applyNumberFormat="1"/>
    <xf numFmtId="0" fontId="69" fillId="38" borderId="0" xfId="0" applyFont="1" applyFill="1" applyNumberFormat="1">
      <alignment horizontal="center"/>
    </xf>
    <xf numFmtId="0" fontId="66" fillId="0" borderId="0" xfId="0" applyFont="1" applyNumberFormat="1">
      <alignment vertical="center" wrapText="1"/>
    </xf>
    <xf numFmtId="0" fontId="68" fillId="0" borderId="0" xfId="0" applyFont="1" applyNumberFormat="1">
      <alignment vertical="center" wrapText="1"/>
    </xf>
    <xf numFmtId="0" fontId="68" fillId="38" borderId="0" xfId="0" applyFont="1" applyFill="1" applyNumberFormat="1">
      <alignment vertical="center" wrapText="1"/>
    </xf>
    <xf numFmtId="0" fontId="68" fillId="38" borderId="0" xfId="0" applyFont="1" applyFill="1" applyNumberFormat="1">
      <alignment horizontal="right" vertical="center"/>
    </xf>
    <xf numFmtId="0" fontId="68" fillId="38" borderId="0" xfId="0" applyFont="1" applyFill="1" applyNumberFormat="1">
      <alignment horizontal="right" vertical="center" wrapText="1"/>
    </xf>
    <xf numFmtId="4" fontId="68" fillId="0" borderId="0" xfId="78" applyFont="1" applyNumberFormat="1">
      <alignment horizontal="right" vertical="center" wrapText="1"/>
    </xf>
    <xf numFmtId="0" fontId="68" fillId="0" borderId="0" xfId="0" applyFont="1" applyNumberFormat="1">
      <alignment horizontal="left" vertical="center" wrapText="1" indent="1"/>
    </xf>
    <xf numFmtId="0" fontId="87" fillId="38" borderId="0" xfId="0" applyFont="1" applyFill="1" applyNumberFormat="1">
      <alignment horizontal="center" vertical="center" wrapText="1"/>
    </xf>
    <xf numFmtId="0" fontId="47" fillId="38" borderId="0" xfId="0" applyFont="1" applyFill="1" applyNumberFormat="1">
      <alignment horizontal="center" vertical="center" wrapText="1"/>
    </xf>
    <xf numFmtId="0" fontId="72" fillId="0" borderId="0" xfId="0" applyFont="1" applyNumberFormat="1">
      <alignment vertical="center" wrapText="1"/>
    </xf>
    <xf numFmtId="0" fontId="58" fillId="0" borderId="0" xfId="0" applyFont="1" applyNumberFormat="1">
      <alignment vertical="center" wrapText="1"/>
    </xf>
    <xf numFmtId="49" fontId="23" fillId="46" borderId="16" xfId="0" applyFont="1" applyFill="1" applyBorder="1" applyNumberFormat="1">
      <alignment horizontal="left" vertical="center" wrapText="1"/>
    </xf>
    <xf numFmtId="0" fontId="72" fillId="0" borderId="0" xfId="0" applyFont="1" applyNumberFormat="1">
      <alignment horizontal="center" vertical="center" wrapText="1"/>
    </xf>
    <xf numFmtId="0" fontId="23" fillId="38" borderId="28" xfId="0" applyFont="1" applyFill="1" applyBorder="1" applyNumberFormat="1">
      <alignment vertical="center" wrapText="1"/>
    </xf>
    <xf numFmtId="49" fontId="47" fillId="38" borderId="19" xfId="0" applyFont="1" applyFill="1" applyBorder="1" applyNumberFormat="1">
      <alignment horizontal="center" vertical="center" wrapText="1"/>
    </xf>
    <xf numFmtId="0" fontId="58" fillId="0" borderId="0" xfId="0" applyFont="1" applyNumberFormat="1">
      <alignment horizontal="center" vertical="center" wrapText="1"/>
    </xf>
    <xf numFmtId="0" fontId="87" fillId="0" borderId="0" xfId="0" applyFont="1" applyNumberFormat="1">
      <alignment horizontal="center" vertical="center" wrapText="1"/>
    </xf>
    <xf numFmtId="0" fontId="81" fillId="0" borderId="0" xfId="0" applyFont="1" applyNumberFormat="1">
      <alignment vertical="center" wrapText="1"/>
    </xf>
    <xf numFmtId="49" fontId="81" fillId="0" borderId="16" xfId="0" applyFont="1" applyBorder="1" applyNumberFormat="1">
      <alignment horizontal="left" vertical="center" wrapText="1"/>
    </xf>
    <xf numFmtId="0" fontId="88" fillId="38" borderId="0" xfId="0" applyFont="1" applyFill="1" applyNumberFormat="1">
      <alignment horizontal="center" vertical="center" wrapText="1"/>
    </xf>
    <xf numFmtId="49" fontId="81" fillId="0" borderId="21" xfId="0" applyFont="1" applyBorder="1" applyNumberFormat="1">
      <alignment horizontal="left" vertical="center" wrapText="1"/>
    </xf>
    <xf numFmtId="0" fontId="58" fillId="0" borderId="0" xfId="0" applyFont="1" applyNumberFormat="1">
      <alignment vertical="center"/>
    </xf>
    <xf numFmtId="0" fontId="58" fillId="38" borderId="0" xfId="0" applyFont="1" applyFill="1" applyNumberFormat="1"/>
    <xf numFmtId="0" fontId="58" fillId="38" borderId="0" xfId="0" applyFont="1" applyFill="1" applyNumberFormat="1">
      <alignment vertical="center" wrapText="1"/>
    </xf>
    <xf numFmtId="0" fontId="58" fillId="0" borderId="0" xfId="92" applyFont="1" applyNumberFormat="1">
      <alignment vertical="center" wrapText="1"/>
    </xf>
    <xf numFmtId="49" fontId="23" fillId="0" borderId="0" xfId="0" applyFont="1" applyNumberFormat="1">
      <alignment vertical="top"/>
    </xf>
    <xf numFmtId="0" fontId="23" fillId="0" borderId="0" xfId="0" applyFont="1" applyNumberFormat="1">
      <alignment vertical="center" wrapText="1"/>
    </xf>
    <xf numFmtId="0" fontId="48" fillId="38" borderId="0" xfId="0" applyFont="1" applyFill="1" applyNumberFormat="1">
      <alignment horizontal="center" vertical="center" wrapText="1"/>
    </xf>
    <xf numFmtId="0" fontId="53" fillId="0" borderId="0" xfId="0" applyFont="1" applyNumberFormat="1">
      <alignment vertical="center" wrapText="1"/>
    </xf>
    <xf numFmtId="49" fontId="23" fillId="0" borderId="16" xfId="0" applyFont="1" applyBorder="1" applyNumberFormat="1">
      <alignment horizontal="left" vertical="center" wrapText="1"/>
    </xf>
    <xf numFmtId="0" fontId="23" fillId="0" borderId="0" xfId="0" applyFont="1" applyNumberFormat="1">
      <alignment vertical="center" wrapText="1"/>
    </xf>
    <xf numFmtId="49" fontId="58" fillId="0" borderId="0" xfId="0" applyFont="1" applyNumberFormat="1">
      <alignment vertical="center" wrapText="1"/>
    </xf>
    <xf numFmtId="0" fontId="58" fillId="0" borderId="0" xfId="0" applyFont="1" applyNumberFormat="1">
      <alignment vertical="center" wrapText="1"/>
    </xf>
    <xf numFmtId="0" fontId="23" fillId="0" borderId="16" xfId="0" applyFont="1" applyBorder="1" applyNumberFormat="1">
      <alignment horizontal="center" vertical="center"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0" fontId="58" fillId="0" borderId="0" xfId="0" applyFont="1" applyNumberFormat="1">
      <alignment horizontal="left" vertical="center" wrapText="1"/>
    </xf>
    <xf numFmtId="49" fontId="58" fillId="0" borderId="0" xfId="0" applyFont="1" applyNumberFormat="1">
      <alignment horizontal="left" vertical="center" wrapText="1"/>
    </xf>
    <xf numFmtId="0" fontId="58" fillId="0" borderId="0" xfId="0" applyFont="1" applyNumberFormat="1">
      <alignment vertical="center" wrapText="1"/>
    </xf>
    <xf numFmtId="49" fontId="30" fillId="0" borderId="16" xfId="0" applyFont="1" applyBorder="1" applyNumberFormat="1">
      <alignment horizontal="left" vertical="center" wrapText="1"/>
    </xf>
    <xf numFmtId="14" fontId="23" fillId="46"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horizontal="center" vertical="center" wrapText="1"/>
    </xf>
    <xf numFmtId="0" fontId="23" fillId="0" borderId="16" xfId="0" applyFont="1" applyBorder="1" applyNumberFormat="1">
      <alignment horizontal="center" vertical="center" wrapText="1"/>
    </xf>
    <xf numFmtId="49" fontId="23" fillId="46" borderId="16" xfId="0" applyFont="1" applyFill="1" applyBorder="1" applyNumberFormat="1">
      <alignment horizontal="center" vertical="center" wrapText="1"/>
    </xf>
    <xf numFmtId="0" fontId="90" fillId="0" borderId="0" xfId="0" applyFont="1" applyNumberFormat="1">
      <alignment horizontal="center" vertical="center" wrapText="1"/>
    </xf>
    <xf numFmtId="0" fontId="48" fillId="0" borderId="0" xfId="0" applyFont="1" applyNumberFormat="1">
      <alignment horizontal="center" vertical="center" wrapText="1"/>
    </xf>
    <xf numFmtId="49" fontId="23" fillId="0" borderId="16" xfId="0" applyFont="1" applyBorder="1" applyNumberFormat="1">
      <alignment horizontal="center" vertical="center" wrapText="1"/>
    </xf>
    <xf numFmtId="0" fontId="0" fillId="38" borderId="18" xfId="0" applyFont="1" applyFill="1" applyBorder="1" applyNumberFormat="1">
      <alignment horizontal="left" vertical="center" wrapText="1"/>
    </xf>
    <xf numFmtId="49" fontId="36" fillId="44" borderId="19" xfId="0" applyFont="1" applyFill="1" applyBorder="1" applyNumberFormat="1">
      <alignment horizontal="center" vertical="center"/>
    </xf>
    <xf numFmtId="0" fontId="44" fillId="0" borderId="0" xfId="92" applyFont="1" applyNumberFormat="1">
      <alignment vertical="center" wrapText="1"/>
    </xf>
    <xf numFmtId="0" fontId="43" fillId="0" borderId="0" xfId="92" applyFont="1" applyNumberFormat="1">
      <alignment horizontal="center" vertical="center" wrapText="1"/>
    </xf>
    <xf numFmtId="0" fontId="23" fillId="0" borderId="0" xfId="92" applyFont="1" applyNumberFormat="1">
      <alignment horizontal="center" vertical="center" wrapText="1"/>
    </xf>
    <xf numFmtId="0" fontId="23" fillId="0" borderId="0" xfId="92" applyFont="1" applyNumberFormat="1">
      <alignment vertical="center" wrapText="1"/>
    </xf>
    <xf numFmtId="0" fontId="57" fillId="0" borderId="0" xfId="92" applyFont="1" applyNumberFormat="1">
      <alignment horizontal="center" vertical="center" wrapText="1"/>
    </xf>
    <xf numFmtId="0" fontId="91" fillId="0" borderId="0" xfId="92" applyFont="1" applyNumberFormat="1">
      <alignment vertical="center" wrapText="1"/>
    </xf>
    <xf numFmtId="49" fontId="57" fillId="0" borderId="0" xfId="0" applyFont="1" applyNumberFormat="1">
      <alignment horizontal="center" vertical="center" wrapText="1"/>
    </xf>
    <xf numFmtId="0" fontId="57" fillId="0" borderId="0" xfId="0" applyFont="1" applyNumberFormat="1">
      <alignment vertical="center" wrapText="1"/>
    </xf>
    <xf numFmtId="49" fontId="23" fillId="0" borderId="0" xfId="0" applyFont="1" applyNumberFormat="1">
      <alignment horizontal="center" vertical="top" wrapText="1"/>
    </xf>
    <xf numFmtId="49" fontId="23" fillId="0" borderId="16" xfId="0" applyFont="1" applyBorder="1" applyNumberFormat="1">
      <alignment horizontal="center" vertical="center" wrapText="1"/>
    </xf>
    <xf numFmtId="49" fontId="23" fillId="45" borderId="16" xfId="0" applyFont="1" applyFill="1" applyBorder="1" applyNumberFormat="1">
      <alignment vertical="center" wrapText="1"/>
      <protection locked="0"/>
    </xf>
    <xf numFmtId="4" fontId="23" fillId="34" borderId="16" xfId="0" applyFont="1" applyFill="1" applyBorder="1" applyNumberFormat="1">
      <alignment horizontal="right" vertical="center" wrapText="1"/>
      <protection locked="0"/>
    </xf>
    <xf numFmtId="0" fontId="23" fillId="0" borderId="17" xfId="0" applyFont="1" applyBorder="1" applyNumberFormat="1">
      <alignment vertical="top" wrapText="1"/>
    </xf>
    <xf numFmtId="0" fontId="92" fillId="0" borderId="0" xfId="0" applyFont="1" applyNumberFormat="1">
      <alignment vertical="center" wrapText="1"/>
    </xf>
    <xf numFmtId="0" fontId="62" fillId="0" borderId="0" xfId="0" applyFont="1" applyNumberFormat="1">
      <alignment vertical="center" wrapText="1"/>
    </xf>
    <xf numFmtId="169" fontId="23" fillId="34" borderId="16" xfId="0" applyFont="1" applyFill="1" applyBorder="1" applyNumberFormat="1">
      <alignment horizontal="right" vertical="center" wrapText="1"/>
      <protection locked="0"/>
    </xf>
    <xf numFmtId="0" fontId="23" fillId="0" borderId="33" xfId="0" applyFont="1" applyBorder="1" applyNumberFormat="1">
      <alignment horizontal="center" vertical="center" wrapText="1"/>
    </xf>
    <xf numFmtId="0" fontId="23" fillId="45" borderId="16" xfId="0" applyFont="1" applyFill="1" applyBorder="1" applyNumberFormat="1">
      <alignment horizontal="left" vertical="center" wrapText="1" indent="2"/>
      <protection locked="0"/>
    </xf>
    <xf numFmtId="49" fontId="58" fillId="0" borderId="0" xfId="0" applyFont="1" applyNumberFormat="1">
      <alignment horizontal="center" vertical="center" wrapText="1"/>
    </xf>
    <xf numFmtId="0" fontId="58" fillId="0" borderId="33" xfId="0" applyFont="1" applyBorder="1" applyNumberFormat="1">
      <alignment horizontal="center" vertical="center" wrapText="1"/>
    </xf>
    <xf numFmtId="0" fontId="58" fillId="0" borderId="16" xfId="0" applyFont="1" applyBorder="1" applyNumberFormat="1">
      <alignment horizontal="left" vertical="center" wrapText="1" indent="2"/>
    </xf>
    <xf numFmtId="0" fontId="58" fillId="0" borderId="16" xfId="0" applyFont="1" applyBorder="1" applyNumberFormat="1">
      <alignment horizontal="center" vertical="center" wrapText="1"/>
    </xf>
    <xf numFmtId="0" fontId="58" fillId="0" borderId="16" xfId="0" applyFont="1" applyBorder="1" applyNumberFormat="1">
      <alignment vertical="center" wrapText="1"/>
    </xf>
    <xf numFmtId="0" fontId="23" fillId="0" borderId="16" xfId="0" applyFont="1" applyBorder="1" applyNumberFormat="1">
      <alignment horizontal="left" vertical="center" wrapText="1" indent="3"/>
    </xf>
    <xf numFmtId="49" fontId="23" fillId="45" borderId="16" xfId="0" applyFont="1" applyFill="1" applyBorder="1" applyNumberFormat="1">
      <alignment horizontal="center" vertical="center" wrapText="1"/>
      <protection locked="0"/>
    </xf>
    <xf numFmtId="0" fontId="23" fillId="34" borderId="16" xfId="0" applyFont="1" applyFill="1" applyBorder="1" applyNumberFormat="1">
      <alignment horizontal="left" vertical="center" wrapText="1"/>
      <protection locked="0"/>
    </xf>
    <xf numFmtId="0" fontId="22" fillId="0" borderId="0" xfId="0" applyFont="1" applyNumberFormat="1">
      <alignment vertical="center" wrapText="1"/>
    </xf>
    <xf numFmtId="4" fontId="23" fillId="45" borderId="16" xfId="0" applyFont="1" applyFill="1" applyBorder="1" applyNumberFormat="1">
      <alignment horizontal="right" vertical="center" wrapText="1"/>
      <protection locked="0"/>
    </xf>
    <xf numFmtId="4" fontId="23" fillId="42" borderId="16" xfId="0" applyFont="1" applyFill="1" applyBorder="1" applyNumberFormat="1">
      <alignment horizontal="right" vertical="center" wrapText="1"/>
    </xf>
    <xf numFmtId="0" fontId="23" fillId="0" borderId="16" xfId="0" applyFont="1" applyBorder="1" applyNumberFormat="1">
      <alignment horizontal="left" vertical="center" wrapText="1" inden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pplyNumberFormat="1">
      <alignment horizontal="left" vertical="center" wrapText="1" indent="2"/>
    </xf>
    <xf numFmtId="0" fontId="81" fillId="0" borderId="16" xfId="0" applyFont="1" applyBorder="1" applyNumberFormat="1">
      <alignment horizontal="center" vertical="center" wrapText="1"/>
    </xf>
    <xf numFmtId="0" fontId="81" fillId="0" borderId="16" xfId="0" applyFont="1" applyBorder="1" applyNumberFormat="1">
      <alignment vertical="center" wrapText="1"/>
    </xf>
    <xf numFmtId="0" fontId="93" fillId="0" borderId="0" xfId="0" applyFont="1" applyNumberFormat="1">
      <alignment vertical="center" wrapText="1"/>
    </xf>
    <xf numFmtId="0" fontId="71" fillId="0" borderId="0" xfId="0" applyFont="1" applyNumberFormat="1">
      <alignment vertical="center" wrapText="1"/>
    </xf>
    <xf numFmtId="0" fontId="81" fillId="0" borderId="33" xfId="0" applyFont="1" applyBorder="1" applyNumberFormat="1">
      <alignment horizontal="center" vertical="center" wrapText="1"/>
    </xf>
    <xf numFmtId="0" fontId="81" fillId="0" borderId="16" xfId="0" applyFont="1" applyBorder="1" applyNumberFormat="1">
      <alignment horizontal="left" vertical="center" wrapText="1" indent="3"/>
    </xf>
    <xf numFmtId="4" fontId="81" fillId="0" borderId="16" xfId="0" applyFont="1" applyBorder="1" applyNumberFormat="1">
      <alignment horizontal="right" vertical="center" wrapText="1"/>
    </xf>
    <xf numFmtId="49" fontId="23" fillId="44" borderId="18" xfId="0" applyFont="1" applyFill="1" applyBorder="1" applyNumberFormat="1">
      <alignment vertical="center" wrapText="1"/>
    </xf>
    <xf numFmtId="49" fontId="51" fillId="44" borderId="19" xfId="0" applyFont="1" applyFill="1" applyBorder="1" applyNumberFormat="1">
      <alignment horizontal="left" vertical="center" indent="2"/>
    </xf>
    <xf numFmtId="0" fontId="23" fillId="44" borderId="19" xfId="0" applyFont="1" applyFill="1" applyBorder="1" applyNumberFormat="1">
      <alignment vertical="center" wrapText="1"/>
    </xf>
    <xf numFmtId="0" fontId="57" fillId="44" borderId="17" xfId="0" applyFont="1" applyFill="1" applyBorder="1" applyNumberFormat="1">
      <alignment vertical="center" wrapText="1"/>
    </xf>
    <xf numFmtId="14" fontId="23" fillId="0" borderId="0" xfId="0" applyFont="1" applyNumberFormat="1">
      <alignment horizontal="center" vertical="center" wrapText="1"/>
    </xf>
    <xf numFmtId="49" fontId="36" fillId="0" borderId="0" xfId="0" applyFont="1" applyNumberFormat="1">
      <alignment horizontal="center" vertical="center"/>
    </xf>
    <xf numFmtId="0" fontId="23" fillId="0" borderId="16" xfId="0" applyFont="1" applyBorder="1" applyNumberFormat="1">
      <alignment horizontal="left" vertical="center" wrapText="1" indent="2"/>
    </xf>
    <xf numFmtId="169" fontId="23" fillId="45" borderId="16" xfId="0" applyFont="1" applyFill="1" applyBorder="1" applyNumberFormat="1">
      <alignment horizontal="right" vertical="center" wrapText="1"/>
      <protection locked="0"/>
    </xf>
    <xf numFmtId="0" fontId="23" fillId="0" borderId="21" xfId="0" applyFont="1" applyBorder="1" applyNumberFormat="1">
      <alignment horizontal="center" vertical="center" wrapText="1"/>
    </xf>
    <xf numFmtId="4" fontId="23" fillId="42" borderId="21"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0" fontId="23" fillId="0" borderId="0" xfId="0" applyFont="1" applyNumberFormat="1">
      <alignment horizontal="left" vertical="center" wrapText="1"/>
    </xf>
    <xf numFmtId="0" fontId="23" fillId="0" borderId="0" xfId="0" applyFont="1" applyNumberFormat="1">
      <alignment vertical="center"/>
    </xf>
    <xf numFmtId="0" fontId="0" fillId="0" borderId="0" xfId="0" applyFont="1" applyNumberFormat="1">
      <alignment vertical="center"/>
    </xf>
    <xf numFmtId="0" fontId="57" fillId="0" borderId="0" xfId="0" applyFont="1" applyNumberFormat="1">
      <alignment vertical="center"/>
    </xf>
    <xf numFmtId="0" fontId="23" fillId="0" borderId="0" xfId="0" applyFont="1" applyNumberFormat="1">
      <alignment vertical="center"/>
    </xf>
    <xf numFmtId="0" fontId="94" fillId="0" borderId="0" xfId="0" applyFont="1" applyNumberFormat="1">
      <alignment vertical="center"/>
    </xf>
    <xf numFmtId="0" fontId="52" fillId="0" borderId="0" xfId="0" applyFont="1" applyNumberFormat="1">
      <alignment vertical="center"/>
    </xf>
    <xf numFmtId="0" fontId="23" fillId="0" borderId="0" xfId="0" applyFont="1" applyNumberFormat="1">
      <alignment vertical="center" wrapText="1"/>
    </xf>
    <xf numFmtId="0" fontId="52" fillId="0" borderId="0" xfId="0" applyFont="1" applyNumberFormat="1">
      <alignment vertical="center"/>
    </xf>
    <xf numFmtId="0" fontId="94" fillId="0" borderId="0" xfId="0" applyFont="1" applyNumberFormat="1">
      <alignment vertical="center"/>
    </xf>
    <xf numFmtId="0" fontId="37" fillId="0" borderId="0" xfId="0" applyFont="1" applyNumberFormat="1">
      <alignment vertical="center"/>
    </xf>
    <xf numFmtId="0" fontId="23" fillId="0" borderId="0" xfId="0" applyFont="1" applyNumberFormat="1">
      <alignment horizontal="center" vertical="center" wrapText="1"/>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0" fontId="57" fillId="0" borderId="0" xfId="0" applyFont="1" applyNumberFormat="1">
      <alignment vertical="center"/>
    </xf>
    <xf numFmtId="0" fontId="0" fillId="0" borderId="0" xfId="0" applyFont="1" applyNumberFormat="1">
      <alignment vertical="center"/>
    </xf>
    <xf numFmtId="0" fontId="58" fillId="0" borderId="0" xfId="0" applyFont="1" applyNumberFormat="1">
      <alignment horizontal="center" vertical="center"/>
    </xf>
    <xf numFmtId="0" fontId="23" fillId="0" borderId="0" xfId="0" applyFont="1" applyNumberFormat="1">
      <alignment horizontal="center" vertical="center" wrapText="1"/>
    </xf>
    <xf numFmtId="0" fontId="23" fillId="44" borderId="18"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0" fontId="0" fillId="44" borderId="17" xfId="0" applyFont="1" applyFill="1" applyBorder="1" applyNumberFormat="1">
      <alignment vertical="center"/>
    </xf>
    <xf numFmtId="49" fontId="23" fillId="0" borderId="21"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0" xfId="0" applyFont="1" applyNumberFormat="1">
      <alignment vertical="center"/>
    </xf>
    <xf numFmtId="0" fontId="82" fillId="0" borderId="0" xfId="0" applyFont="1" applyNumberFormat="1">
      <alignment vertical="center"/>
    </xf>
    <xf numFmtId="0" fontId="0" fillId="0" borderId="0" xfId="0" applyFont="1" applyNumberFormat="1">
      <alignment vertical="center"/>
    </xf>
    <xf numFmtId="49" fontId="51" fillId="44" borderId="17"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pplyNumberFormat="1">
      <alignment vertical="top"/>
    </xf>
    <xf numFmtId="49" fontId="43" fillId="0" borderId="0" xfId="0" applyFont="1" applyNumberFormat="1">
      <alignment horizontal="center" vertical="center" wrapText="1"/>
    </xf>
    <xf numFmtId="0" fontId="58" fillId="0" borderId="0" xfId="0" applyFont="1" applyNumberFormat="1">
      <alignment vertical="center" wrapText="1"/>
    </xf>
    <xf numFmtId="0" fontId="43" fillId="0" borderId="0" xfId="0" applyFont="1" applyNumberFormat="1">
      <alignment vertical="center" wrapText="1"/>
    </xf>
    <xf numFmtId="0" fontId="23" fillId="0" borderId="0" xfId="0" applyFont="1" applyNumberFormat="1">
      <alignment horizontal="center" vertical="center" wrapText="1"/>
    </xf>
    <xf numFmtId="0" fontId="36" fillId="0" borderId="0" xfId="0" applyFont="1" applyNumberFormat="1">
      <alignment horizontal="center" vertical="center" wrapText="1"/>
    </xf>
    <xf numFmtId="49" fontId="43" fillId="0" borderId="0" xfId="0" applyFont="1" applyNumberFormat="1">
      <alignment horizontal="center" vertical="center" wrapText="1"/>
    </xf>
    <xf numFmtId="4" fontId="23" fillId="0" borderId="0" xfId="0" applyFont="1" applyNumberFormat="1">
      <alignment horizontal="right" vertical="center" wrapText="1"/>
    </xf>
    <xf numFmtId="9" fontId="36" fillId="0" borderId="0" xfId="0" applyFont="1" applyNumberFormat="1">
      <alignment horizontal="center" vertical="center" wrapText="1"/>
    </xf>
    <xf numFmtId="0" fontId="80" fillId="0" borderId="0" xfId="0" applyFont="1" applyNumberFormat="1">
      <alignment vertical="center" wrapText="1"/>
    </xf>
    <xf numFmtId="0" fontId="58" fillId="0" borderId="0" xfId="0" applyFont="1" applyNumberFormat="1">
      <alignment vertical="center" wrapText="1"/>
    </xf>
    <xf numFmtId="0" fontId="43" fillId="0" borderId="0" xfId="0" applyFont="1" applyNumberFormat="1">
      <alignment vertical="center" wrapText="1"/>
    </xf>
    <xf numFmtId="49" fontId="71" fillId="0" borderId="0" xfId="0" applyFont="1" applyNumberFormat="1">
      <alignment horizontal="center" vertical="center" wrapText="1"/>
    </xf>
    <xf numFmtId="0" fontId="71"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49" fontId="57" fillId="0" borderId="0" xfId="0" applyFont="1" applyNumberFormat="1">
      <alignment vertical="top"/>
    </xf>
    <xf numFmtId="0" fontId="57" fillId="0" borderId="0" xfId="0" applyFont="1" applyNumberFormat="1">
      <alignment vertical="top"/>
    </xf>
    <xf numFmtId="0" fontId="82" fillId="0" borderId="0" xfId="0" applyFont="1" applyNumberFormat="1">
      <alignment vertical="top"/>
    </xf>
    <xf numFmtId="0" fontId="95" fillId="0" borderId="0" xfId="0" applyFont="1" applyNumberFormat="1">
      <alignment vertical="top"/>
    </xf>
    <xf numFmtId="0" fontId="57" fillId="0" borderId="0" xfId="0" applyFont="1" applyNumberFormat="1">
      <alignment horizontal="center" vertical="center" wrapText="1"/>
    </xf>
    <xf numFmtId="0" fontId="58" fillId="0" borderId="0" xfId="0" applyFont="1" applyNumberFormat="1">
      <alignment horizontal="center" vertical="center" wrapText="1"/>
    </xf>
    <xf numFmtId="0" fontId="58" fillId="0" borderId="16" xfId="0" applyFont="1" applyBorder="1" applyNumberFormat="1">
      <alignment horizontal="left" vertical="center" wrapText="1"/>
    </xf>
    <xf numFmtId="0" fontId="58" fillId="0" borderId="16" xfId="0" applyFont="1" applyBorder="1" applyNumberFormat="1">
      <alignment vertical="center" wrapText="1"/>
    </xf>
    <xf numFmtId="49" fontId="0" fillId="0" borderId="17" xfId="0" applyFont="1" applyBorder="1" applyNumberFormat="1">
      <alignment horizontal="center"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0" fontId="0" fillId="0" borderId="16" xfId="0" applyFont="1" applyBorder="1" applyNumberFormat="1">
      <alignment vertical="center" wrapText="1"/>
    </xf>
    <xf numFmtId="49" fontId="0" fillId="0" borderId="34"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0" fontId="51" fillId="0" borderId="16" xfId="0" applyFont="1" applyBorder="1" applyNumberFormat="1">
      <alignment horizontal="left" vertical="center" indent="1"/>
    </xf>
    <xf numFmtId="0" fontId="23" fillId="0" borderId="0" xfId="0" applyFont="1" applyNumberFormat="1">
      <alignment horizontal="right" vertical="center" wrapText="1"/>
    </xf>
    <xf numFmtId="0" fontId="0" fillId="0" borderId="0" xfId="0" applyFont="1" applyNumberFormat="1">
      <alignment vertical="center"/>
    </xf>
    <xf numFmtId="0" fontId="56" fillId="0" borderId="0" xfId="0" applyFont="1" applyNumberFormat="1">
      <alignment horizontal="right" vertical="top" wrapText="1"/>
    </xf>
    <xf numFmtId="0" fontId="23" fillId="0" borderId="0" xfId="0" applyFont="1" applyNumberFormat="1">
      <alignment vertical="top" wrapText="1"/>
    </xf>
    <xf numFmtId="0" fontId="23" fillId="0" borderId="0" xfId="0" applyFont="1" applyNumberFormat="1">
      <alignment horizontal="left" vertical="top" wrapText="1"/>
    </xf>
    <xf numFmtId="0" fontId="47" fillId="0" borderId="0" xfId="0" applyFont="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49" fontId="30" fillId="34" borderId="18" xfId="0" applyFont="1" applyFill="1" applyBorder="1" applyNumberFormat="1">
      <alignment horizontal="left" vertical="center" wrapText="1"/>
      <protection locked="0"/>
    </xf>
    <xf numFmtId="49" fontId="23" fillId="45" borderId="16" xfId="0" applyFont="1" applyFill="1" applyBorder="1" applyNumberFormat="1">
      <alignment horizontal="left" vertical="center" wrapText="1"/>
      <protection locked="0"/>
    </xf>
    <xf numFmtId="0" fontId="56" fillId="0" borderId="0" xfId="0" applyFont="1" applyNumberFormat="1">
      <alignment vertical="top"/>
    </xf>
    <xf numFmtId="49" fontId="23" fillId="0" borderId="35" xfId="0" applyFont="1" applyBorder="1" applyNumberFormat="1">
      <alignment horizontal="center" vertical="center" wrapText="1"/>
    </xf>
    <xf numFmtId="0" fontId="23" fillId="0" borderId="35" xfId="0" applyFont="1" applyBorder="1" applyNumberFormat="1">
      <alignment horizontal="left" vertical="center" wrapText="1"/>
    </xf>
    <xf numFmtId="0" fontId="23" fillId="0" borderId="35" xfId="0" applyFont="1" applyBorder="1" applyNumberFormat="1">
      <alignment horizontal="left" vertical="center" wrapText="1" indent="1"/>
    </xf>
    <xf numFmtId="4" fontId="23" fillId="45" borderId="35" xfId="0" applyFont="1" applyFill="1" applyBorder="1" applyNumberFormat="1">
      <alignment horizontal="right" vertical="center" wrapText="1"/>
      <protection locked="0"/>
    </xf>
    <xf numFmtId="49" fontId="23" fillId="0" borderId="36" xfId="0" applyFont="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0" fontId="23" fillId="0" borderId="35" xfId="0" applyFont="1" applyBorder="1" applyNumberFormat="1">
      <alignment horizontal="left" vertical="center" wrapText="1" indent="2"/>
    </xf>
    <xf numFmtId="0" fontId="57" fillId="0" borderId="0" xfId="0" applyFont="1" applyNumberFormat="1">
      <alignment horizontal="center" vertical="center" wrapText="1"/>
    </xf>
    <xf numFmtId="49" fontId="23" fillId="0" borderId="0" xfId="0" applyFont="1" applyNumberFormat="1">
      <alignment horizontal="left" vertical="center" wrapText="1"/>
    </xf>
    <xf numFmtId="0" fontId="91" fillId="0" borderId="0" xfId="0" applyFont="1" applyNumberFormat="1">
      <alignment vertical="center" wrapText="1"/>
    </xf>
    <xf numFmtId="0" fontId="91" fillId="0" borderId="0" xfId="0" applyFont="1" applyNumberFormat="1">
      <alignment vertical="center" wrapText="1"/>
    </xf>
    <xf numFmtId="0" fontId="23" fillId="0" borderId="0" xfId="0" applyFont="1" applyNumberFormat="1">
      <alignment horizontal="left" vertical="center" wrapText="1"/>
    </xf>
    <xf numFmtId="0" fontId="23" fillId="0" borderId="16" xfId="0" applyFont="1" applyBorder="1" applyNumberFormat="1">
      <alignment horizontal="left" vertical="center" wrapText="1"/>
    </xf>
    <xf numFmtId="3" fontId="23" fillId="0" borderId="18" xfId="0" applyFont="1" applyBorder="1" applyNumberFormat="1">
      <alignment vertical="center" wrapText="1"/>
    </xf>
    <xf numFmtId="0" fontId="23" fillId="0" borderId="17" xfId="0" applyFont="1" applyBorder="1" applyNumberFormat="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47" fillId="0" borderId="0" xfId="0" applyFont="1" applyNumberFormat="1">
      <alignment horizontal="center" vertical="center" wrapText="1"/>
    </xf>
    <xf numFmtId="0" fontId="23" fillId="0" borderId="18" xfId="0" applyFont="1" applyBorder="1" applyNumberFormat="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4" fontId="23" fillId="42" borderId="18" xfId="0" applyFont="1" applyFill="1" applyBorder="1" applyNumberFormat="1">
      <alignment horizontal="right" vertical="center" wrapText="1"/>
    </xf>
    <xf numFmtId="0" fontId="23" fillId="0" borderId="0" xfId="0" applyFont="1" applyNumberFormat="1">
      <alignment horizontal="left" vertical="center" wrapText="1"/>
    </xf>
    <xf numFmtId="0" fontId="0" fillId="0" borderId="18" xfId="0" applyFont="1" applyBorder="1" applyNumberFormat="1">
      <alignment horizontal="center" vertical="center"/>
    </xf>
    <xf numFmtId="49" fontId="0" fillId="0" borderId="16" xfId="0" applyFont="1" applyBorder="1" applyNumberFormat="1">
      <alignment horizontal="left" vertical="center" wrapText="1" indent="1"/>
    </xf>
    <xf numFmtId="0" fontId="23" fillId="0" borderId="17" xfId="0" applyFont="1" applyBorder="1" applyNumberFormat="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44" borderId="23" xfId="0" applyFont="1" applyFill="1" applyBorder="1" applyNumberFormat="1">
      <alignment vertical="center" wrapText="1"/>
    </xf>
    <xf numFmtId="0" fontId="23" fillId="0" borderId="19" xfId="0" applyFont="1" applyBorder="1" applyNumberFormat="1">
      <alignment horizontal="center" vertical="center" wrapText="1"/>
    </xf>
    <xf numFmtId="0" fontId="23" fillId="44" borderId="32" xfId="0" applyFont="1" applyFill="1" applyBorder="1" applyNumberFormat="1">
      <alignment vertical="center" wrapText="1"/>
    </xf>
    <xf numFmtId="49" fontId="23" fillId="45" borderId="18" xfId="0" applyFont="1" applyFill="1" applyBorder="1" applyNumberFormat="1">
      <alignment horizontal="left" vertical="center" wrapText="1"/>
      <protection locked="0"/>
    </xf>
    <xf numFmtId="49" fontId="0" fillId="34" borderId="16" xfId="0" applyFont="1" applyFill="1" applyBorder="1" applyNumberFormat="1">
      <alignment horizontal="left" vertical="center" wrapText="1"/>
      <protection locked="0"/>
    </xf>
    <xf numFmtId="0" fontId="22" fillId="0" borderId="0" xfId="0" applyFont="1" applyNumberFormat="1">
      <alignment horizontal="left" vertical="center" wrapText="1" indent="1"/>
    </xf>
    <xf numFmtId="0" fontId="96" fillId="0" borderId="0" xfId="0" applyFont="1" applyNumberFormat="1">
      <alignment vertical="center" wrapText="1"/>
    </xf>
    <xf numFmtId="0" fontId="96" fillId="38" borderId="0" xfId="0" applyFont="1" applyFill="1" applyNumberFormat="1">
      <alignment horizontal="center" vertical="center" wrapText="1"/>
    </xf>
    <xf numFmtId="0" fontId="96" fillId="38" borderId="0" xfId="0" applyFont="1" applyFill="1" applyNumberFormat="1">
      <alignment horizontal="right" vertical="center" wrapText="1"/>
    </xf>
    <xf numFmtId="0" fontId="23" fillId="0" borderId="16" xfId="0" applyFont="1" applyBorder="1" applyNumberFormat="1">
      <alignment horizontal="center" vertical="center" wrapText="1"/>
    </xf>
    <xf numFmtId="49" fontId="57" fillId="0" borderId="0" xfId="0" applyFont="1" applyNumberFormat="1">
      <alignment horizontal="center" vertical="center" wrapText="1"/>
    </xf>
    <xf numFmtId="0" fontId="23" fillId="0" borderId="16" xfId="0" applyFont="1" applyBorder="1" applyNumberFormat="1">
      <alignment horizontal="center" vertical="center" wrapText="1"/>
    </xf>
    <xf numFmtId="0" fontId="57" fillId="0" borderId="0" xfId="0" applyFont="1" applyNumberFormat="1">
      <alignment horizontal="center" vertical="top"/>
    </xf>
    <xf numFmtId="0" fontId="23" fillId="0" borderId="16" xfId="0" applyFont="1" applyBorder="1" applyNumberFormat="1">
      <alignment horizontal="left" vertical="center" wrapText="1"/>
    </xf>
    <xf numFmtId="0" fontId="58" fillId="0" borderId="0" xfId="0" applyFont="1" applyNumberFormat="1">
      <alignment horizontal="center" vertical="center" wrapText="1"/>
    </xf>
    <xf numFmtId="0" fontId="23" fillId="0" borderId="16" xfId="0" applyFont="1" applyBorder="1" applyNumberFormat="1">
      <alignment horizontal="left" vertical="center" wrapText="1"/>
    </xf>
    <xf numFmtId="49" fontId="23" fillId="46" borderId="16" xfId="0" applyFont="1" applyFill="1" applyBorder="1" applyNumberFormat="1">
      <alignment horizontal="left" vertical="center" wrapText="1" indent="1"/>
    </xf>
    <xf numFmtId="0" fontId="23" fillId="0" borderId="18" xfId="0" applyFont="1" applyBorder="1" applyNumberFormat="1">
      <alignment vertical="center" wrapText="1"/>
    </xf>
    <xf numFmtId="0" fontId="23" fillId="0" borderId="0" xfId="0" applyFont="1" applyNumberFormat="1">
      <alignment horizontal="right" vertical="center"/>
    </xf>
    <xf numFmtId="49" fontId="30" fillId="44" borderId="17" xfId="0" applyFont="1" applyFill="1" applyBorder="1" applyNumberFormat="1">
      <alignment horizontal="left" vertical="center" wrapText="1"/>
    </xf>
    <xf numFmtId="0" fontId="97" fillId="0" borderId="0" xfId="0" applyFont="1" applyNumberFormat="1">
      <alignment vertical="center"/>
    </xf>
    <xf numFmtId="0" fontId="98" fillId="0" borderId="0" xfId="92" applyFont="1" applyNumberFormat="1">
      <alignment vertical="center"/>
    </xf>
    <xf numFmtId="49" fontId="58" fillId="0" borderId="26" xfId="0" applyFont="1" applyBorder="1" applyNumberFormat="1">
      <alignment vertical="top"/>
    </xf>
    <xf numFmtId="49" fontId="58" fillId="0" borderId="26" xfId="0" applyFont="1" applyBorder="1" applyNumberFormat="1">
      <alignment vertical="top"/>
    </xf>
    <xf numFmtId="0" fontId="58" fillId="0" borderId="26" xfId="0" applyFont="1" applyBorder="1" applyNumberFormat="1">
      <alignment vertical="center" wrapText="1"/>
    </xf>
    <xf numFmtId="0" fontId="23" fillId="0" borderId="17" xfId="0" applyFont="1" applyBorder="1" applyNumberFormat="1">
      <alignment horizontal="left" vertical="center" wrapText="1" indent="1"/>
    </xf>
    <xf numFmtId="0" fontId="80" fillId="0" borderId="26" xfId="0" applyFont="1" applyBorder="1" applyNumberFormat="1">
      <alignment vertical="center" wrapText="1"/>
    </xf>
    <xf numFmtId="0" fontId="23" fillId="0" borderId="16" xfId="0" applyFont="1" applyBorder="1" applyNumberFormat="1">
      <alignment horizontal="center" vertical="center" wrapText="1"/>
    </xf>
    <xf numFmtId="4" fontId="23" fillId="0" borderId="35" xfId="0" applyFont="1" applyBorder="1" applyNumberFormat="1">
      <alignment horizontal="center" vertical="center" wrapText="1"/>
    </xf>
    <xf numFmtId="0" fontId="23" fillId="0" borderId="37" xfId="0" applyFont="1" applyBorder="1" applyNumberFormat="1">
      <alignment horizontal="left" vertical="center" wrapText="1"/>
    </xf>
    <xf numFmtId="0" fontId="23" fillId="0" borderId="37" xfId="0" applyFont="1" applyBorder="1" applyNumberFormat="1">
      <alignment horizontal="left" vertical="center" wrapText="1" indent="1"/>
    </xf>
    <xf numFmtId="4" fontId="23" fillId="45" borderId="37"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9" fontId="23" fillId="0" borderId="38"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45" borderId="38" xfId="0" applyFont="1" applyFill="1" applyBorder="1" applyNumberFormat="1">
      <alignment horizontal="right" vertical="center" wrapText="1"/>
      <protection locked="0"/>
    </xf>
    <xf numFmtId="0" fontId="57" fillId="0" borderId="0" xfId="0" applyFont="1" applyNumberFormat="1">
      <alignment horizontal="left" vertical="center" wrapText="1"/>
    </xf>
    <xf numFmtId="0" fontId="58" fillId="0" borderId="0" xfId="0" applyFont="1" applyNumberFormat="1">
      <alignment horizontal="left" vertical="center" wrapText="1"/>
    </xf>
    <xf numFmtId="0" fontId="62" fillId="0" borderId="0" xfId="0" applyFont="1" applyNumberFormat="1">
      <alignment horizontal="left" vertical="center" wrapText="1"/>
    </xf>
    <xf numFmtId="0" fontId="43" fillId="0" borderId="0" xfId="0" applyFont="1" applyNumberFormat="1">
      <alignment horizontal="left" vertical="center" wrapText="1"/>
    </xf>
    <xf numFmtId="49" fontId="23" fillId="0" borderId="0" xfId="0" applyFont="1" applyNumberFormat="1">
      <alignment horizontal="center" vertical="center" wrapText="1"/>
    </xf>
    <xf numFmtId="0" fontId="92" fillId="0" borderId="0" xfId="0" applyFont="1" applyNumberFormat="1">
      <alignment vertical="center" wrapText="1"/>
    </xf>
    <xf numFmtId="0" fontId="58" fillId="0" borderId="0" xfId="0" applyFont="1" applyNumberFormat="1">
      <alignment vertical="center" wrapText="1"/>
    </xf>
    <xf numFmtId="0" fontId="62" fillId="0" borderId="0" xfId="0" applyFont="1" applyNumberFormat="1">
      <alignment vertical="center" wrapText="1"/>
    </xf>
    <xf numFmtId="0" fontId="43"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4" fontId="23" fillId="0" borderId="39"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49" fontId="23" fillId="0" borderId="37" xfId="0" applyFont="1" applyBorder="1" applyNumberFormat="1">
      <alignment horizontal="center" vertical="center" wrapText="1"/>
    </xf>
    <xf numFmtId="0" fontId="23" fillId="0" borderId="39" xfId="0" applyFont="1" applyBorder="1" applyNumberFormat="1">
      <alignment horizontal="left" vertical="center" wrapText="1"/>
    </xf>
    <xf numFmtId="0" fontId="23" fillId="0" borderId="24" xfId="0" applyFont="1" applyBorder="1" applyNumberFormat="1">
      <alignment vertical="center" wrapText="1"/>
    </xf>
    <xf numFmtId="0" fontId="48" fillId="0" borderId="0" xfId="0" applyFont="1" applyNumberFormat="1">
      <alignment horizontal="center" vertical="center" wrapText="1"/>
    </xf>
    <xf numFmtId="0" fontId="23" fillId="44" borderId="19" xfId="0" applyFont="1" applyFill="1" applyBorder="1" applyNumberFormat="1">
      <alignment vertical="center" wrapText="1"/>
    </xf>
    <xf numFmtId="0" fontId="57" fillId="44" borderId="17" xfId="0" applyFont="1" applyFill="1" applyBorder="1" applyNumberFormat="1">
      <alignment vertical="center" wrapText="1"/>
    </xf>
    <xf numFmtId="169" fontId="23" fillId="42" borderId="16" xfId="0" applyFont="1" applyFill="1" applyBorder="1" applyNumberFormat="1">
      <alignment horizontal="right" vertical="center" wrapText="1"/>
    </xf>
    <xf numFmtId="0" fontId="0" fillId="0" borderId="0" xfId="0" applyFont="1" applyNumberFormat="1">
      <alignment vertical="center"/>
    </xf>
    <xf numFmtId="4" fontId="23" fillId="34" borderId="16" xfId="0" applyFont="1" applyFill="1" applyBorder="1" applyNumberFormat="1">
      <alignment horizontal="right" vertical="center" wrapText="1"/>
      <protection locked="0"/>
    </xf>
    <xf numFmtId="49" fontId="33" fillId="45" borderId="16" xfId="72" applyFont="1" applyFill="1" applyBorder="1" applyNumberFormat="1">
      <alignment horizontal="left" vertical="center" wrapText="1" indent="1"/>
      <protection locked="0"/>
    </xf>
    <xf numFmtId="0" fontId="78" fillId="38" borderId="0" xfId="0" applyFont="1" applyFill="1" applyNumberFormat="1">
      <alignment horizontal="right" vertical="center"/>
    </xf>
    <xf numFmtId="49" fontId="0" fillId="0" borderId="16" xfId="0" applyFont="1" applyBorder="1" applyNumberFormat="1">
      <alignment vertical="top"/>
    </xf>
    <xf numFmtId="0" fontId="23" fillId="0" borderId="18" xfId="0" applyFont="1" applyBorder="1" applyNumberFormat="1">
      <alignment horizontal="center" vertical="center" wrapText="1"/>
    </xf>
    <xf numFmtId="49" fontId="0" fillId="16" borderId="16" xfId="0" applyFont="1" applyFill="1" applyBorder="1" applyNumberFormat="1">
      <alignment vertical="top"/>
    </xf>
    <xf numFmtId="49" fontId="0" fillId="16" borderId="21" xfId="0" applyFont="1" applyFill="1" applyBorder="1" applyNumberFormat="1">
      <alignment vertical="top"/>
    </xf>
    <xf numFmtId="49" fontId="0" fillId="48" borderId="21" xfId="0" applyFont="1" applyFill="1" applyBorder="1" applyNumberFormat="1">
      <alignment vertical="top"/>
    </xf>
    <xf numFmtId="0" fontId="23" fillId="0" borderId="0" xfId="0" applyFont="1" applyNumberFormat="1">
      <alignment vertical="center" wrapText="1"/>
    </xf>
    <xf numFmtId="0" fontId="43" fillId="0" borderId="0" xfId="0" applyFont="1" applyNumberFormat="1">
      <alignment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49" fontId="23" fillId="0" borderId="0" xfId="0" applyFont="1" applyNumberFormat="1">
      <alignment vertical="center" wrapText="1"/>
    </xf>
    <xf numFmtId="0" fontId="23" fillId="0" borderId="0" xfId="0" applyFont="1" applyNumberFormat="1">
      <alignment horizontal="center" vertical="center" wrapText="1"/>
    </xf>
    <xf numFmtId="49" fontId="0" fillId="0" borderId="18" xfId="0" applyFont="1" applyBorder="1" applyNumberFormat="1">
      <alignment vertical="top"/>
    </xf>
    <xf numFmtId="49" fontId="0" fillId="0" borderId="18" xfId="0" applyFont="1" applyBorder="1" applyNumberFormat="1">
      <alignment horizontal="center" vertical="top"/>
    </xf>
    <xf numFmtId="49" fontId="0" fillId="0" borderId="19" xfId="0" applyFont="1" applyBorder="1" applyNumberFormat="1">
      <alignment horizontal="center" vertical="top"/>
    </xf>
    <xf numFmtId="49" fontId="0" fillId="5" borderId="16" xfId="0" applyFont="1" applyFill="1" applyBorder="1" applyNumberFormat="1">
      <alignment vertical="top"/>
    </xf>
    <xf numFmtId="49" fontId="0" fillId="49" borderId="16" xfId="0" applyFont="1" applyFill="1" applyBorder="1" applyNumberFormat="1">
      <alignment vertical="top"/>
    </xf>
    <xf numFmtId="49" fontId="0" fillId="3" borderId="16" xfId="0" applyFont="1" applyFill="1" applyBorder="1" applyNumberFormat="1">
      <alignment vertical="top"/>
    </xf>
    <xf numFmtId="49" fontId="0" fillId="0" borderId="0" xfId="0" applyFont="1" applyNumberFormat="1">
      <alignment vertical="top"/>
    </xf>
    <xf numFmtId="0" fontId="23" fillId="0" borderId="0" xfId="92" applyFont="1" applyNumberFormat="1">
      <alignment horizontal="center" vertical="center" wrapText="1"/>
    </xf>
    <xf numFmtId="0" fontId="36" fillId="38" borderId="0" xfId="92" applyFont="1" applyFill="1" applyNumberFormat="1">
      <alignment vertical="center" wrapText="1"/>
    </xf>
    <xf numFmtId="0" fontId="30" fillId="0" borderId="0" xfId="0" applyFont="1" applyNumberFormat="1">
      <alignment horizontal="left" vertical="center" indent="1"/>
    </xf>
    <xf numFmtId="0" fontId="0" fillId="38" borderId="0" xfId="92" applyFont="1" applyFill="1" applyNumberFormat="1">
      <alignment horizontal="right" vertical="center" wrapText="1" indent="1"/>
    </xf>
    <xf numFmtId="0" fontId="0" fillId="38" borderId="0" xfId="92" applyFont="1" applyFill="1" applyNumberFormat="1">
      <alignment horizontal="left" vertical="center" wrapText="1" indent="1"/>
    </xf>
    <xf numFmtId="14" fontId="23" fillId="38" borderId="0" xfId="92" applyFont="1" applyFill="1" applyNumberFormat="1">
      <alignment horizontal="center" vertical="center" wrapText="1"/>
    </xf>
    <xf numFmtId="167" fontId="23" fillId="0" borderId="18" xfId="0" applyFont="1" applyBorder="1" applyNumberFormat="1">
      <alignment horizontal="center" vertical="center" wrapText="1"/>
    </xf>
    <xf numFmtId="49" fontId="47" fillId="0" borderId="19" xfId="0" applyFont="1" applyBorder="1" applyNumberFormat="1">
      <alignment horizontal="center" vertical="center" wrapText="1"/>
    </xf>
    <xf numFmtId="49" fontId="23" fillId="0" borderId="0" xfId="0" applyFont="1" applyNumberFormat="1">
      <alignment horizontal="center" vertical="center" wrapText="1"/>
    </xf>
    <xf numFmtId="0" fontId="23" fillId="0" borderId="27" xfId="0" applyFont="1" applyBorder="1" applyNumberFormat="1">
      <alignment horizontal="center" vertical="center" wrapText="1"/>
    </xf>
    <xf numFmtId="0" fontId="48" fillId="0" borderId="0" xfId="0" applyFont="1" applyNumberFormat="1">
      <alignment horizontal="center" vertical="center" wrapText="1"/>
    </xf>
    <xf numFmtId="49" fontId="0" fillId="50" borderId="16" xfId="0" applyFont="1" applyFill="1" applyBorder="1" applyNumberFormat="1">
      <alignment vertical="top"/>
    </xf>
    <xf numFmtId="0" fontId="48" fillId="0" borderId="0" xfId="0" applyFont="1" applyNumberFormat="1">
      <alignment horizontal="center" vertical="center" wrapText="1"/>
    </xf>
    <xf numFmtId="0" fontId="99" fillId="0" borderId="0" xfId="92" applyFont="1" applyNumberFormat="1">
      <alignment horizontal="left" vertical="center" wrapText="1"/>
    </xf>
    <xf numFmtId="0" fontId="99" fillId="0" borderId="0" xfId="92" applyFont="1" applyNumberFormat="1">
      <alignment horizontal="left" vertical="center" wrapText="1"/>
    </xf>
    <xf numFmtId="14" fontId="99" fillId="38" borderId="0" xfId="92" applyFont="1" applyFill="1" applyNumberFormat="1">
      <alignment horizontal="left" vertical="center" wrapText="1"/>
    </xf>
    <xf numFmtId="14" fontId="100" fillId="0" borderId="0" xfId="92" applyFont="1" applyNumberFormat="1">
      <alignment horizontal="center" vertical="center" wrapText="1"/>
    </xf>
    <xf numFmtId="0" fontId="99" fillId="0" borderId="0" xfId="92" applyFont="1" applyNumberFormat="1">
      <alignment horizontal="left" vertical="center" wrapText="1"/>
    </xf>
    <xf numFmtId="14" fontId="101" fillId="0" borderId="16" xfId="92" applyFont="1" applyBorder="1" applyNumberFormat="1">
      <alignment horizontal="left" vertical="center" wrapText="1"/>
    </xf>
    <xf numFmtId="0" fontId="58" fillId="0" borderId="0" xfId="0" applyFont="1" applyNumberFormat="1">
      <alignment vertical="center"/>
    </xf>
    <xf numFmtId="49" fontId="23" fillId="44" borderId="23" xfId="0" applyFont="1" applyFill="1" applyBorder="1" applyNumberFormat="1">
      <alignment horizontal="center" vertical="center" wrapText="1"/>
    </xf>
    <xf numFmtId="49" fontId="23" fillId="42" borderId="27" xfId="0" applyFont="1" applyFill="1" applyBorder="1" applyNumberFormat="1">
      <alignment horizontal="center" vertical="center" wrapText="1"/>
    </xf>
    <xf numFmtId="49" fontId="57" fillId="0" borderId="16" xfId="0" applyFont="1" applyBorder="1" applyNumberFormat="1">
      <alignment horizontal="left" vertical="center" wrapText="1"/>
    </xf>
    <xf numFmtId="14" fontId="23" fillId="46" borderId="27" xfId="0" applyFont="1" applyFill="1" applyBorder="1" applyNumberFormat="1">
      <alignment horizontal="left" vertical="center" wrapText="1" indent="1"/>
    </xf>
    <xf numFmtId="49" fontId="23" fillId="44" borderId="18" xfId="0" applyFont="1" applyFill="1" applyBorder="1" applyNumberFormat="1">
      <alignment horizontal="right" vertical="center" wrapText="1"/>
    </xf>
    <xf numFmtId="0" fontId="58" fillId="0" borderId="27" xfId="0" applyFont="1" applyBorder="1" applyNumberFormat="1">
      <alignment horizontal="center" vertical="center" wrapText="1"/>
    </xf>
    <xf numFmtId="49" fontId="23" fillId="0" borderId="17" xfId="0" applyFont="1" applyBorder="1" applyNumberFormat="1">
      <alignment horizontal="center" vertical="top"/>
    </xf>
    <xf numFmtId="49" fontId="23" fillId="0" borderId="16" xfId="0" applyFont="1" applyBorder="1" applyNumberFormat="1">
      <alignment horizontal="center" vertical="top"/>
    </xf>
    <xf numFmtId="0" fontId="23" fillId="0" borderId="27" xfId="0" applyFont="1" applyBorder="1" applyNumberFormat="1">
      <alignment horizontal="center" vertical="center" wrapText="1"/>
    </xf>
    <xf numFmtId="49" fontId="23" fillId="0" borderId="18" xfId="0" applyFont="1" applyBorder="1" applyNumberFormat="1">
      <alignment horizontal="center" vertical="top"/>
    </xf>
    <xf numFmtId="0" fontId="47" fillId="0" borderId="28" xfId="0" applyFont="1" applyBorder="1" applyNumberFormat="1">
      <alignment vertical="top" wrapText="1"/>
    </xf>
    <xf numFmtId="0" fontId="47" fillId="0" borderId="0" xfId="0" applyFont="1" applyNumberFormat="1">
      <alignment vertical="top" wrapText="1"/>
    </xf>
    <xf numFmtId="0" fontId="58" fillId="0" borderId="16" xfId="0" applyFont="1" applyBorder="1" applyNumberFormat="1">
      <alignment horizontal="center" vertical="center" wrapText="1"/>
    </xf>
    <xf numFmtId="0" fontId="57" fillId="0" borderId="27" xfId="0" applyFont="1" applyBorder="1" applyNumberFormat="1">
      <alignment horizontal="center" vertical="center" wrapTex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0" fontId="58" fillId="0" borderId="16" xfId="0" applyFont="1" applyBorder="1" applyNumberFormat="1">
      <alignment horizontal="center" vertical="center"/>
    </xf>
    <xf numFmtId="0"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21"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57" fillId="0" borderId="26" xfId="0" applyFont="1" applyBorder="1" applyNumberFormat="1">
      <alignment vertical="center"/>
    </xf>
    <xf numFmtId="0" fontId="23" fillId="0" borderId="17" xfId="0" applyFont="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42" borderId="18" xfId="0" applyFont="1" applyFill="1" applyBorder="1" applyNumberFormat="1">
      <alignment horizontal="left" vertical="top" wrapText="1" indent="1"/>
    </xf>
    <xf numFmtId="3" fontId="23" fillId="34" borderId="18" xfId="0" applyFont="1" applyFill="1" applyBorder="1" applyNumberFormat="1">
      <alignment horizontal="right" vertical="center" wrapText="1"/>
      <protection locked="0"/>
    </xf>
    <xf numFmtId="49" fontId="30" fillId="34" borderId="16" xfId="0" applyFont="1" applyFill="1" applyBorder="1" applyNumberFormat="1">
      <alignment horizontal="left" vertical="center" wrapText="1"/>
      <protection locked="0"/>
    </xf>
    <xf numFmtId="0" fontId="30" fillId="0" borderId="0" xfId="0" applyFont="1" applyNumberFormat="1">
      <alignment vertical="center" wrapText="1"/>
    </xf>
    <xf numFmtId="0" fontId="23" fillId="0" borderId="17" xfId="0" applyFont="1" applyBorder="1" applyNumberFormat="1">
      <alignment horizontal="center" vertical="center" wrapText="1"/>
    </xf>
    <xf numFmtId="0" fontId="23" fillId="0" borderId="16" xfId="0" applyFont="1" applyBorder="1" applyNumberFormat="1">
      <alignment horizontal="center" vertical="center" wrapText="1"/>
    </xf>
    <xf numFmtId="49" fontId="0" fillId="0" borderId="16" xfId="0" applyFont="1" applyBorder="1" applyNumberFormat="1">
      <alignment vertical="top"/>
    </xf>
    <xf numFmtId="0" fontId="48" fillId="38" borderId="0" xfId="0" applyFont="1" applyFill="1" applyNumberFormat="1">
      <alignment horizontal="center" vertical="center" wrapText="1"/>
    </xf>
    <xf numFmtId="0" fontId="23" fillId="38" borderId="16" xfId="0" applyFont="1" applyFill="1" applyBorder="1" applyNumberFormat="1">
      <alignment horizontal="center" vertical="center" wrapText="1"/>
    </xf>
    <xf numFmtId="0" fontId="0" fillId="0" borderId="24" xfId="0" applyFont="1" applyBorder="1" applyNumberFormat="1">
      <alignment horizontal="center" vertical="center" wrapText="1"/>
    </xf>
    <xf numFmtId="0" fontId="0" fillId="0" borderId="34"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23" fillId="38" borderId="18" xfId="0" applyFont="1" applyFill="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49" fontId="47" fillId="38" borderId="19" xfId="0" applyFont="1" applyFill="1" applyBorder="1" applyNumberFormat="1">
      <alignment horizontal="center" vertical="center" wrapText="1"/>
    </xf>
    <xf numFmtId="0" fontId="23" fillId="0" borderId="0" xfId="0" applyFont="1" applyNumberFormat="1">
      <alignment horizontal="left" vertical="center" wrapText="1" indent="1"/>
    </xf>
    <xf numFmtId="0" fontId="89" fillId="0" borderId="21" xfId="0" applyFont="1" applyBorder="1" applyNumberFormat="1">
      <alignment horizontal="center" vertical="center" wrapText="1"/>
    </xf>
    <xf numFmtId="49" fontId="57" fillId="0" borderId="0" xfId="0" applyFont="1" applyNumberFormat="1">
      <alignment vertical="top"/>
    </xf>
    <xf numFmtId="0" fontId="102" fillId="0" borderId="0" xfId="0" applyFont="1" applyNumberFormat="1">
      <alignment vertical="center" wrapText="1"/>
    </xf>
    <xf numFmtId="0" fontId="0" fillId="0" borderId="0" xfId="0" applyFont="1" applyNumberFormat="1">
      <alignment vertical="top"/>
    </xf>
    <xf numFmtId="49" fontId="0" fillId="0" borderId="16" xfId="0" applyFont="1" applyBorder="1" applyNumberFormat="1">
      <alignment vertical="top"/>
    </xf>
    <xf numFmtId="49" fontId="0" fillId="45" borderId="16" xfId="0" applyFont="1" applyFill="1" applyBorder="1" applyNumberFormat="1">
      <alignment horizontal="center" vertical="center" wrapText="1"/>
      <protection locked="0"/>
    </xf>
    <xf numFmtId="49" fontId="23" fillId="0" borderId="0" xfId="0" applyFont="1" applyNumberFormat="1">
      <alignment vertical="top"/>
    </xf>
    <xf numFmtId="0" fontId="23" fillId="0" borderId="16" xfId="0" applyFont="1" applyBorder="1" applyNumberFormat="1">
      <alignment horizontal="left" vertical="top" wrapText="1"/>
    </xf>
    <xf numFmtId="49" fontId="103" fillId="0" borderId="0" xfId="0" applyFont="1" applyNumberFormat="1">
      <alignment horizontal="center" vertical="top" wrapText="1"/>
    </xf>
    <xf numFmtId="49" fontId="103" fillId="0" borderId="0" xfId="0" applyFont="1" applyNumberFormat="1">
      <alignment vertical="top" wrapText="1"/>
    </xf>
    <xf numFmtId="49" fontId="99" fillId="35" borderId="16" xfId="0" applyFont="1" applyFill="1" applyBorder="1" applyNumberFormat="1">
      <alignment horizontal="center" vertical="top" wrapText="1"/>
    </xf>
    <xf numFmtId="49" fontId="103" fillId="0" borderId="0" xfId="0" applyFont="1" applyNumberFormat="1">
      <alignment horizontal="left" vertical="top" wrapText="1"/>
    </xf>
    <xf numFmtId="49" fontId="103" fillId="0" borderId="16" xfId="0" applyFont="1" applyBorder="1" applyNumberFormat="1">
      <alignment horizontal="left" vertical="top" wrapText="1"/>
    </xf>
    <xf numFmtId="0" fontId="103" fillId="0" borderId="16" xfId="0" applyFont="1" applyBorder="1" applyNumberFormat="1">
      <alignment horizontal="left" vertical="top" wrapText="1"/>
    </xf>
    <xf numFmtId="0" fontId="103" fillId="35" borderId="16" xfId="0" applyFont="1" applyFill="1" applyBorder="1" applyNumberFormat="1">
      <alignment horizontal="right" vertical="center" wrapText="1"/>
    </xf>
    <xf numFmtId="49" fontId="103" fillId="0" borderId="16" xfId="0" applyFont="1" applyBorder="1" applyNumberFormat="1">
      <alignment vertical="top" wrapText="1"/>
    </xf>
    <xf numFmtId="0" fontId="103" fillId="0" borderId="21" xfId="0" applyFont="1" applyBorder="1" applyNumberFormat="1">
      <alignment horizontal="left" vertical="top" wrapText="1"/>
    </xf>
    <xf numFmtId="0" fontId="103" fillId="0" borderId="17" xfId="0" applyFont="1" applyBorder="1" applyNumberFormat="1">
      <alignment horizontal="left" vertical="top" wrapText="1"/>
    </xf>
    <xf numFmtId="0" fontId="103" fillId="0" borderId="16" xfId="0" applyFont="1" applyBorder="1" applyNumberFormat="1">
      <alignment vertical="top" wrapText="1"/>
    </xf>
    <xf numFmtId="0" fontId="99" fillId="35" borderId="16" xfId="0" applyFont="1" applyFill="1" applyBorder="1" applyNumberFormat="1">
      <alignment horizontal="center" vertical="top" wrapText="1"/>
    </xf>
    <xf numFmtId="0" fontId="103" fillId="0" borderId="0" xfId="0" applyFont="1" applyNumberFormat="1">
      <alignment vertical="top" wrapText="1"/>
    </xf>
    <xf numFmtId="0" fontId="98" fillId="0" borderId="0" xfId="92" applyFont="1" applyNumberFormat="1">
      <alignment vertical="center" wrapText="1"/>
    </xf>
    <xf numFmtId="0" fontId="22" fillId="0" borderId="0" xfId="0" applyFont="1" applyNumberFormat="1">
      <alignment horizontal="left" vertical="center" wrapText="1" indent="3"/>
    </xf>
    <xf numFmtId="3" fontId="0" fillId="0" borderId="17" xfId="0" applyFont="1" applyBorder="1" applyNumberFormat="1">
      <alignment horizontal="right" vertical="center" wrapText="1"/>
    </xf>
    <xf numFmtId="0" fontId="23" fillId="46" borderId="18" xfId="0" applyFont="1" applyFill="1" applyBorder="1" applyNumberFormat="1">
      <alignment horizontal="left" vertical="center" wrapText="1"/>
    </xf>
    <xf numFmtId="49" fontId="47" fillId="38" borderId="16" xfId="0" applyFont="1" applyFill="1" applyBorder="1" applyNumberFormat="1">
      <alignment horizontal="center" vertical="center" wrapText="1"/>
    </xf>
    <xf numFmtId="49" fontId="78" fillId="44" borderId="17" xfId="0" applyFont="1" applyFill="1" applyBorder="1" applyNumberFormat="1">
      <alignment vertical="center"/>
    </xf>
    <xf numFmtId="49" fontId="23" fillId="38" borderId="0" xfId="0" applyFont="1" applyFill="1" applyNumberFormat="1">
      <alignment horizontal="center" vertical="center" wrapText="1"/>
    </xf>
    <xf numFmtId="0" fontId="23" fillId="38" borderId="0" xfId="0" applyFont="1" applyFill="1" applyNumberFormat="1">
      <alignment horizontal="center" vertical="top" wrapText="1"/>
    </xf>
    <xf numFmtId="49" fontId="0" fillId="45" borderId="16" xfId="0" applyFont="1" applyFill="1" applyBorder="1" applyNumberFormat="1">
      <alignment horizontal="left" vertical="center" wrapText="1" indent="1"/>
      <protection locked="0"/>
    </xf>
    <xf numFmtId="49" fontId="23" fillId="46" borderId="18" xfId="0" applyFont="1" applyFill="1" applyBorder="1" applyNumberFormat="1">
      <alignment horizontal="left" vertical="center" wrapText="1"/>
    </xf>
    <xf numFmtId="49" fontId="23" fillId="45" borderId="18" xfId="0" applyFont="1" applyFill="1" applyBorder="1" applyNumberFormat="1">
      <alignment horizontal="left" vertical="center" wrapText="1"/>
      <protection locked="0"/>
    </xf>
    <xf numFmtId="49" fontId="23" fillId="45" borderId="16" xfId="0" applyFont="1" applyFill="1" applyBorder="1" applyNumberFormat="1" quotePrefix="1">
      <alignment horizontal="left" vertical="center" wrapText="1"/>
      <protection locked="0"/>
    </xf>
    <xf numFmtId="14" fontId="23" fillId="46" borderId="27" xfId="0" applyFont="1" applyFill="1" applyBorder="1" applyNumberFormat="1">
      <alignment horizontal="left" vertical="center" wrapText="1"/>
    </xf>
    <xf numFmtId="0" fontId="58" fillId="38" borderId="27" xfId="0" applyFont="1" applyFill="1" applyBorder="1" applyNumberFormat="1">
      <alignment horizontal="center" vertical="center" wrapText="1"/>
    </xf>
    <xf numFmtId="0" fontId="48" fillId="38" borderId="28" xfId="0" applyFont="1" applyFill="1" applyBorder="1" applyNumberFormat="1">
      <alignment vertical="top" wrapText="1"/>
    </xf>
    <xf numFmtId="0" fontId="48" fillId="38" borderId="0" xfId="0" applyFont="1" applyFill="1" applyNumberFormat="1">
      <alignment vertical="top" wrapText="1"/>
    </xf>
    <xf numFmtId="14" fontId="23" fillId="46" borderId="34" xfId="0" applyFont="1" applyFill="1" applyBorder="1" applyNumberFormat="1">
      <alignment horizontal="left" vertical="center" wrapText="1"/>
    </xf>
    <xf numFmtId="0" fontId="58" fillId="38" borderId="16" xfId="0" applyFont="1" applyFill="1" applyBorder="1" applyNumberFormat="1">
      <alignment horizontal="center" vertical="center" wrapText="1"/>
    </xf>
    <xf numFmtId="0" fontId="51" fillId="44" borderId="19" xfId="0" applyFont="1" applyFill="1" applyBorder="1" applyNumberFormat="1">
      <alignment vertical="center"/>
    </xf>
    <xf numFmtId="0" fontId="59" fillId="0" borderId="0" xfId="0" applyFont="1" applyNumberFormat="1">
      <alignment vertical="center"/>
    </xf>
    <xf numFmtId="0" fontId="58" fillId="0" borderId="0" xfId="92" applyFont="1" applyNumberFormat="1">
      <alignment vertical="center" wrapText="1"/>
    </xf>
    <xf numFmtId="49" fontId="57" fillId="0" borderId="0" xfId="0" applyFont="1" applyNumberFormat="1">
      <alignment vertical="center" wrapText="1"/>
    </xf>
    <xf numFmtId="49" fontId="57" fillId="0" borderId="0" xfId="0" applyFont="1" applyNumberFormat="1">
      <alignment vertical="top"/>
    </xf>
    <xf numFmtId="0" fontId="96" fillId="0" borderId="0" xfId="92" applyFont="1" applyNumberFormat="1">
      <alignment vertical="center" wrapText="1"/>
    </xf>
    <xf numFmtId="0" fontId="104" fillId="0" borderId="0" xfId="92" applyFont="1" applyNumberFormat="1">
      <alignment vertical="center" wrapText="1"/>
    </xf>
    <xf numFmtId="0" fontId="57" fillId="0" borderId="0" xfId="92" applyFont="1" applyNumberFormat="1">
      <alignment vertical="center" wrapText="1"/>
    </xf>
    <xf numFmtId="0" fontId="96" fillId="0" borderId="0" xfId="92" applyFont="1" applyNumberFormat="1">
      <alignment horizontal="center" vertical="center" wrapText="1"/>
    </xf>
    <xf numFmtId="0" fontId="57" fillId="0" borderId="0" xfId="92" applyFont="1" applyNumberFormat="1">
      <alignment vertical="center" wrapText="1"/>
    </xf>
    <xf numFmtId="14" fontId="23" fillId="38" borderId="0" xfId="92" applyFont="1" applyFill="1" applyNumberFormat="1">
      <alignment horizontal="left" vertical="center" wrapText="1"/>
    </xf>
    <xf numFmtId="49" fontId="0" fillId="5" borderId="18" xfId="0" applyFont="1" applyFill="1" applyBorder="1" applyNumberFormat="1">
      <alignment vertical="top"/>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xf>
    <xf numFmtId="49" fontId="0" fillId="34" borderId="16" xfId="0" applyFont="1" applyFill="1" applyBorder="1" applyNumberFormat="1">
      <alignment horizontal="left" vertical="center" wrapText="1"/>
    </xf>
    <xf numFmtId="49" fontId="23" fillId="0" borderId="0" xfId="0" applyFont="1" applyNumberFormat="1">
      <alignment vertical="center" wrapText="1"/>
    </xf>
    <xf numFmtId="0" fontId="0" fillId="0" borderId="16" xfId="0" applyFont="1" applyBorder="1" applyNumberFormat="1">
      <alignment horizontal="left" vertical="center" wrapText="1" indent="1"/>
    </xf>
    <xf numFmtId="49" fontId="0"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0" fontId="0" fillId="45" borderId="18" xfId="0" applyFont="1" applyFill="1" applyBorder="1" applyNumberFormat="1">
      <alignment horizontal="left" vertical="center" wrapText="1" indent="2"/>
      <protection locked="0"/>
    </xf>
    <xf numFmtId="0" fontId="23" fillId="0" borderId="19" xfId="0" applyFont="1" applyBorder="1" applyNumberFormat="1">
      <alignment horizontal="right" vertical="center" wrapText="1" indent="1"/>
    </xf>
    <xf numFmtId="0" fontId="23" fillId="0" borderId="17" xfId="0" applyFont="1" applyBorder="1" applyNumberFormat="1">
      <alignment horizontal="right" vertical="center" wrapText="1" indent="1"/>
    </xf>
    <xf numFmtId="0" fontId="105" fillId="38" borderId="0" xfId="0" applyFont="1" applyFill="1" applyNumberFormat="1">
      <alignment horizontal="right" vertical="center"/>
    </xf>
    <xf numFmtId="0" fontId="23" fillId="45" borderId="16" xfId="0" applyFont="1" applyFill="1" applyBorder="1" applyNumberFormat="1">
      <alignment horizontal="center" vertical="center" wrapText="1"/>
      <protection locked="0"/>
    </xf>
    <xf numFmtId="49" fontId="103" fillId="0" borderId="17" xfId="0" applyFont="1" applyBorder="1" applyNumberFormat="1">
      <alignment horizontal="left" vertical="top" wrapText="1"/>
    </xf>
    <xf numFmtId="49" fontId="103" fillId="0" borderId="18" xfId="0" applyFont="1" applyBorder="1" applyNumberFormat="1">
      <alignment horizontal="left" vertical="top" wrapText="1"/>
    </xf>
    <xf numFmtId="0" fontId="103" fillId="0" borderId="21" xfId="0" applyFont="1" applyBorder="1" applyNumberFormat="1">
      <alignment vertical="top" wrapText="1"/>
    </xf>
    <xf numFmtId="0" fontId="103" fillId="0" borderId="40" xfId="0" applyFont="1" applyBorder="1" applyNumberFormat="1">
      <alignment horizontal="left" vertical="top" wrapText="1"/>
    </xf>
    <xf numFmtId="49" fontId="103" fillId="0" borderId="31" xfId="0" applyFont="1" applyBorder="1" applyNumberFormat="1">
      <alignment horizontal="left" vertical="top"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0" fillId="0" borderId="0" xfId="0" applyFont="1" applyNumberFormat="1">
      <alignment vertical="top"/>
    </xf>
    <xf numFmtId="0" fontId="23" fillId="0" borderId="16" xfId="0" applyFont="1" applyBorder="1" applyNumberFormat="1">
      <alignment horizontal="left" vertical="center" wrapText="1"/>
    </xf>
    <xf numFmtId="0" fontId="0" fillId="0" borderId="16" xfId="0" applyFont="1" applyBorder="1" applyNumberFormat="1">
      <alignment horizontal="left" vertical="center" wrapText="1"/>
    </xf>
    <xf numFmtId="49" fontId="103" fillId="0" borderId="16" xfId="0" applyFont="1" applyBorder="1" applyNumberFormat="1">
      <alignment horizontal="center" vertical="top" wrapText="1"/>
    </xf>
    <xf numFmtId="0" fontId="103" fillId="35" borderId="16" xfId="0" applyFont="1" applyFill="1" applyBorder="1" applyNumberFormat="1">
      <alignment horizontal="center" vertical="center" wrapText="1"/>
    </xf>
    <xf numFmtId="49" fontId="103" fillId="0" borderId="41" xfId="0" applyFont="1" applyBorder="1" applyNumberFormat="1">
      <alignment horizontal="center" vertical="top" wrapText="1"/>
    </xf>
    <xf numFmtId="49" fontId="103" fillId="0" borderId="21" xfId="0" applyFont="1" applyBorder="1" applyNumberFormat="1">
      <alignment horizontal="center" vertical="top" wrapText="1"/>
    </xf>
    <xf numFmtId="0" fontId="58" fillId="0" borderId="0" xfId="0" applyFont="1" applyNumberFormat="1">
      <alignment horizontal="center" vertical="center" wrapText="1"/>
    </xf>
    <xf numFmtId="49" fontId="0" fillId="45" borderId="16" xfId="0" applyFont="1" applyFill="1" applyBorder="1" applyNumberFormat="1">
      <alignment horizontal="left" vertical="center" wrapText="1"/>
      <protection locked="0"/>
    </xf>
    <xf numFmtId="0" fontId="57" fillId="0" borderId="0" xfId="0" applyFont="1" applyNumberFormat="1">
      <alignment horizontal="center" vertical="top"/>
    </xf>
    <xf numFmtId="49" fontId="51" fillId="44" borderId="18" xfId="0" applyFont="1" applyFill="1" applyBorder="1" applyNumberFormat="1">
      <alignment horizontal="left" vertical="center" indent="1"/>
    </xf>
    <xf numFmtId="0" fontId="0" fillId="38" borderId="21" xfId="92" applyFont="1" applyFill="1" applyBorder="1" applyNumberFormat="1">
      <alignment horizontal="center" vertical="center" wrapText="1"/>
    </xf>
    <xf numFmtId="0" fontId="23" fillId="38" borderId="21" xfId="92" applyFont="1" applyFill="1" applyBorder="1" applyNumberFormat="1">
      <alignment horizontal="center" vertical="center" wrapText="1"/>
    </xf>
    <xf numFmtId="49" fontId="106" fillId="0" borderId="0" xfId="0" applyFont="1" applyNumberFormat="1">
      <alignment horizontal="center" vertical="center" wrapText="1"/>
    </xf>
    <xf numFmtId="0" fontId="23" fillId="0" borderId="0" xfId="0" applyFont="1" applyNumberFormat="1">
      <alignment vertical="center" wrapText="1"/>
    </xf>
    <xf numFmtId="49" fontId="23" fillId="0" borderId="0" xfId="0" applyFont="1" applyNumberFormat="1">
      <alignment vertical="top"/>
    </xf>
    <xf numFmtId="0" fontId="23" fillId="38" borderId="0" xfId="0" applyFont="1" applyFill="1" applyNumberFormat="1">
      <alignment vertical="center" wrapText="1"/>
    </xf>
    <xf numFmtId="0" fontId="23" fillId="0" borderId="42" xfId="0" applyFont="1" applyBorder="1" applyNumberFormat="1">
      <alignment vertical="center" wrapText="1"/>
    </xf>
    <xf numFmtId="0" fontId="57" fillId="0" borderId="0" xfId="0" applyFont="1" applyNumberFormat="1">
      <alignment vertical="center" wrapText="1"/>
    </xf>
    <xf numFmtId="49" fontId="23" fillId="0" borderId="0" xfId="0" applyFont="1" applyNumberFormat="1">
      <alignment vertical="top"/>
    </xf>
    <xf numFmtId="0" fontId="23" fillId="38" borderId="0" xfId="0" applyFont="1" applyFill="1" applyNumberFormat="1">
      <alignment vertical="center" wrapText="1"/>
    </xf>
    <xf numFmtId="49" fontId="23" fillId="0" borderId="0" xfId="0" applyFont="1" applyNumberFormat="1">
      <alignment vertical="top"/>
    </xf>
    <xf numFmtId="0" fontId="23" fillId="0" borderId="0" xfId="0" applyFont="1" applyNumberFormat="1">
      <alignment vertical="center"/>
    </xf>
    <xf numFmtId="0" fontId="0" fillId="38" borderId="21" xfId="0" applyFont="1" applyFill="1" applyBorder="1" applyNumberFormat="1">
      <alignment horizontal="center" vertical="center" wrapText="1"/>
    </xf>
    <xf numFmtId="0" fontId="0" fillId="38" borderId="41" xfId="0" applyFont="1" applyFill="1" applyBorder="1" applyNumberFormat="1">
      <alignment horizontal="center" vertical="center" wrapText="1"/>
    </xf>
    <xf numFmtId="0" fontId="23" fillId="44" borderId="34" xfId="0" applyFont="1" applyFill="1" applyBorder="1" applyNumberFormat="1">
      <alignment vertical="center" wrapText="1"/>
    </xf>
    <xf numFmtId="0" fontId="23" fillId="0" borderId="0" xfId="0" applyFont="1" applyNumberFormat="1">
      <alignment vertical="center" wrapText="1"/>
    </xf>
    <xf numFmtId="0" fontId="23" fillId="38" borderId="43" xfId="0" applyFont="1" applyFill="1" applyBorder="1" applyNumberFormat="1">
      <alignment vertical="center" wrapText="1"/>
    </xf>
    <xf numFmtId="0" fontId="36" fillId="38" borderId="43" xfId="0" applyFont="1" applyFill="1" applyBorder="1" applyNumberFormat="1">
      <alignment horizontal="center" wrapText="1"/>
    </xf>
    <xf numFmtId="49" fontId="78" fillId="0" borderId="43" xfId="0" applyFont="1" applyBorder="1" applyNumberFormat="1">
      <alignment vertical="top"/>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0" borderId="0" xfId="0" applyFont="1" applyNumberFormat="1">
      <alignment vertical="center"/>
    </xf>
    <xf numFmtId="49" fontId="56" fillId="0" borderId="0" xfId="0" applyFont="1" applyNumberFormat="1">
      <alignment vertical="center" wrapText="1"/>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0" fontId="56" fillId="0" borderId="0" xfId="0" applyFont="1" applyNumberFormat="1">
      <alignment horizontal="center" vertical="center" wrapText="1"/>
    </xf>
    <xf numFmtId="49" fontId="107" fillId="0" borderId="0" xfId="0" applyFont="1" applyNumberFormat="1">
      <alignment vertical="center" wrapText="1"/>
    </xf>
    <xf numFmtId="49" fontId="56" fillId="38" borderId="0" xfId="0" applyFont="1" applyFill="1" applyNumberFormat="1">
      <alignment vertical="center" wrapText="1"/>
    </xf>
    <xf numFmtId="49" fontId="56" fillId="0" borderId="0" xfId="0" applyFont="1" applyNumberFormat="1">
      <alignment vertical="top"/>
    </xf>
    <xf numFmtId="49" fontId="56" fillId="38" borderId="0" xfId="0" applyFont="1" applyFill="1" applyNumberFormat="1">
      <alignment vertical="center"/>
    </xf>
    <xf numFmtId="49" fontId="107" fillId="0" borderId="0" xfId="0" applyFont="1" applyNumberFormat="1">
      <alignment vertical="center"/>
    </xf>
    <xf numFmtId="49" fontId="56" fillId="0" borderId="0" xfId="0" applyFont="1" applyNumberFormat="1">
      <alignment vertical="top"/>
    </xf>
    <xf numFmtId="4" fontId="56" fillId="38" borderId="0" xfId="0" applyFont="1" applyFill="1" applyNumberFormat="1">
      <alignment vertical="center"/>
    </xf>
    <xf numFmtId="3" fontId="56" fillId="34" borderId="16" xfId="0" applyFont="1" applyFill="1" applyBorder="1" applyNumberFormat="1">
      <alignment horizontal="right" vertical="center"/>
      <protection locked="0"/>
    </xf>
    <xf numFmtId="49" fontId="43" fillId="0" borderId="0" xfId="0" applyFont="1" applyNumberFormat="1">
      <alignment horizontal="center" vertical="center" wrapText="1"/>
    </xf>
    <xf numFmtId="49" fontId="23" fillId="0" borderId="0" xfId="0" applyFont="1" applyNumberFormat="1">
      <alignment horizontal="center" vertical="center" wrapText="1"/>
    </xf>
    <xf numFmtId="49" fontId="23" fillId="38" borderId="0" xfId="0" applyFont="1" applyFill="1" applyNumberFormat="1">
      <alignment horizontal="center" vertical="center" wrapText="1"/>
    </xf>
    <xf numFmtId="49" fontId="58" fillId="0" borderId="17" xfId="0" applyFont="1" applyBorder="1" applyNumberFormat="1">
      <alignment horizontal="left" vertical="center" indent="1"/>
    </xf>
    <xf numFmtId="0" fontId="23" fillId="0" borderId="28" xfId="0" applyFont="1" applyBorder="1" applyNumberFormat="1">
      <alignment vertical="top" wrapText="1"/>
    </xf>
    <xf numFmtId="0" fontId="23" fillId="0" borderId="18"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16" xfId="0" applyFont="1" applyBorder="1" applyNumberFormat="1">
      <alignment horizontal="center" vertical="center"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23" fillId="0" borderId="16" xfId="0" applyFont="1" applyBorder="1" applyNumberFormat="1">
      <alignment horizontal="center" vertical="center" wrapText="1"/>
    </xf>
    <xf numFmtId="0" fontId="23" fillId="0" borderId="16" xfId="0" applyFont="1" applyBorder="1" applyNumberFormat="1">
      <alignment horizontal="left" vertical="center" wrapText="1" indent="1"/>
    </xf>
    <xf numFmtId="49" fontId="23" fillId="45"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49" fontId="99" fillId="0" borderId="16" xfId="0" applyFont="1" applyBorder="1" applyNumberFormat="1">
      <alignment horizontal="center" vertical="center" wrapText="1"/>
    </xf>
    <xf numFmtId="0" fontId="99" fillId="0" borderId="16" xfId="0" applyFont="1" applyBorder="1" applyNumberFormat="1">
      <alignment horizontal="center" vertical="center"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pplyNumberFormat="1">
      <alignment horizontal="center" vertical="center" wrapText="1"/>
    </xf>
    <xf numFmtId="49" fontId="103" fillId="0" borderId="26" xfId="0" applyFont="1" applyBorder="1" applyNumberFormat="1">
      <alignment horizontal="center" vertical="top" wrapText="1"/>
    </xf>
    <xf numFmtId="49" fontId="103" fillId="0" borderId="40" xfId="0" applyFont="1" applyBorder="1" applyNumberFormat="1">
      <alignment horizontal="left" vertical="top" wrapText="1"/>
    </xf>
    <xf numFmtId="0" fontId="99" fillId="0" borderId="16" xfId="0" applyFont="1" applyBorder="1" applyNumberFormat="1">
      <alignment vertical="center" wrapText="1"/>
    </xf>
    <xf numFmtId="0" fontId="99" fillId="0" borderId="21" xfId="0" applyFont="1" applyBorder="1" applyNumberFormat="1">
      <alignment vertical="center" wrapText="1"/>
    </xf>
    <xf numFmtId="0" fontId="99" fillId="0" borderId="27" xfId="0" applyFont="1" applyBorder="1" applyNumberFormat="1">
      <alignment vertical="center" wrapText="1"/>
    </xf>
    <xf numFmtId="49" fontId="99" fillId="0" borderId="16" xfId="0" applyFont="1" applyBorder="1" applyNumberFormat="1">
      <alignment horizontal="left" vertical="top" wrapText="1"/>
    </xf>
    <xf numFmtId="169" fontId="23" fillId="45" borderId="21" xfId="0" applyFont="1" applyFill="1" applyBorder="1" applyNumberFormat="1">
      <alignment horizontal="right" vertical="center" wrapText="1"/>
      <protection locked="0"/>
    </xf>
    <xf numFmtId="0" fontId="23" fillId="0" borderId="17" xfId="0" applyFont="1" applyBorder="1" applyNumberFormat="1">
      <alignment horizontal="center" vertical="center" wrapText="1"/>
    </xf>
    <xf numFmtId="0" fontId="23" fillId="0" borderId="24" xfId="0" applyFont="1" applyBorder="1" applyNumberForma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81" fillId="0" borderId="0" xfId="0" applyFont="1" applyNumberFormat="1">
      <alignment horizontal="center" vertical="center" wrapText="1"/>
    </xf>
    <xf numFmtId="4" fontId="23" fillId="45" borderId="17" xfId="0" applyFont="1" applyFill="1" applyBorder="1" applyNumberFormat="1">
      <alignment horizontal="right" vertical="center" wrapText="1"/>
      <protection locked="0"/>
    </xf>
    <xf numFmtId="169" fontId="23" fillId="45" borderId="17" xfId="0" applyFont="1" applyFill="1" applyBorder="1" applyNumberFormat="1">
      <alignment horizontal="right" vertical="center" wrapText="1"/>
      <protection locked="0"/>
    </xf>
    <xf numFmtId="169" fontId="23" fillId="42" borderId="17" xfId="0" applyFont="1" applyFill="1" applyBorder="1" applyNumberFormat="1">
      <alignment horizontal="right" vertical="center" wrapText="1"/>
    </xf>
    <xf numFmtId="4" fontId="23" fillId="45" borderId="34" xfId="0" applyFont="1" applyFill="1" applyBorder="1" applyNumberFormat="1">
      <alignment horizontal="right" vertical="center" wrapText="1"/>
      <protection locked="0"/>
    </xf>
    <xf numFmtId="49" fontId="99" fillId="35" borderId="16" xfId="0" applyFont="1" applyFill="1" applyBorder="1" applyNumberFormat="1">
      <alignment horizontal="center" vertical="top"/>
    </xf>
    <xf numFmtId="49" fontId="103" fillId="0" borderId="0" xfId="0" applyFont="1" applyNumberFormat="1">
      <alignment vertical="top"/>
    </xf>
    <xf numFmtId="49" fontId="99" fillId="0" borderId="16" xfId="0" applyFont="1" applyBorder="1" applyNumberFormat="1">
      <alignment horizontal="center" vertical="top" wrapText="1"/>
    </xf>
    <xf numFmtId="49" fontId="99" fillId="0" borderId="16" xfId="0" applyFont="1" applyBorder="1" applyNumberFormat="1">
      <alignment vertical="top" wrapText="1"/>
    </xf>
    <xf numFmtId="0" fontId="99" fillId="0" borderId="16" xfId="0" applyFont="1" applyBorder="1" applyNumberFormat="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49" fontId="99" fillId="0" borderId="0" xfId="0" applyFont="1" applyNumberFormat="1">
      <alignment horizontal="center" vertical="center" wrapText="1"/>
    </xf>
    <xf numFmtId="49" fontId="99" fillId="0" borderId="0" xfId="0" applyFont="1" applyNumberFormat="1">
      <alignment horizontal="left" vertical="center" wrapText="1"/>
    </xf>
    <xf numFmtId="49" fontId="99" fillId="51" borderId="0" xfId="0" applyFont="1" applyFill="1" applyNumberFormat="1">
      <alignment horizontal="center" vertical="center" wrapText="1"/>
    </xf>
    <xf numFmtId="0" fontId="99" fillId="0" borderId="0" xfId="0" applyFont="1" applyNumberFormat="1">
      <alignment vertical="center" wrapText="1"/>
    </xf>
    <xf numFmtId="0" fontId="58" fillId="0" borderId="16" xfId="0" applyFont="1" applyBorder="1" applyNumberFormat="1">
      <alignment horizontal="left" vertical="center" wrapText="1" indent="3"/>
    </xf>
    <xf numFmtId="49" fontId="58" fillId="0" borderId="16" xfId="0" applyFont="1" applyBorder="1" applyNumberFormat="1">
      <alignment vertical="center" wrapText="1"/>
    </xf>
    <xf numFmtId="0" fontId="58" fillId="0" borderId="21" xfId="0" applyFont="1" applyBorder="1" applyNumberFormat="1">
      <alignment vertical="top" wrapText="1"/>
    </xf>
    <xf numFmtId="0" fontId="58" fillId="0" borderId="40" xfId="0" applyFont="1" applyBorder="1" applyNumberFormat="1">
      <alignment horizontal="left" vertical="center" wrapText="1" indent="1"/>
    </xf>
    <xf numFmtId="0" fontId="58" fillId="0" borderId="40" xfId="0" applyFont="1" applyBorder="1" applyNumberFormat="1">
      <alignment horizontal="center" vertical="center" wrapText="1"/>
    </xf>
    <xf numFmtId="0" fontId="58" fillId="0" borderId="21" xfId="0" applyFont="1" applyBorder="1" applyNumberFormat="1">
      <alignment vertical="center" wrapText="1"/>
    </xf>
    <xf numFmtId="0" fontId="58" fillId="0" borderId="27" xfId="0" applyFont="1" applyBorder="1" applyNumberFormat="1">
      <alignment horizontal="left" vertical="center" wrapText="1" indent="1"/>
    </xf>
    <xf numFmtId="0" fontId="58" fillId="0" borderId="21" xfId="0" applyFont="1" applyBorder="1" applyNumberFormat="1">
      <alignment horizontal="left" vertical="center" wrapText="1" indent="1"/>
    </xf>
    <xf numFmtId="49" fontId="103" fillId="35" borderId="16" xfId="0" applyFont="1" applyFill="1" applyBorder="1" applyNumberFormat="1">
      <alignment horizontal="center" vertical="top" wrapText="1"/>
    </xf>
    <xf numFmtId="49" fontId="103" fillId="35" borderId="16" xfId="0" applyFont="1" applyFill="1" applyBorder="1" applyNumberFormat="1">
      <alignment horizontal="left" vertical="top" wrapText="1"/>
    </xf>
    <xf numFmtId="49" fontId="103" fillId="35" borderId="0" xfId="0" applyFont="1" applyFill="1" applyNumberFormat="1">
      <alignment horizontal="left" vertical="top" wrapText="1"/>
    </xf>
    <xf numFmtId="0" fontId="99" fillId="0" borderId="18" xfId="0" applyFont="1" applyBorder="1" applyNumberFormat="1">
      <alignment horizontal="center" vertical="center" wrapText="1"/>
    </xf>
    <xf numFmtId="0" fontId="23" fillId="0" borderId="27" xfId="0" applyFont="1" applyBorder="1" applyNumberFormat="1">
      <alignment vertical="top" wrapText="1"/>
    </xf>
    <xf numFmtId="0" fontId="23" fillId="0" borderId="27" xfId="0" applyFont="1" applyBorder="1" applyNumberFormat="1">
      <alignment vertical="top" wrapText="1"/>
    </xf>
    <xf numFmtId="0" fontId="99" fillId="0" borderId="18" xfId="0" applyFont="1" applyBorder="1" applyNumberFormat="1">
      <alignment horizontal="center" vertical="center"/>
    </xf>
    <xf numFmtId="49" fontId="58" fillId="38" borderId="16" xfId="93" applyFont="1" applyFill="1" applyBorder="1" applyNumberFormat="1">
      <alignment horizontal="center" vertical="center"/>
    </xf>
    <xf numFmtId="0" fontId="58" fillId="38" borderId="16" xfId="0" applyFont="1" applyFill="1" applyBorder="1" applyNumberFormat="1">
      <alignment horizontal="left" vertical="center" wrapText="1" indent="1"/>
    </xf>
    <xf numFmtId="0" fontId="58" fillId="38" borderId="16" xfId="0" applyFont="1" applyFill="1" applyBorder="1" applyNumberFormat="1">
      <alignment vertical="center" wrapText="1"/>
    </xf>
    <xf numFmtId="49" fontId="58" fillId="0" borderId="16" xfId="93" applyFont="1" applyBorder="1" applyNumberFormat="1">
      <alignment horizontal="center" vertical="center"/>
    </xf>
    <xf numFmtId="0" fontId="58" fillId="0" borderId="16" xfId="0" applyFont="1" applyBorder="1" applyNumberFormat="1">
      <alignment horizontal="left" vertical="center" wrapText="1" indent="1"/>
    </xf>
    <xf numFmtId="0" fontId="58" fillId="0" borderId="16" xfId="0" applyFont="1" applyBorder="1" applyNumberFormat="1">
      <alignment horizontal="left" vertical="center" wrapText="1"/>
    </xf>
    <xf numFmtId="0" fontId="58" fillId="0" borderId="16" xfId="0" applyFont="1" applyBorder="1" applyNumberFormat="1">
      <alignment vertical="center" wrapText="1"/>
    </xf>
    <xf numFmtId="0" fontId="58" fillId="0" borderId="16" xfId="0" applyFont="1" applyBorder="1" applyNumberFormat="1">
      <alignment horizontal="center" vertical="center" wrapText="1"/>
    </xf>
    <xf numFmtId="0" fontId="58" fillId="38" borderId="16" xfId="0" applyFont="1" applyFill="1" applyBorder="1" applyNumberFormat="1">
      <alignment horizontal="left" vertical="center" wrapText="1" indent="2"/>
    </xf>
    <xf numFmtId="49" fontId="58" fillId="0" borderId="16" xfId="0" applyFont="1" applyBorder="1" applyNumberFormat="1">
      <alignment horizontal="left" vertical="center" wrapText="1"/>
    </xf>
    <xf numFmtId="49" fontId="58" fillId="0" borderId="16" xfId="0" applyFont="1" applyBorder="1" applyNumberFormat="1">
      <alignment horizontal="left" vertical="center" wrapText="1"/>
    </xf>
    <xf numFmtId="2" fontId="23" fillId="0" borderId="27" xfId="0" applyFont="1" applyBorder="1" applyNumberFormat="1">
      <alignment horizontal="center" vertical="center" wrapText="1"/>
    </xf>
    <xf numFmtId="0" fontId="108" fillId="0" borderId="0" xfId="0" applyFont="1" applyNumberFormat="1">
      <alignment horizontal="center" vertical="center" wrapText="1"/>
    </xf>
    <xf numFmtId="0" fontId="109" fillId="38" borderId="0" xfId="0" applyFont="1" applyFill="1" applyNumberFormat="1">
      <alignment horizontal="right" vertical="center"/>
    </xf>
    <xf numFmtId="0" fontId="23" fillId="0" borderId="27" xfId="0" applyFont="1" applyBorder="1" applyNumberFormat="1">
      <alignment horizontal="left" vertical="center" wrapText="1"/>
    </xf>
    <xf numFmtId="0" fontId="58" fillId="0" borderId="0" xfId="0" applyFont="1" applyNumberFormat="1">
      <alignment horizontal="center" vertical="center" wrapText="1"/>
    </xf>
    <xf numFmtId="0" fontId="23" fillId="0" borderId="16" xfId="0" applyFont="1" applyBorder="1" applyNumberFormat="1">
      <alignment horizontal="left" vertical="center" wrapText="1"/>
    </xf>
    <xf numFmtId="49" fontId="57" fillId="0" borderId="0" xfId="0" applyFont="1" applyNumberFormat="1">
      <alignment horizontal="center" vertical="center" wrapText="1"/>
    </xf>
    <xf numFmtId="0" fontId="58" fillId="0" borderId="32" xfId="0" applyFont="1" applyBorder="1" applyNumberFormat="1">
      <alignment vertical="center" wrapText="1"/>
    </xf>
    <xf numFmtId="49" fontId="30" fillId="0" borderId="18" xfId="0" applyFont="1" applyBorder="1" applyNumberFormat="1">
      <alignment horizontal="left" vertical="center" wrapText="1"/>
    </xf>
    <xf numFmtId="49" fontId="30" fillId="0" borderId="19" xfId="0" applyFont="1" applyBorder="1" applyNumberFormat="1">
      <alignment horizontal="left" vertical="center" wrapText="1"/>
    </xf>
    <xf numFmtId="49" fontId="58" fillId="0" borderId="0" xfId="0" applyFont="1" applyNumberFormat="1">
      <alignment horizontal="center" vertical="center" wrapText="1"/>
    </xf>
    <xf numFmtId="0" fontId="58" fillId="0" borderId="0" xfId="0" applyFont="1" applyNumberFormat="1">
      <alignment horizontal="center" vertical="center" wrapText="1"/>
    </xf>
    <xf numFmtId="4" fontId="23" fillId="0" borderId="21" xfId="0" applyFont="1" applyBorder="1" applyNumberFormat="1">
      <alignment horizontal="center" vertical="center" wrapText="1"/>
    </xf>
    <xf numFmtId="4" fontId="23" fillId="0" borderId="36" xfId="0" applyFont="1" applyBorder="1" applyNumberFormat="1">
      <alignment horizontal="center" vertical="center" wrapText="1"/>
    </xf>
    <xf numFmtId="49" fontId="30" fillId="0" borderId="41" xfId="0" applyFont="1" applyBorder="1" applyNumberFormat="1">
      <alignment horizontal="left" vertical="center" wrapText="1"/>
    </xf>
    <xf numFmtId="49" fontId="30" fillId="0" borderId="31" xfId="0" applyFont="1" applyBorder="1" applyNumberFormat="1">
      <alignment horizontal="left" vertical="center" wrapText="1"/>
    </xf>
    <xf numFmtId="0" fontId="23" fillId="0" borderId="40" xfId="0" applyFont="1" applyBorder="1" applyNumberFormat="1">
      <alignment vertical="center" wrapText="1"/>
    </xf>
    <xf numFmtId="0" fontId="23" fillId="0" borderId="36" xfId="0" applyFont="1" applyBorder="1" applyNumberFormat="1">
      <alignment horizontal="left" vertical="center" wrapText="1"/>
    </xf>
    <xf numFmtId="49" fontId="57"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 fontId="23" fillId="0" borderId="44" xfId="0" applyFont="1" applyBorder="1" applyNumberFormat="1">
      <alignment horizontal="center" vertical="center" wrapText="1"/>
    </xf>
    <xf numFmtId="0" fontId="58" fillId="0" borderId="0" xfId="0" applyFont="1" applyNumberFormat="1">
      <alignment horizontal="center" vertical="top"/>
    </xf>
    <xf numFmtId="49" fontId="58" fillId="0" borderId="0" xfId="0" applyFont="1" applyNumberFormat="1">
      <alignment vertical="top"/>
    </xf>
    <xf numFmtId="0" fontId="58" fillId="0" borderId="27" xfId="0" applyFont="1" applyBorder="1" applyNumberFormat="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pplyNumberFormat="1">
      <alignment horizontal="left" vertical="center" wrapText="1"/>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0" fontId="58" fillId="0" borderId="16" xfId="0" applyFont="1" applyBorder="1" applyNumberFormat="1">
      <alignment horizontal="left" vertical="center" indent="1"/>
    </xf>
    <xf numFmtId="49" fontId="0" fillId="0" borderId="23" xfId="0" applyFont="1" applyBorder="1" applyNumberFormat="1">
      <alignment vertical="top"/>
    </xf>
    <xf numFmtId="49" fontId="51" fillId="0" borderId="23" xfId="0" applyFont="1" applyBorder="1" applyNumberFormat="1">
      <alignment horizontal="right" vertical="center"/>
    </xf>
    <xf numFmtId="0" fontId="23" fillId="46" borderId="16" xfId="0" applyFont="1" applyFill="1" applyBorder="1" applyNumberFormat="1">
      <alignment horizontal="left" vertical="center" wrapText="1" indent="1"/>
    </xf>
    <xf numFmtId="0" fontId="23" fillId="0" borderId="16" xfId="0" applyFont="1" applyBorder="1" applyNumberFormat="1">
      <alignment horizontal="center" vertical="center" wrapText="1"/>
    </xf>
    <xf numFmtId="0" fontId="58" fillId="0" borderId="0" xfId="0" applyFont="1" applyNumberFormat="1">
      <alignment horizontal="center" vertical="center" wrapTex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0" fontId="69" fillId="38" borderId="0" xfId="92" applyFont="1" applyFill="1" applyNumberFormat="1">
      <alignment horizontal="left" vertical="center" wrapText="1" indent="1"/>
    </xf>
    <xf numFmtId="49" fontId="0" fillId="0" borderId="11" xfId="0" applyFont="1" applyBorder="1" applyNumberFormat="1">
      <alignment horizontal="left" vertical="center" wrapText="1" indent="1"/>
    </xf>
    <xf numFmtId="0" fontId="23" fillId="0" borderId="0" xfId="92" applyFont="1" applyNumberFormat="1">
      <alignment horizontal="left" vertical="center" wrapText="1" indent="1"/>
    </xf>
    <xf numFmtId="49" fontId="30" fillId="34" borderId="17" xfId="0" applyFont="1" applyFill="1" applyBorder="1" applyNumberFormat="1">
      <alignment horizontal="left" vertical="center" wrapText="1"/>
      <protection locked="0"/>
    </xf>
    <xf numFmtId="49" fontId="23" fillId="0" borderId="0" xfId="0" applyFont="1" applyNumberFormat="1">
      <alignment horizontal="center" vertical="center" wrapText="1"/>
    </xf>
    <xf numFmtId="0" fontId="23" fillId="0" borderId="23" xfId="0" applyFont="1" applyBorder="1" applyNumberFormat="1">
      <alignment vertical="center" wrapText="1"/>
    </xf>
    <xf numFmtId="0" fontId="23" fillId="0" borderId="32" xfId="0" applyFont="1" applyBorder="1" applyNumberFormat="1">
      <alignment vertical="center" wrapText="1"/>
    </xf>
    <xf numFmtId="49" fontId="23" fillId="44" borderId="45" xfId="0" applyFont="1" applyFill="1" applyBorder="1" applyNumberFormat="1">
      <alignment horizontal="center" vertical="center" wrapText="1"/>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6" fillId="0" borderId="0" xfId="0" applyFont="1" applyNumberFormat="1">
      <alignment vertical="top"/>
    </xf>
    <xf numFmtId="49" fontId="56" fillId="0" borderId="0" xfId="0" applyFont="1" applyNumberFormat="1">
      <alignment vertical="center" wrapText="1"/>
    </xf>
    <xf numFmtId="0" fontId="56" fillId="0" borderId="0" xfId="0" applyFont="1" applyNumberFormat="1">
      <alignment vertical="center" wrapText="1"/>
    </xf>
    <xf numFmtId="49" fontId="102" fillId="0" borderId="0" xfId="0" applyFont="1" applyNumberFormat="1">
      <alignment vertical="center" wrapText="1"/>
    </xf>
    <xf numFmtId="49" fontId="0" fillId="0" borderId="0" xfId="0" applyFont="1" applyNumberFormat="1">
      <alignment vertical="center" wrapText="1"/>
    </xf>
    <xf numFmtId="49" fontId="43" fillId="52" borderId="0" xfId="0" applyFont="1" applyFill="1" applyNumberFormat="1">
      <alignment horizontal="center" vertical="center"/>
    </xf>
    <xf numFmtId="0" fontId="0" fillId="53" borderId="0" xfId="0" applyFont="1" applyFill="1" applyNumberFormat="1">
      <alignment horizontal="left" vertical="center"/>
    </xf>
    <xf numFmtId="0" fontId="0" fillId="54" borderId="16" xfId="0" applyFont="1" applyFill="1" applyBorder="1" applyNumberFormat="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vertical="top"/>
    </xf>
    <xf numFmtId="0" fontId="23" fillId="0" borderId="16"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0" fontId="0" fillId="0" borderId="18" xfId="0" applyFont="1" applyBorder="1" applyNumberFormat="1">
      <alignment vertical="center"/>
    </xf>
    <xf numFmtId="0" fontId="0" fillId="0" borderId="18" xfId="0" applyFont="1" applyBorder="1" applyNumberFormat="1">
      <alignment vertical="center"/>
    </xf>
    <xf numFmtId="49" fontId="23" fillId="0" borderId="48" xfId="0" applyFont="1" applyBorder="1" applyNumberFormat="1">
      <alignment vertical="center"/>
    </xf>
    <xf numFmtId="49" fontId="23" fillId="0" borderId="49" xfId="0" applyFont="1" applyBorder="1" applyNumberFormat="1">
      <alignment vertical="top"/>
    </xf>
    <xf numFmtId="0" fontId="0" fillId="0" borderId="17" xfId="0" applyFont="1" applyBorder="1" applyNumberFormat="1">
      <alignment vertical="center"/>
    </xf>
    <xf numFmtId="0" fontId="0" fillId="0" borderId="16" xfId="0" applyFont="1" applyBorder="1" applyNumberFormat="1">
      <alignment horizontal="right" vertical="top"/>
    </xf>
    <xf numFmtId="0" fontId="0" fillId="0" borderId="16" xfId="0" applyFont="1" applyBorder="1" applyNumberFormat="1">
      <alignment vertical="top"/>
    </xf>
    <xf numFmtId="0" fontId="23" fillId="0" borderId="17" xfId="0" applyFont="1" applyBorder="1" applyNumberFormat="1">
      <alignment vertical="center"/>
    </xf>
    <xf numFmtId="49" fontId="23" fillId="0" borderId="16" xfId="0" applyFont="1" applyBorder="1" applyNumberFormat="1">
      <alignment vertical="center"/>
    </xf>
    <xf numFmtId="0" fontId="0" fillId="0" borderId="0" xfId="0" applyFont="1" applyNumberFormat="1">
      <alignment vertical="top"/>
    </xf>
    <xf numFmtId="0" fontId="23" fillId="0" borderId="16" xfId="0" applyFont="1" applyBorder="1" applyNumberFormat="1">
      <alignment vertical="top"/>
    </xf>
    <xf numFmtId="49" fontId="23" fillId="0" borderId="16" xfId="0" applyFont="1" applyBorder="1" applyNumberFormat="1">
      <alignment vertical="top"/>
    </xf>
    <xf numFmtId="49" fontId="0" fillId="0" borderId="0" xfId="0" applyFont="1" applyNumberFormat="1">
      <alignment vertical="top"/>
    </xf>
    <xf numFmtId="0" fontId="23" fillId="0" borderId="0" xfId="0" applyFont="1" applyNumberFormat="1">
      <alignment vertical="center"/>
    </xf>
    <xf numFmtId="49" fontId="23" fillId="0" borderId="18" xfId="0" applyFont="1" applyBorder="1" applyNumberFormat="1">
      <alignment vertical="top"/>
    </xf>
    <xf numFmtId="0" fontId="0" fillId="0" borderId="0" xfId="0" applyFont="1" applyNumberFormat="1">
      <alignment vertical="center"/>
    </xf>
    <xf numFmtId="0" fontId="23" fillId="0" borderId="0" xfId="0" applyFont="1" applyNumberFormat="1">
      <alignment vertical="top"/>
    </xf>
    <xf numFmtId="49" fontId="23" fillId="0" borderId="16" xfId="0" applyFont="1" applyBorder="1" applyNumberFormat="1">
      <alignment vertical="top"/>
    </xf>
    <xf numFmtId="49" fontId="0" fillId="0" borderId="18" xfId="0" applyFont="1" applyBorder="1" applyNumberFormat="1">
      <alignment vertical="top"/>
    </xf>
    <xf numFmtId="0" fontId="0" fillId="0" borderId="21" xfId="0" applyFont="1" applyBorder="1" applyNumberFormat="1">
      <alignment vertical="top"/>
    </xf>
    <xf numFmtId="0" fontId="23" fillId="0" borderId="21" xfId="0" applyFont="1" applyBorder="1" applyNumberFormat="1">
      <alignment vertical="center"/>
    </xf>
    <xf numFmtId="49" fontId="23" fillId="0" borderId="35" xfId="0" applyFont="1" applyBorder="1" applyNumberFormat="1">
      <alignment horizontal="center" vertical="center"/>
    </xf>
    <xf numFmtId="49" fontId="23" fillId="0" borderId="0" xfId="0" applyFont="1" applyNumberFormat="1">
      <alignment vertical="top"/>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pplyNumberFormat="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10" fillId="0" borderId="50" xfId="0" applyFont="1" applyBorder="1" applyNumberFormat="1">
      <alignment horizontal="center" vertical="center"/>
    </xf>
    <xf numFmtId="0" fontId="0" fillId="0" borderId="50" xfId="0" applyFont="1" applyBorder="1" applyNumberFormat="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pplyNumberFormat="1">
      <alignment vertical="top"/>
    </xf>
    <xf numFmtId="49" fontId="23" fillId="35" borderId="27" xfId="0" applyFont="1" applyFill="1" applyBorder="1" applyNumberFormat="1">
      <alignment vertical="top"/>
    </xf>
    <xf numFmtId="49" fontId="23" fillId="35" borderId="16" xfId="0" applyFont="1" applyFill="1" applyBorder="1" applyNumberFormat="1">
      <alignment vertical="top"/>
    </xf>
    <xf numFmtId="0" fontId="0" fillId="0" borderId="36" xfId="0" applyFont="1" applyBorder="1" applyNumberFormat="1">
      <alignment horizontal="center" vertical="center"/>
    </xf>
    <xf numFmtId="0" fontId="0" fillId="0" borderId="35" xfId="0" applyFont="1" applyBorder="1" applyNumberFormat="1">
      <alignment horizontal="center" vertical="center"/>
    </xf>
    <xf numFmtId="49" fontId="0" fillId="0" borderId="0" xfId="0" applyFont="1" applyNumberFormat="1">
      <alignment vertical="center"/>
    </xf>
    <xf numFmtId="49" fontId="43" fillId="52" borderId="18" xfId="0" applyFont="1" applyFill="1" applyBorder="1" applyNumberFormat="1">
      <alignment horizontal="right" vertical="center"/>
    </xf>
    <xf numFmtId="49" fontId="23" fillId="0" borderId="0" xfId="0" applyFont="1" applyNumberFormat="1">
      <alignment vertical="center"/>
    </xf>
    <xf numFmtId="0" fontId="0" fillId="53" borderId="0" xfId="0" applyFont="1" applyFill="1" applyNumberFormat="1">
      <alignment horizontal="right" vertical="center"/>
    </xf>
    <xf numFmtId="0" fontId="111" fillId="0" borderId="51" xfId="0" applyFont="1" applyBorder="1" applyNumberFormat="1">
      <alignment horizontal="left" vertical="center" indent="1"/>
    </xf>
    <xf numFmtId="0" fontId="111" fillId="0" borderId="52" xfId="0" applyFont="1" applyBorder="1" applyNumberFormat="1">
      <alignment horizontal="left" vertical="center" indent="1"/>
    </xf>
    <xf numFmtId="0" fontId="111" fillId="0" borderId="53" xfId="0" applyFont="1" applyBorder="1" applyNumberFormat="1">
      <alignment horizontal="left" vertical="center" indent="1"/>
    </xf>
    <xf numFmtId="0" fontId="23" fillId="38" borderId="0" xfId="0" applyFont="1" applyFill="1" applyNumberFormat="1">
      <alignment vertical="center" wrapText="1"/>
    </xf>
    <xf numFmtId="0" fontId="23" fillId="0" borderId="0" xfId="0" applyFont="1" applyNumberFormat="1">
      <alignment vertical="center" wrapText="1"/>
    </xf>
    <xf numFmtId="0" fontId="43" fillId="0" borderId="0" xfId="0" applyFont="1" applyNumberFormat="1">
      <alignment vertical="center" wrapText="1"/>
    </xf>
    <xf numFmtId="49" fontId="23" fillId="0" borderId="0" xfId="0" applyFont="1" applyNumberFormat="1">
      <alignment vertical="top"/>
    </xf>
    <xf numFmtId="0" fontId="57" fillId="0" borderId="0" xfId="0" applyFont="1" applyNumberFormat="1">
      <alignment vertical="center" wrapText="1"/>
    </xf>
    <xf numFmtId="49" fontId="106" fillId="0" borderId="0" xfId="0" applyFont="1" applyNumberFormat="1">
      <alignment horizontal="center" vertical="center" wrapText="1"/>
    </xf>
    <xf numFmtId="0" fontId="23" fillId="38" borderId="0" xfId="0" applyFont="1" applyFill="1" applyNumberFormat="1">
      <alignment vertical="center" wrapText="1"/>
    </xf>
    <xf numFmtId="0" fontId="23" fillId="0" borderId="0" xfId="0" applyFont="1" applyNumberFormat="1">
      <alignment vertical="center" wrapText="1"/>
    </xf>
    <xf numFmtId="0" fontId="36" fillId="38" borderId="43" xfId="0" applyFont="1" applyFill="1" applyBorder="1" applyNumberFormat="1">
      <alignment horizontal="center" wrapText="1"/>
    </xf>
    <xf numFmtId="49" fontId="78" fillId="0" borderId="43" xfId="0" applyFont="1" applyBorder="1" applyNumberFormat="1">
      <alignment vertical="top"/>
    </xf>
    <xf numFmtId="0" fontId="0" fillId="0" borderId="16" xfId="0" applyFont="1" applyBorder="1" applyNumberFormat="1">
      <alignment horizontal="center" vertical="center" wrapText="1"/>
    </xf>
    <xf numFmtId="0" fontId="23" fillId="0" borderId="0" xfId="0" applyFont="1" applyNumberFormat="1">
      <alignment horizontal="left" vertical="center" wrapText="1" indent="3"/>
    </xf>
    <xf numFmtId="0" fontId="23" fillId="0" borderId="0" xfId="0" applyFont="1" applyNumberFormat="1">
      <alignment horizontal="left" vertical="center" wrapText="1" indent="3"/>
    </xf>
    <xf numFmtId="0" fontId="23" fillId="0" borderId="0" xfId="0" applyFont="1" applyNumberFormat="1">
      <alignment vertical="center" wrapText="1"/>
    </xf>
    <xf numFmtId="0" fontId="43" fillId="0" borderId="0" xfId="0" applyFont="1" applyNumberFormat="1">
      <alignment vertical="center" wrapText="1"/>
    </xf>
    <xf numFmtId="49" fontId="23" fillId="0" borderId="0" xfId="0" applyFont="1" applyNumberFormat="1">
      <alignment vertical="top"/>
    </xf>
    <xf numFmtId="0" fontId="57" fillId="0" borderId="0" xfId="0" applyFont="1" applyNumberFormat="1">
      <alignment vertical="center" wrapText="1"/>
    </xf>
    <xf numFmtId="0" fontId="23" fillId="0" borderId="16" xfId="0" applyFont="1" applyBorder="1" applyNumberFormat="1">
      <alignment horizontal="center" vertical="center" wrapText="1"/>
    </xf>
    <xf numFmtId="0" fontId="23" fillId="0" borderId="0" xfId="0" applyFont="1" applyNumberFormat="1">
      <alignment vertical="center" wrapText="1"/>
    </xf>
    <xf numFmtId="0" fontId="23" fillId="38" borderId="43" xfId="0" applyFont="1" applyFill="1" applyBorder="1" applyNumberFormat="1">
      <alignment vertical="center" wrapText="1"/>
    </xf>
    <xf numFmtId="0" fontId="23" fillId="0" borderId="0" xfId="0" applyFont="1" applyNumberFormat="1">
      <alignment vertical="center" wrapText="1"/>
    </xf>
    <xf numFmtId="0" fontId="43" fillId="0" borderId="0" xfId="0" applyFont="1" applyNumberFormat="1">
      <alignment vertical="center" wrapText="1"/>
    </xf>
    <xf numFmtId="49" fontId="23" fillId="0" borderId="0" xfId="0" applyFont="1" applyNumberFormat="1">
      <alignment vertical="top"/>
    </xf>
    <xf numFmtId="0" fontId="57"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38" borderId="43" xfId="0" applyFont="1" applyFill="1" applyBorder="1" applyNumberFormat="1">
      <alignment vertical="center" wrapText="1"/>
    </xf>
    <xf numFmtId="0" fontId="23" fillId="45" borderId="16" xfId="0" applyFont="1" applyFill="1" applyBorder="1" applyNumberFormat="1">
      <alignment horizontal="left" vertical="center" wrapText="1" indent="1"/>
      <protection locked="0"/>
    </xf>
    <xf numFmtId="49" fontId="57" fillId="52" borderId="0" xfId="0" applyFont="1" applyFill="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vertical="center" wrapText="1"/>
    </xf>
    <xf numFmtId="0" fontId="43" fillId="0" borderId="0" xfId="0" applyFont="1" applyNumberFormat="1">
      <alignment vertical="center" wrapText="1"/>
    </xf>
    <xf numFmtId="49" fontId="23" fillId="0" borderId="0" xfId="0" applyFont="1" applyNumberFormat="1">
      <alignment vertical="top"/>
    </xf>
    <xf numFmtId="49" fontId="112" fillId="0" borderId="20" xfId="0" applyFont="1" applyBorder="1" applyNumberFormat="1">
      <alignment vertical="top"/>
    </xf>
    <xf numFmtId="0" fontId="0" fillId="0" borderId="0" xfId="0" applyFont="1" applyNumberFormat="1">
      <alignment vertical="top"/>
    </xf>
    <xf numFmtId="0" fontId="57" fillId="0" borderId="0" xfId="0" applyFont="1" applyNumberFormat="1">
      <alignment vertical="center" wrapText="1"/>
    </xf>
    <xf numFmtId="49" fontId="30" fillId="45" borderId="16" xfId="0" applyFont="1" applyFill="1" applyBorder="1" applyNumberFormat="1">
      <alignment horizontal="left" vertical="center" wrapText="1"/>
      <protection locked="0"/>
    </xf>
    <xf numFmtId="0" fontId="23" fillId="0" borderId="18" xfId="0" applyFont="1" applyBorder="1" applyNumberFormat="1">
      <alignment horizontal="left" vertical="center"/>
    </xf>
    <xf numFmtId="0" fontId="0" fillId="0" borderId="18" xfId="0" applyFont="1" applyBorder="1" applyNumberFormat="1">
      <alignment horizontal="left" vertical="center"/>
    </xf>
    <xf numFmtId="49" fontId="30" fillId="45" borderId="16" xfId="0" applyFont="1" applyFill="1" applyBorder="1" applyNumberFormat="1">
      <alignment horizontal="left" vertical="center" wrapText="1"/>
      <protection locked="0"/>
    </xf>
    <xf numFmtId="0" fontId="23" fillId="38" borderId="30" xfId="92" applyFont="1" applyFill="1" applyBorder="1" applyNumberFormat="1">
      <alignment horizontal="right" vertical="center" wrapText="1" indent="1"/>
    </xf>
    <xf numFmtId="49" fontId="57" fillId="0" borderId="0" xfId="0" applyFont="1" applyNumberFormat="1">
      <alignment horizontal="center" vertical="center" wrapText="1"/>
    </xf>
    <xf numFmtId="49" fontId="58" fillId="0" borderId="0" xfId="0" applyFont="1" applyNumberFormat="1">
      <alignment horizontal="center" vertical="center" wrapText="1"/>
    </xf>
    <xf numFmtId="49" fontId="51" fillId="44" borderId="19" xfId="0" applyFont="1" applyFill="1" applyBorder="1" applyNumberFormat="1">
      <alignment horizontal="left" vertical="center" indent="1"/>
    </xf>
    <xf numFmtId="4" fontId="23" fillId="45" borderId="35" xfId="0" applyFont="1" applyFill="1" applyBorder="1" applyNumberFormat="1">
      <alignment horizontal="right" vertical="center" wrapText="1"/>
      <protection locked="0"/>
    </xf>
    <xf numFmtId="0" fontId="23" fillId="38" borderId="0" xfId="0" applyFont="1" applyFill="1" applyNumberFormat="1">
      <alignment vertical="center" wrapText="1"/>
    </xf>
    <xf numFmtId="0" fontId="23" fillId="0" borderId="42" xfId="0" applyFont="1" applyBorder="1" applyNumberFormat="1">
      <alignment vertical="center" wrapText="1"/>
    </xf>
    <xf numFmtId="0" fontId="23" fillId="0" borderId="0" xfId="0" applyFont="1" applyNumberFormat="1">
      <alignment vertical="center"/>
    </xf>
    <xf numFmtId="0" fontId="23" fillId="0" borderId="0" xfId="0" applyFont="1" applyNumberFormat="1">
      <alignment vertical="center" wrapText="1"/>
    </xf>
    <xf numFmtId="0" fontId="23" fillId="44" borderId="54" xfId="0" applyFont="1" applyFill="1" applyBorder="1" applyNumberFormat="1">
      <alignment vertical="center" wrapText="1"/>
    </xf>
    <xf numFmtId="0" fontId="23" fillId="44" borderId="55" xfId="0" applyFont="1" applyFill="1" applyBorder="1" applyNumberFormat="1">
      <alignmen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02" fillId="44" borderId="47" xfId="0" applyFont="1" applyFill="1" applyBorder="1" applyNumberFormat="1">
      <alignment horizontal="center" vertical="center"/>
    </xf>
    <xf numFmtId="49" fontId="113" fillId="44" borderId="47" xfId="0" applyFont="1" applyFill="1" applyBorder="1" applyNumberFormat="1">
      <alignment horizontal="left" vertical="center" indent="1"/>
    </xf>
    <xf numFmtId="49" fontId="114" fillId="0" borderId="0" xfId="0" applyFont="1" applyNumberFormat="1">
      <alignment horizontal="center" vertical="top" wrapText="1"/>
    </xf>
    <xf numFmtId="0" fontId="56" fillId="0" borderId="16" xfId="0" applyFont="1" applyBorder="1" applyNumberFormat="1">
      <alignment horizontal="center" vertical="center"/>
    </xf>
    <xf numFmtId="0" fontId="56" fillId="46" borderId="16" xfId="72" applyFont="1" applyFill="1" applyBorder="1" applyNumberFormat="1">
      <alignment horizontal="left" vertical="center" wrapText="1" indent="1"/>
    </xf>
    <xf numFmtId="49" fontId="56" fillId="44" borderId="19" xfId="72" applyFont="1" applyFill="1" applyBorder="1" applyNumberFormat="1">
      <alignment vertical="top" wrapText="1"/>
    </xf>
    <xf numFmtId="49" fontId="56" fillId="44" borderId="17" xfId="72" applyFont="1" applyFill="1" applyBorder="1" applyNumberFormat="1">
      <alignment vertical="top" wrapText="1"/>
    </xf>
    <xf numFmtId="49" fontId="56" fillId="44" borderId="56" xfId="72" applyFont="1" applyFill="1" applyBorder="1" applyNumberFormat="1">
      <alignment vertical="top" wrapText="1"/>
    </xf>
    <xf numFmtId="49" fontId="113" fillId="44" borderId="56" xfId="0" applyFont="1" applyFill="1" applyBorder="1" applyNumberFormat="1">
      <alignment horizontal="left" vertical="center" indent="1"/>
    </xf>
    <xf numFmtId="0" fontId="23" fillId="44" borderId="57" xfId="0" applyFont="1" applyFill="1" applyBorder="1" applyNumberFormat="1">
      <alignment vertical="center" wrapText="1"/>
    </xf>
    <xf numFmtId="0" fontId="23" fillId="38" borderId="43" xfId="0" applyFont="1" applyFill="1" applyBorder="1" applyNumberFormat="1">
      <alignment vertical="center" wrapText="1"/>
    </xf>
    <xf numFmtId="0" fontId="0" fillId="0" borderId="53" xfId="0" applyFont="1" applyBorder="1" applyNumberFormat="1">
      <alignment horizontal="left" vertical="center" wrapText="1"/>
    </xf>
    <xf numFmtId="0" fontId="23" fillId="0" borderId="53" xfId="0" applyFont="1" applyBorder="1" applyNumberFormat="1">
      <alignment vertical="center" wrapText="1"/>
    </xf>
    <xf numFmtId="0" fontId="23" fillId="0" borderId="58" xfId="0" applyFont="1" applyBorder="1" applyNumberFormat="1">
      <alignment vertical="center" wrapText="1"/>
    </xf>
    <xf numFmtId="0" fontId="23" fillId="0" borderId="59" xfId="0" applyFont="1" applyBorder="1" applyNumberFormat="1">
      <alignment vertical="center" wrapText="1"/>
    </xf>
    <xf numFmtId="0" fontId="23" fillId="46" borderId="16" xfId="0" applyFont="1" applyFill="1" applyBorder="1" applyNumberFormat="1">
      <alignment horizontal="left" vertical="center" wrapText="1" indent="1"/>
    </xf>
    <xf numFmtId="0" fontId="0" fillId="44" borderId="54" xfId="0" applyFont="1" applyFill="1" applyBorder="1" applyNumberFormat="1">
      <alignment horizontal="left" vertical="center"/>
    </xf>
    <xf numFmtId="49" fontId="0" fillId="0" borderId="0" xfId="0" applyFont="1" applyNumberFormat="1">
      <alignment vertical="top"/>
    </xf>
    <xf numFmtId="0" fontId="23" fillId="0" borderId="40" xfId="0" applyFont="1" applyBorder="1" applyNumberFormat="1">
      <alignment horizontal="center" vertical="center" wrapText="1"/>
    </xf>
    <xf numFmtId="0" fontId="23" fillId="0" borderId="16" xfId="0" applyFont="1" applyBorder="1" applyNumberFormat="1">
      <alignment horizontal="center" vertical="center" wrapText="1"/>
    </xf>
    <xf numFmtId="0" fontId="48" fillId="0" borderId="28" xfId="0" applyFont="1" applyBorder="1" applyNumberFormat="1">
      <alignment horizontal="center" vertical="center" wrapText="1"/>
    </xf>
    <xf numFmtId="49" fontId="51" fillId="44" borderId="55" xfId="0" applyFont="1" applyFill="1" applyBorder="1" applyNumberFormat="1">
      <alignment horizontal="left" vertical="center" indent="1"/>
    </xf>
    <xf numFmtId="0" fontId="23" fillId="38" borderId="16" xfId="0" applyFont="1" applyFill="1" applyBorder="1" applyNumberFormat="1">
      <alignment horizontal="center" vertical="center" wrapText="1"/>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pplyNumberFormat="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pplyNumberFormat="1">
      <alignment horizontal="right" vertical="center"/>
    </xf>
    <xf numFmtId="0" fontId="23" fillId="0" borderId="21" xfId="0" applyFont="1" applyBorder="1" applyNumberFormat="1">
      <alignment horizontal="center" vertical="center"/>
    </xf>
    <xf numFmtId="0" fontId="23" fillId="0" borderId="16" xfId="0" applyFont="1" applyBorder="1" applyNumberFormat="1">
      <alignment horizontal="right" vertical="center"/>
    </xf>
    <xf numFmtId="49" fontId="23" fillId="0" borderId="0" xfId="0" applyFont="1" applyNumberFormat="1">
      <alignment vertical="center"/>
    </xf>
    <xf numFmtId="49" fontId="23" fillId="0" borderId="60" xfId="0" applyFont="1" applyBorder="1" applyNumberFormat="1">
      <alignment horizontal="center" vertical="center"/>
    </xf>
    <xf numFmtId="0" fontId="23" fillId="0" borderId="60" xfId="0" applyFont="1" applyBorder="1" applyNumberFormat="1">
      <alignment horizontal="right" vertical="center"/>
    </xf>
    <xf numFmtId="0" fontId="23" fillId="0" borderId="60" xfId="0" applyFont="1" applyBorder="1" applyNumberFormat="1">
      <alignment horizontal="center" vertical="center"/>
    </xf>
    <xf numFmtId="0" fontId="23" fillId="0" borderId="19" xfId="0" applyFont="1" applyBorder="1" applyNumberFormat="1">
      <alignment horizontal="right" vertical="center"/>
    </xf>
    <xf numFmtId="0" fontId="23" fillId="0" borderId="17" xfId="0" applyFont="1" applyBorder="1" applyNumberFormat="1">
      <alignment horizontal="right" vertical="center"/>
    </xf>
    <xf numFmtId="0" fontId="23" fillId="38" borderId="16" xfId="0" applyFont="1" applyFill="1" applyBorder="1" applyNumberFormat="1">
      <alignment horizontal="center" vertical="center"/>
    </xf>
    <xf numFmtId="0" fontId="23" fillId="46" borderId="16" xfId="72" applyFont="1" applyFill="1" applyBorder="1" applyNumberFormat="1">
      <alignment horizontal="left" vertical="center" wrapText="1" indent="1"/>
    </xf>
    <xf numFmtId="0" fontId="23" fillId="45" borderId="16" xfId="72" applyFont="1" applyFill="1" applyBorder="1" applyNumberFormat="1">
      <alignment horizontal="left" vertical="center" wrapText="1" indent="1"/>
      <protection locked="0"/>
    </xf>
    <xf numFmtId="0" fontId="23" fillId="35" borderId="16" xfId="0" applyFont="1" applyFill="1" applyBorder="1" applyNumberFormat="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0" fontId="23" fillId="34" borderId="16" xfId="0" applyFont="1" applyFill="1" applyBorder="1" applyNumberFormat="1">
      <alignment horizontal="left" vertical="center" indent="1"/>
      <protection locked="0"/>
    </xf>
    <xf numFmtId="0" fontId="23" fillId="53" borderId="0" xfId="0" applyFont="1" applyFill="1" applyNumberFormat="1">
      <alignment horizontal="left" vertical="center"/>
    </xf>
    <xf numFmtId="49" fontId="23" fillId="46" borderId="16" xfId="0" applyFont="1" applyFill="1" applyBorder="1" applyNumberFormat="1">
      <alignment horizontal="center" vertical="center" wrapText="1"/>
    </xf>
    <xf numFmtId="49" fontId="23" fillId="0" borderId="0" xfId="0" applyFont="1" applyNumberFormat="1">
      <alignment vertical="center" wrapText="1"/>
    </xf>
    <xf numFmtId="0" fontId="23" fillId="38" borderId="16" xfId="0" applyFont="1" applyFill="1" applyBorder="1" applyNumberFormat="1">
      <alignment horizontal="center" vertical="center" wrapText="1"/>
    </xf>
    <xf numFmtId="0" fontId="23" fillId="0" borderId="0" xfId="0" applyFont="1" applyNumberFormat="1">
      <alignment horizontal="right" vertical="center" wrapText="1"/>
    </xf>
    <xf numFmtId="0" fontId="47" fillId="38" borderId="0" xfId="0" applyFont="1" applyFill="1" applyNumberFormat="1">
      <alignment horizontal="center" vertical="center" wrapText="1"/>
    </xf>
    <xf numFmtId="0" fontId="58" fillId="0" borderId="0" xfId="0" applyFont="1" applyNumberFormat="1">
      <alignment horizontal="center" vertical="center" wrapText="1"/>
    </xf>
    <xf numFmtId="0" fontId="0" fillId="0" borderId="16" xfId="0" applyFont="1" applyBorder="1" applyNumberFormat="1">
      <alignment horizontal="center" vertical="center" wrapText="1"/>
    </xf>
    <xf numFmtId="0" fontId="0"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0" borderId="16" xfId="0" applyFont="1" applyBorder="1" applyNumberFormat="1">
      <alignment horizontal="left" vertical="center" wrapText="1"/>
    </xf>
    <xf numFmtId="0" fontId="23" fillId="38" borderId="16" xfId="0" applyFont="1" applyFill="1" applyBorder="1" applyNumberFormat="1">
      <alignment horizontal="left" vertical="center" wrapText="1"/>
    </xf>
    <xf numFmtId="0" fontId="48" fillId="38" borderId="0" xfId="0" applyFont="1" applyFill="1" applyNumberFormat="1">
      <alignment horizontal="center" vertical="center" wrapText="1"/>
    </xf>
    <xf numFmtId="49" fontId="0" fillId="0" borderId="16" xfId="0" applyFont="1" applyBorder="1" applyNumberFormat="1">
      <alignment horizontal="center" vertical="center" wrapText="1"/>
    </xf>
    <xf numFmtId="49" fontId="0" fillId="0" borderId="16" xfId="0" applyFont="1" applyBorder="1" applyNumberFormat="1">
      <alignment horizontal="center" vertical="center"/>
    </xf>
    <xf numFmtId="0" fontId="23" fillId="38" borderId="23" xfId="0" applyFont="1" applyFill="1" applyBorder="1" applyNumberFormat="1">
      <alignment vertical="center" wrapText="1"/>
    </xf>
    <xf numFmtId="49" fontId="58" fillId="0" borderId="0" xfId="0" applyFont="1" applyNumberFormat="1">
      <alignment vertical="top"/>
    </xf>
    <xf numFmtId="0" fontId="58" fillId="0" borderId="43" xfId="0" applyFont="1" applyBorder="1" applyNumberFormat="1">
      <alignment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0" fillId="42" borderId="16" xfId="0" applyFont="1" applyFill="1" applyBorder="1" applyNumberFormat="1">
      <alignment horizontal="center" vertical="center"/>
    </xf>
    <xf numFmtId="49" fontId="23" fillId="0" borderId="26" xfId="0" applyFont="1" applyBorder="1" applyNumberFormat="1">
      <alignment vertical="top"/>
    </xf>
    <xf numFmtId="0" fontId="23" fillId="0" borderId="26" xfId="0" applyFont="1" applyBorder="1" applyNumberFormat="1">
      <alignment vertical="center" wrapText="1"/>
    </xf>
    <xf numFmtId="4" fontId="0" fillId="34" borderId="16" xfId="0" applyFont="1" applyFill="1" applyBorder="1" applyNumberFormat="1">
      <alignment horizontal="right" vertical="center" wrapText="1"/>
      <protection locked="0"/>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0" fontId="23" fillId="0" borderId="42" xfId="0" applyFont="1" applyBorder="1" applyNumberFormat="1">
      <alignment vertical="center"/>
    </xf>
    <xf numFmtId="49" fontId="51" fillId="44" borderId="19" xfId="0" applyFont="1" applyFill="1" applyBorder="1" applyNumberFormat="1">
      <alignment horizontal="left" vertical="center" indent="1"/>
    </xf>
    <xf numFmtId="49" fontId="23" fillId="45" borderId="21" xfId="0" applyFont="1" applyFill="1" applyBorder="1" applyNumberFormat="1">
      <alignment horizontal="left" vertical="center" wrapText="1" indent="1"/>
      <protection locked="0"/>
    </xf>
    <xf numFmtId="0" fontId="22" fillId="0" borderId="0" xfId="0" applyFont="1" applyNumberFormat="1">
      <alignment vertical="center" wrapText="1"/>
    </xf>
    <xf numFmtId="0" fontId="23" fillId="38" borderId="32" xfId="0" applyFont="1" applyFill="1" applyBorder="1" applyNumberFormat="1">
      <alignment vertical="center" wrapText="1"/>
    </xf>
    <xf numFmtId="0" fontId="58" fillId="38" borderId="23" xfId="0" applyFont="1" applyFill="1" applyBorder="1" applyNumberFormat="1">
      <alignment horizontal="center" vertical="center" wrapText="1"/>
    </xf>
    <xf numFmtId="49" fontId="81" fillId="0" borderId="0" xfId="0" applyFont="1" applyNumberFormat="1">
      <alignment vertical="center" wrapText="1"/>
    </xf>
    <xf numFmtId="0" fontId="115" fillId="38" borderId="0" xfId="0" applyFont="1" applyFill="1" applyNumberFormat="1">
      <alignment vertical="center" wrapText="1"/>
    </xf>
    <xf numFmtId="0" fontId="80" fillId="0" borderId="0" xfId="0" applyFont="1" applyNumberFormat="1">
      <alignment horizontal="left" vertical="center" wrapText="1"/>
    </xf>
    <xf numFmtId="0" fontId="23" fillId="0" borderId="0" xfId="0" applyFont="1" applyNumberFormat="1">
      <alignment vertical="center"/>
    </xf>
    <xf numFmtId="49" fontId="58" fillId="38" borderId="0" xfId="0" applyFont="1" applyFill="1" applyNumberFormat="1">
      <alignment horizontal="center" vertical="center" wrapText="1"/>
    </xf>
    <xf numFmtId="0" fontId="23" fillId="0" borderId="0" xfId="0" applyFont="1" applyNumberFormat="1">
      <alignment horizontal="left" vertical="center" wrapText="1"/>
    </xf>
    <xf numFmtId="0" fontId="58" fillId="0" borderId="0" xfId="0" applyFont="1" applyNumberFormat="1">
      <alignment vertical="center"/>
    </xf>
    <xf numFmtId="0" fontId="23" fillId="0" borderId="0" xfId="0" applyFont="1" applyNumberFormat="1">
      <alignment horizontal="left" vertical="center" wrapText="1" indent="1"/>
    </xf>
    <xf numFmtId="0" fontId="90" fillId="0" borderId="0" xfId="0" applyFont="1" applyNumberFormat="1">
      <alignment vertical="center" wrapText="1"/>
    </xf>
    <xf numFmtId="0" fontId="23" fillId="0" borderId="0" xfId="0" applyFont="1" applyNumberFormat="1">
      <alignment horizontal="right" vertical="top"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8" xfId="0" applyFont="1" applyBorder="1" applyNumberFormat="1">
      <alignment horizontal="left" vertical="center" wrapText="1" indent="6"/>
    </xf>
    <xf numFmtId="49" fontId="23" fillId="44" borderId="34" xfId="0" applyFont="1" applyFill="1" applyBorder="1" applyNumberFormat="1">
      <alignment horizontal="center" vertical="center" wrapText="1"/>
    </xf>
    <xf numFmtId="0" fontId="58" fillId="0" borderId="0" xfId="0" applyFont="1" applyNumberFormat="1">
      <alignment vertical="top" wrapText="1"/>
    </xf>
    <xf numFmtId="49" fontId="0" fillId="0" borderId="0" xfId="0" applyFont="1" applyNumberFormat="1">
      <alignment vertical="center" wrapText="1"/>
    </xf>
    <xf numFmtId="0" fontId="116" fillId="38" borderId="0" xfId="0" applyFont="1" applyFill="1" applyNumberFormat="1">
      <alignment vertical="center" wrapText="1"/>
    </xf>
    <xf numFmtId="49" fontId="8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top"/>
    </xf>
    <xf numFmtId="165" fontId="23" fillId="34" borderId="16" xfId="0" applyFont="1" applyFill="1" applyBorder="1" applyNumberFormat="1">
      <alignment horizontal="right" vertical="center" wrapText="1"/>
      <protection locked="0"/>
    </xf>
    <xf numFmtId="0" fontId="56" fillId="0" borderId="16" xfId="0" applyFont="1" applyBorder="1" applyNumberFormat="1">
      <alignment vertical="top" wrapText="1"/>
    </xf>
    <xf numFmtId="0" fontId="23" fillId="46" borderId="16" xfId="0" applyFont="1" applyFill="1" applyBorder="1" applyNumberFormat="1">
      <alignment horizontal="left" vertical="center" wrapText="1" indent="6"/>
      <protection locked="0"/>
    </xf>
    <xf numFmtId="0" fontId="23" fillId="0" borderId="0" xfId="0" applyFont="1" applyNumberFormat="1">
      <alignment vertical="center"/>
    </xf>
    <xf numFmtId="0" fontId="117" fillId="0" borderId="0" xfId="0" applyFont="1" applyNumberFormat="1">
      <alignment vertical="center"/>
    </xf>
    <xf numFmtId="0" fontId="117" fillId="0" borderId="0" xfId="0" applyFont="1" applyNumberFormat="1">
      <alignment vertical="center"/>
    </xf>
    <xf numFmtId="0" fontId="23" fillId="0" borderId="0" xfId="0" applyFont="1" applyNumberFormat="1">
      <alignment vertical="center"/>
    </xf>
    <xf numFmtId="0" fontId="23" fillId="0" borderId="0" xfId="0" applyFont="1" applyNumberFormat="1">
      <alignment vertical="center"/>
    </xf>
    <xf numFmtId="0" fontId="117" fillId="0" borderId="0" xfId="0" applyFont="1" applyNumberFormat="1">
      <alignment vertical="center"/>
    </xf>
    <xf numFmtId="0" fontId="23" fillId="0" borderId="0" xfId="0" applyFont="1" applyNumberFormat="1">
      <alignment vertical="center"/>
    </xf>
    <xf numFmtId="0" fontId="23" fillId="0" borderId="0" xfId="0" applyFont="1" applyNumberFormat="1">
      <alignment vertical="center"/>
    </xf>
    <xf numFmtId="0" fontId="23" fillId="0" borderId="0" xfId="0" applyFont="1" applyNumberFormat="1">
      <alignment horizontal="left" vertical="center" indent="1"/>
    </xf>
    <xf numFmtId="49" fontId="23" fillId="0" borderId="0" xfId="0" applyFont="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118" fillId="44" borderId="19" xfId="0" applyFont="1" applyFill="1" applyBorder="1" applyNumberFormat="1">
      <alignment horizontal="left" vertical="center"/>
    </xf>
    <xf numFmtId="0" fontId="23" fillId="38" borderId="0" xfId="0" applyFont="1" applyFill="1" applyNumberFormat="1">
      <alignment horizontal="left" vertical="center" wrapText="1"/>
    </xf>
    <xf numFmtId="0" fontId="0" fillId="0" borderId="0" xfId="0" applyFont="1" applyNumberFormat="1">
      <alignment horizontal="left" vertical="center"/>
    </xf>
    <xf numFmtId="49" fontId="88" fillId="38" borderId="23" xfId="0" applyFont="1" applyFill="1" applyBorder="1" applyNumberFormat="1">
      <alignment horizontal="left" vertical="center" wrapText="1"/>
    </xf>
    <xf numFmtId="49" fontId="78" fillId="44" borderId="18" xfId="0" applyFont="1" applyFill="1" applyBorder="1" applyNumberFormat="1">
      <alignment horizontal="left" vertical="center"/>
    </xf>
    <xf numFmtId="49" fontId="109" fillId="44" borderId="18" xfId="0" applyFont="1" applyFill="1" applyBorder="1" applyNumberFormat="1">
      <alignment horizontal="left" vertical="center"/>
    </xf>
    <xf numFmtId="49" fontId="75" fillId="44" borderId="18" xfId="0" applyFont="1" applyFill="1" applyBorder="1" applyNumberFormat="1">
      <alignment horizontal="left" vertical="top"/>
    </xf>
    <xf numFmtId="0" fontId="0" fillId="53" borderId="0" xfId="0" applyFont="1" applyFill="1" applyNumberFormat="1">
      <alignment horizontal="right" vertical="center"/>
    </xf>
    <xf numFmtId="0" fontId="58" fillId="0" borderId="16" xfId="0" applyFont="1" applyBorder="1" applyNumberFormat="1">
      <alignment horizontal="center" vertical="center"/>
    </xf>
    <xf numFmtId="0" fontId="0" fillId="0" borderId="0" xfId="0" applyFont="1" applyNumberFormat="1">
      <alignment vertical="center"/>
    </xf>
    <xf numFmtId="0" fontId="23" fillId="0" borderId="16" xfId="0" applyFont="1" applyBorder="1" applyNumberFormat="1">
      <alignment horizontal="center" vertical="center" wrapText="1"/>
    </xf>
    <xf numFmtId="0" fontId="0" fillId="0" borderId="0" xfId="0" applyFont="1" applyNumberFormat="1">
      <alignment horizontal="left" vertical="top" wrapText="1"/>
    </xf>
    <xf numFmtId="49" fontId="23" fillId="0" borderId="0" xfId="0" applyFont="1" applyNumberFormat="1">
      <alignment vertical="center" wrapText="1"/>
    </xf>
    <xf numFmtId="0" fontId="23" fillId="0" borderId="0" xfId="0" applyFont="1" applyNumberFormat="1">
      <alignment horizontal="right" vertical="center" wrapText="1"/>
    </xf>
    <xf numFmtId="0" fontId="23" fillId="0" borderId="0" xfId="0" applyFont="1" applyNumberFormat="1">
      <alignment horizontal="left" vertical="top" wrapText="1"/>
    </xf>
    <xf numFmtId="0" fontId="88" fillId="38" borderId="23" xfId="0" applyFont="1" applyFill="1" applyBorder="1" applyNumberFormat="1">
      <alignment horizontal="center"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0" fontId="0" fillId="0" borderId="16" xfId="0" applyFont="1" applyBorder="1" applyNumberFormat="1">
      <alignment horizontal="center" vertical="center" wrapText="1"/>
    </xf>
    <xf numFmtId="0" fontId="23" fillId="38" borderId="16" xfId="0" applyFont="1" applyFill="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0" fontId="62" fillId="53" borderId="0" xfId="0" applyFont="1" applyFill="1" applyNumberFormat="1">
      <alignment horizontal="lef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51" fillId="0" borderId="0" xfId="0" applyFont="1" applyNumberFormat="1">
      <alignment horizontal="left" vertical="center"/>
    </xf>
    <xf numFmtId="0" fontId="51" fillId="0" borderId="28" xfId="0" applyFont="1" applyBorder="1" applyNumberFormat="1">
      <alignment horizontal="left" vertical="center"/>
    </xf>
    <xf numFmtId="49" fontId="23" fillId="0" borderId="0" xfId="0" applyFont="1" applyNumberFormat="1">
      <alignment horizontal="center" vertical="center" wrapText="1"/>
    </xf>
    <xf numFmtId="0" fontId="51" fillId="0" borderId="31" xfId="0" applyFont="1" applyBorder="1" applyNumberFormat="1">
      <alignment horizontal="left" vertical="center"/>
    </xf>
    <xf numFmtId="0" fontId="51" fillId="0" borderId="32" xfId="0" applyFont="1" applyBorder="1" applyNumberFormat="1">
      <alignment horizontal="left" vertical="center"/>
    </xf>
    <xf numFmtId="0" fontId="0" fillId="0" borderId="32" xfId="0" applyFont="1" applyBorder="1" applyNumberFormat="1">
      <alignment vertical="center"/>
    </xf>
    <xf numFmtId="0" fontId="51" fillId="0" borderId="34" xfId="0" applyFont="1" applyBorder="1" applyNumberFormat="1">
      <alignment horizontal="left" vertical="center"/>
    </xf>
    <xf numFmtId="49" fontId="23" fillId="0" borderId="0" xfId="0" applyFont="1" applyNumberFormat="1">
      <alignment vertical="center" wrapText="1"/>
    </xf>
    <xf numFmtId="49" fontId="0" fillId="45" borderId="16" xfId="0" applyFont="1" applyFill="1" applyBorder="1" applyNumberFormat="1">
      <alignment horizontal="left" vertical="center" wrapText="1"/>
      <protection locked="0"/>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56" fillId="0" borderId="21" xfId="0" applyFont="1" applyBorder="1" applyNumberFormat="1">
      <alignment vertical="top" wrapText="1"/>
    </xf>
    <xf numFmtId="0" fontId="0" fillId="0" borderId="0" xfId="0" applyFont="1" applyNumberFormat="1">
      <alignment vertical="center"/>
    </xf>
    <xf numFmtId="0" fontId="23" fillId="38" borderId="16" xfId="0" applyFont="1" applyFill="1" applyBorder="1" applyNumberFormat="1">
      <alignment horizontal="left" vertical="center" wrapText="1"/>
    </xf>
    <xf numFmtId="0" fontId="23" fillId="0" borderId="0" xfId="0" applyFont="1" applyNumberFormat="1">
      <alignment horizontal="center" vertical="center"/>
    </xf>
    <xf numFmtId="49" fontId="23" fillId="0" borderId="0" xfId="0" applyFont="1" applyNumberFormat="1">
      <alignment vertical="center" wrapText="1"/>
    </xf>
    <xf numFmtId="0" fontId="88" fillId="38" borderId="23" xfId="0" applyFont="1" applyFill="1" applyBorder="1" applyNumberFormat="1">
      <alignment horizontal="center" vertical="center" wrapText="1"/>
    </xf>
    <xf numFmtId="0" fontId="0" fillId="0" borderId="16" xfId="0" applyFont="1" applyBorder="1" applyNumberFormat="1">
      <alignment horizontal="center" vertical="center" wrapText="1"/>
    </xf>
    <xf numFmtId="0" fontId="58" fillId="0" borderId="0" xfId="0" applyFont="1" applyNumberFormat="1">
      <alignment horizontal="left" vertical="center" indent="1"/>
    </xf>
    <xf numFmtId="0" fontId="58" fillId="0" borderId="0" xfId="0" applyFont="1" applyNumberForma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0" fontId="0" fillId="0" borderId="0" xfId="0" applyFont="1" applyNumberFormat="1">
      <alignment vertical="center"/>
    </xf>
    <xf numFmtId="0" fontId="23" fillId="0" borderId="0" xfId="0" applyFont="1" applyNumberFormat="1">
      <alignment horizontal="center" vertical="center" wrapText="1"/>
    </xf>
    <xf numFmtId="49" fontId="23" fillId="0" borderId="0" xfId="0" applyFont="1" applyNumberFormat="1">
      <alignment vertical="center" wrapText="1"/>
    </xf>
    <xf numFmtId="0" fontId="57"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58" fillId="0" borderId="0" xfId="0" applyFont="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left" vertical="top" wrapText="1"/>
    </xf>
    <xf numFmtId="0" fontId="0" fillId="0" borderId="17"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49" fontId="23" fillId="38" borderId="16" xfId="0" applyFont="1" applyFill="1" applyBorder="1" applyNumberFormat="1">
      <alignment horizontal="center" vertical="center" wrapText="1"/>
    </xf>
    <xf numFmtId="0" fontId="0" fillId="0" borderId="16" xfId="0" applyFont="1" applyBorder="1" applyNumberFormat="1">
      <alignment horizontal="center" vertical="center" wrapText="1"/>
    </xf>
    <xf numFmtId="0" fontId="58" fillId="0" borderId="0" xfId="0" applyFont="1" applyNumberFormat="1">
      <alignment horizontal="center" vertical="center"/>
    </xf>
    <xf numFmtId="0" fontId="23" fillId="0" borderId="0" xfId="0" applyFont="1" applyNumberFormat="1">
      <alignment horizontal="right" vertical="center" wrapText="1"/>
    </xf>
    <xf numFmtId="0" fontId="88" fillId="38" borderId="0" xfId="0" applyFont="1" applyFill="1" applyNumberFormat="1">
      <alignment horizontal="center" vertical="center" wrapText="1"/>
    </xf>
    <xf numFmtId="49" fontId="23" fillId="0" borderId="16" xfId="0" applyFont="1" applyBorder="1" applyNumberFormat="1">
      <alignment horizontal="left" vertical="center" wrapText="1"/>
    </xf>
    <xf numFmtId="0" fontId="58" fillId="0" borderId="0" xfId="0" applyFont="1" applyNumberFormat="1">
      <alignment horizontal="left" vertical="center" indent="1"/>
    </xf>
    <xf numFmtId="49" fontId="116" fillId="0" borderId="0" xfId="0" applyFont="1" applyNumberFormat="1">
      <alignment vertical="top"/>
    </xf>
    <xf numFmtId="49" fontId="23" fillId="0" borderId="16" xfId="0" applyFont="1" applyBorder="1" applyNumberFormat="1">
      <alignment vertical="center" wrapText="1"/>
    </xf>
    <xf numFmtId="0" fontId="58" fillId="0" borderId="0" xfId="0" applyFont="1" applyNumberFormat="1">
      <alignment horizontal="center" vertical="center"/>
    </xf>
    <xf numFmtId="0" fontId="23" fillId="46" borderId="16" xfId="0" applyFont="1" applyFill="1" applyBorder="1" applyNumberFormat="1">
      <alignment horizontal="left" vertical="center" wrapText="1" indent="6"/>
    </xf>
    <xf numFmtId="4" fontId="23" fillId="0" borderId="21" xfId="0" applyFont="1" applyBorder="1" applyNumberFormat="1">
      <alignment horizontal="right" vertical="center" wrapText="1"/>
    </xf>
    <xf numFmtId="4" fontId="23" fillId="0" borderId="27" xfId="0" applyFont="1" applyBorder="1" applyNumberFormat="1">
      <alignment horizontal="right" vertical="center" wrapText="1"/>
    </xf>
    <xf numFmtId="49" fontId="0" fillId="0" borderId="0" xfId="0" applyFont="1" applyNumberFormat="1">
      <alignment vertical="top"/>
    </xf>
    <xf numFmtId="0" fontId="0" fillId="0" borderId="0" xfId="0" applyFont="1" applyNumberFormat="1">
      <alignment vertical="center"/>
    </xf>
    <xf numFmtId="49" fontId="23" fillId="0" borderId="0" xfId="0" applyFont="1" applyNumberFormat="1">
      <alignment vertical="center" wrapText="1"/>
    </xf>
    <xf numFmtId="0" fontId="23" fillId="0" borderId="21"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58" fillId="0" borderId="0" xfId="0" applyFont="1" applyNumberFormat="1">
      <alignment horizontal="center" vertical="center" wrapText="1"/>
    </xf>
    <xf numFmtId="0" fontId="23" fillId="0" borderId="0" xfId="0" applyFont="1" applyNumberFormat="1">
      <alignment horizontal="right" vertical="center" wrapText="1"/>
    </xf>
    <xf numFmtId="0" fontId="23" fillId="0" borderId="0" xfId="0" applyFont="1" applyNumberFormat="1">
      <alignment horizontal="center" vertical="center" wrapText="1"/>
    </xf>
    <xf numFmtId="0" fontId="0" fillId="0" borderId="16" xfId="0" applyFont="1" applyBorder="1" applyNumberFormat="1">
      <alignment horizontal="center" vertical="center" wrapText="1"/>
    </xf>
    <xf numFmtId="0" fontId="23" fillId="38" borderId="16" xfId="0" applyFont="1" applyFill="1" applyBorder="1" applyNumberFormat="1">
      <alignment horizontal="left" vertical="center" wrapText="1"/>
    </xf>
    <xf numFmtId="49" fontId="23" fillId="0" borderId="16" xfId="0" applyFont="1" applyBorder="1" applyNumberFormat="1">
      <alignment horizontal="left" vertical="center" wrapText="1"/>
    </xf>
    <xf numFmtId="4" fontId="57" fillId="0" borderId="16" xfId="0" applyFont="1" applyBorder="1" applyNumberFormat="1">
      <alignment horizontal="right" vertical="center" wrapText="1"/>
    </xf>
    <xf numFmtId="165" fontId="57" fillId="0" borderId="16" xfId="0" applyFont="1" applyBorder="1" applyNumberFormat="1">
      <alignment horizontal="right" vertical="center" wrapText="1"/>
    </xf>
    <xf numFmtId="49" fontId="57" fillId="0" borderId="0" xfId="0" applyFont="1" applyNumberFormat="1">
      <alignment vertical="center" wrapText="1"/>
    </xf>
    <xf numFmtId="0" fontId="57" fillId="0" borderId="0" xfId="0" applyFont="1" applyNumberFormat="1">
      <alignment horizontal="left" vertical="center" indent="1"/>
    </xf>
    <xf numFmtId="0" fontId="57" fillId="0" borderId="0" xfId="0" applyFont="1" applyNumberFormat="1">
      <alignment horizontal="center" vertical="center"/>
    </xf>
    <xf numFmtId="0" fontId="57" fillId="0" borderId="0" xfId="0" applyFont="1" applyNumberFormat="1">
      <alignment horizontal="left" vertical="center" wrapText="1"/>
    </xf>
    <xf numFmtId="0" fontId="57" fillId="0" borderId="0" xfId="0" applyFont="1" applyNumberFormat="1">
      <alignment vertical="center" wrapText="1"/>
    </xf>
    <xf numFmtId="49" fontId="57" fillId="0" borderId="16" xfId="0" applyFont="1" applyBorder="1" applyNumberFormat="1">
      <alignment vertical="center" wrapText="1"/>
    </xf>
    <xf numFmtId="0" fontId="57" fillId="0" borderId="0" xfId="0" applyFont="1" applyNumberFormat="1">
      <alignment vertical="center"/>
    </xf>
    <xf numFmtId="0" fontId="57" fillId="0" borderId="0" xfId="0" applyFont="1" applyNumberFormat="1">
      <alignment horizontal="center" vertical="center"/>
    </xf>
    <xf numFmtId="0" fontId="57" fillId="0" borderId="0" xfId="0" applyFont="1" applyNumberFormat="1">
      <alignment vertical="center"/>
    </xf>
    <xf numFmtId="0" fontId="77" fillId="0" borderId="0" xfId="0" applyFont="1" applyNumberFormat="1">
      <alignment vertical="center" wrapText="1"/>
    </xf>
    <xf numFmtId="0" fontId="0" fillId="0" borderId="19" xfId="0" applyFont="1" applyBorder="1" applyNumberFormat="1">
      <alignment vertical="center"/>
    </xf>
    <xf numFmtId="0" fontId="58" fillId="0" borderId="16" xfId="0" applyFont="1" applyBorder="1" applyNumberFormat="1">
      <alignment horizontal="center" vertical="center" wrapText="1"/>
    </xf>
    <xf numFmtId="0" fontId="81" fillId="0" borderId="0" xfId="0" applyFont="1" applyNumberFormat="1">
      <alignment horizontal="left" vertical="center" indent="1"/>
    </xf>
    <xf numFmtId="0" fontId="81" fillId="0" borderId="0" xfId="0" applyFont="1" applyNumberFormat="1">
      <alignment horizontal="left" vertical="center" indent="1"/>
    </xf>
    <xf numFmtId="0" fontId="58" fillId="0" borderId="16" xfId="0" applyFont="1" applyBorder="1" applyNumberFormat="1">
      <alignment vertical="center" wrapText="1"/>
    </xf>
    <xf numFmtId="0" fontId="81" fillId="0" borderId="0" xfId="0" applyFont="1" applyNumberFormat="1">
      <alignment horizontal="center" vertical="center"/>
    </xf>
    <xf numFmtId="0" fontId="81" fillId="0" borderId="0" xfId="0" applyFont="1" applyNumberFormat="1">
      <alignment horizontal="left" vertical="center" wrapText="1"/>
    </xf>
    <xf numFmtId="49" fontId="81" fillId="0" borderId="0" xfId="0" applyFont="1" applyNumberFormat="1">
      <alignment horizontal="left" vertical="center"/>
    </xf>
    <xf numFmtId="0" fontId="23" fillId="0" borderId="0" xfId="0" applyFont="1" applyNumberFormat="1">
      <alignment horizontal="center" vertical="center"/>
    </xf>
    <xf numFmtId="0" fontId="81" fillId="0" borderId="0" xfId="0" applyFont="1" applyNumberFormat="1">
      <alignment horizontal="center" vertical="center"/>
    </xf>
    <xf numFmtId="4" fontId="23" fillId="0" borderId="17" xfId="0" applyFont="1" applyBorder="1" applyNumberFormat="1">
      <alignment horizontal="right" vertical="center" wrapText="1"/>
    </xf>
    <xf numFmtId="0" fontId="58" fillId="0" borderId="16" xfId="0" applyFont="1" applyBorder="1" applyNumberFormat="1">
      <alignment horizontal="left" vertical="center" wrapText="1" indent="4"/>
    </xf>
    <xf numFmtId="0" fontId="58" fillId="0" borderId="16" xfId="0" applyFont="1" applyBorder="1" applyNumberFormat="1">
      <alignment horizontal="left" vertical="center" wrapText="1" indent="6"/>
    </xf>
    <xf numFmtId="0" fontId="58" fillId="0" borderId="16" xfId="0" applyFont="1" applyBorder="1" applyNumberFormat="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 fontId="23" fillId="0" borderId="40" xfId="0" applyFont="1" applyBorder="1" applyNumberFormat="1">
      <alignment horizontal="right" vertical="center" wrapText="1"/>
    </xf>
    <xf numFmtId="0" fontId="23" fillId="34" borderId="16" xfId="0" applyFont="1" applyFill="1" applyBorder="1" applyNumberFormat="1">
      <alignment horizontal="left" vertical="center" wrapText="1" indent="7"/>
      <protection locked="0"/>
    </xf>
    <xf numFmtId="0" fontId="23" fillId="44" borderId="19" xfId="0" applyFont="1" applyFill="1" applyBorder="1" applyNumberFormat="1">
      <alignment horizontal="left" vertical="center" wrapText="1" indent="6"/>
    </xf>
    <xf numFmtId="4" fontId="23" fillId="44" borderId="19" xfId="0" applyFont="1" applyFill="1" applyBorder="1" applyNumberFormat="1">
      <alignment horizontal="right" vertical="center" wrapText="1"/>
    </xf>
    <xf numFmtId="4" fontId="58" fillId="44" borderId="19" xfId="0" applyFont="1" applyFill="1" applyBorder="1" applyNumberFormat="1">
      <alignment horizontal="center" vertical="center" wrapText="1"/>
    </xf>
    <xf numFmtId="4" fontId="23" fillId="44" borderId="17" xfId="0" applyFont="1" applyFill="1" applyBorder="1" applyNumberFormat="1">
      <alignment horizontal="right" vertical="center" wrapText="1"/>
    </xf>
    <xf numFmtId="4" fontId="58" fillId="44" borderId="17" xfId="0" applyFont="1" applyFill="1" applyBorder="1" applyNumberFormat="1">
      <alignment horizontal="center" vertical="center" wrapText="1"/>
    </xf>
    <xf numFmtId="165" fontId="23" fillId="44" borderId="17" xfId="0" applyFont="1" applyFill="1" applyBorder="1" applyNumberFormat="1">
      <alignment horizontal="right" vertical="center" wrapText="1"/>
    </xf>
    <xf numFmtId="0" fontId="23" fillId="46" borderId="16" xfId="0" applyFont="1" applyFill="1" applyBorder="1" applyNumberFormat="1">
      <alignment horizontal="left" vertical="center" wrapText="1" indent="1"/>
    </xf>
    <xf numFmtId="0" fontId="58" fillId="0" borderId="16" xfId="0" applyFont="1" applyBorder="1" applyNumberFormat="1">
      <alignment horizontal="left" vertical="center" wrapText="1" indent="5"/>
    </xf>
    <xf numFmtId="49" fontId="81" fillId="0" borderId="28" xfId="0" applyFont="1" applyBorder="1" applyNumberFormat="1">
      <alignment vertical="top"/>
    </xf>
    <xf numFmtId="49" fontId="58" fillId="0" borderId="28" xfId="0" applyFont="1" applyBorder="1" applyNumberFormat="1">
      <alignment vertical="top"/>
    </xf>
    <xf numFmtId="0" fontId="23" fillId="0" borderId="16" xfId="0" applyFont="1" applyBorder="1" applyNumberFormat="1">
      <alignment horizontal="left" vertical="center" wrapText="1" indent="1"/>
    </xf>
    <xf numFmtId="49" fontId="58" fillId="0" borderId="16" xfId="0" applyFont="1" applyBorder="1" applyNumberFormat="1">
      <alignment horizontal="center" vertical="center" wrapText="1"/>
    </xf>
    <xf numFmtId="4" fontId="58" fillId="0" borderId="16" xfId="0" applyFont="1" applyBorder="1" applyNumberFormat="1">
      <alignment horizontal="right" vertical="center" wrapText="1"/>
    </xf>
    <xf numFmtId="165" fontId="58" fillId="0" borderId="16" xfId="0" applyFont="1" applyBorder="1" applyNumberFormat="1">
      <alignment horizontal="right" vertical="center" wrapText="1"/>
    </xf>
    <xf numFmtId="165" fontId="23" fillId="34" borderId="18" xfId="0" applyFont="1" applyFill="1" applyBorder="1" applyNumberFormat="1">
      <alignment horizontal="right" vertical="center" wrapText="1"/>
      <protection locked="0"/>
    </xf>
    <xf numFmtId="4" fontId="58" fillId="0" borderId="18" xfId="0" applyFont="1" applyBorder="1" applyNumberFormat="1">
      <alignment horizontal="center" vertical="center" wrapText="1"/>
    </xf>
    <xf numFmtId="4" fontId="23" fillId="34" borderId="17" xfId="0" applyFont="1" applyFill="1" applyBorder="1" applyNumberFormat="1">
      <alignment horizontal="right" vertical="center" wrapText="1"/>
      <protection locked="0"/>
    </xf>
    <xf numFmtId="49" fontId="23" fillId="44" borderId="32" xfId="0" applyFont="1" applyFill="1" applyBorder="1" applyNumberFormat="1">
      <alignment horizontal="center" vertical="center" wrapText="1"/>
    </xf>
    <xf numFmtId="49" fontId="57" fillId="0" borderId="0" xfId="0" applyFont="1" applyNumberFormat="1">
      <alignment vertical="center" wrapText="1"/>
    </xf>
    <xf numFmtId="0" fontId="57" fillId="0" borderId="0" xfId="0" applyFont="1" applyNumberFormat="1">
      <alignment horizontal="center" vertical="center" wrapText="1"/>
    </xf>
    <xf numFmtId="0" fontId="64" fillId="38" borderId="0" xfId="0" applyFont="1" applyFill="1" applyNumberFormat="1">
      <alignment horizontal="center" vertical="center" wrapText="1"/>
    </xf>
    <xf numFmtId="0" fontId="64" fillId="0" borderId="0" xfId="0" applyFont="1" applyNumberFormat="1">
      <alignment vertical="center" wrapText="1"/>
    </xf>
    <xf numFmtId="0" fontId="58" fillId="0" borderId="0" xfId="0" applyFont="1" applyNumberFormat="1">
      <alignment vertical="center"/>
    </xf>
    <xf numFmtId="0" fontId="59" fillId="0" borderId="0" xfId="0" applyFont="1" applyNumberFormat="1">
      <alignment vertical="center"/>
    </xf>
    <xf numFmtId="0" fontId="58" fillId="0" borderId="0" xfId="0" applyFont="1" applyNumberFormat="1">
      <alignment vertical="center"/>
    </xf>
    <xf numFmtId="0" fontId="58" fillId="0" borderId="0" xfId="0" applyFont="1" applyNumberFormat="1">
      <alignment vertical="center"/>
    </xf>
    <xf numFmtId="0" fontId="0" fillId="0" borderId="0" xfId="0" applyFont="1" applyNumberFormat="1">
      <alignment vertical="center"/>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57" fillId="0" borderId="0" xfId="0" applyFont="1" applyNumberFormat="1">
      <alignment horizontal="center" vertical="center" wrapText="1"/>
    </xf>
    <xf numFmtId="0" fontId="58" fillId="0" borderId="0" xfId="0" applyFont="1" applyNumberFormat="1">
      <alignment horizontal="center" vertical="center" wrapText="1"/>
    </xf>
    <xf numFmtId="0" fontId="23" fillId="0" borderId="0" xfId="0" applyFont="1" applyNumberFormat="1">
      <alignment horizontal="center" vertical="center" wrapText="1"/>
    </xf>
    <xf numFmtId="49" fontId="23" fillId="0" borderId="16" xfId="0" applyFont="1" applyBorder="1" applyNumberFormat="1">
      <alignment horizontal="left" vertical="center" wrapText="1"/>
    </xf>
    <xf numFmtId="0" fontId="23" fillId="38" borderId="16" xfId="0" applyFont="1" applyFill="1" applyBorder="1" applyNumberFormat="1">
      <alignment horizontal="left" vertical="center" wrapText="1"/>
    </xf>
    <xf numFmtId="0" fontId="58" fillId="0" borderId="0" xfId="0" applyFont="1" applyNumberFormat="1">
      <alignment horizontal="center" vertical="center"/>
    </xf>
    <xf numFmtId="49" fontId="23" fillId="0" borderId="0" xfId="0" applyFont="1" applyNumberFormat="1">
      <alignment horizontal="center" vertical="top"/>
    </xf>
    <xf numFmtId="49" fontId="43" fillId="0" borderId="0" xfId="0" applyFont="1" applyNumberFormat="1">
      <alignment horizontal="center" vertical="center"/>
    </xf>
    <xf numFmtId="0" fontId="0" fillId="0" borderId="0" xfId="0" applyFont="1" applyNumberFormat="1">
      <alignment horizontal="left" vertical="center"/>
    </xf>
    <xf numFmtId="0" fontId="62"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51" fillId="44" borderId="34" xfId="0" applyFont="1" applyFill="1" applyBorder="1" applyNumberFormat="1">
      <alignment horizontal="left" vertical="center"/>
    </xf>
    <xf numFmtId="49" fontId="58" fillId="0" borderId="18" xfId="0" applyFont="1" applyBorder="1" applyNumberFormat="1">
      <alignment horizontal="left" vertical="center" wrapText="1"/>
    </xf>
    <xf numFmtId="0" fontId="58" fillId="0" borderId="18" xfId="0" applyFont="1" applyBorder="1" applyNumberFormat="1">
      <alignment horizontal="left" vertical="center"/>
    </xf>
    <xf numFmtId="0" fontId="58" fillId="0" borderId="19" xfId="0" applyFont="1" applyBorder="1" applyNumberFormat="1">
      <alignment horizontal="left" vertical="center"/>
    </xf>
    <xf numFmtId="49" fontId="23" fillId="34" borderId="16" xfId="0" applyFont="1" applyFill="1" applyBorder="1" applyNumberFormat="1">
      <alignment horizontal="left" vertical="center" wrapText="1" indent="6"/>
      <protection locked="0"/>
    </xf>
    <xf numFmtId="4" fontId="23" fillId="0" borderId="41" xfId="0" applyFont="1" applyBorder="1" applyNumberFormat="1">
      <alignment horizontal="right" vertical="center" wrapText="1"/>
    </xf>
    <xf numFmtId="4" fontId="23"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0" fillId="0" borderId="0" xfId="0" applyFont="1" applyNumberFormat="1">
      <alignment vertical="center"/>
    </xf>
    <xf numFmtId="0" fontId="119" fillId="0" borderId="0" xfId="0" applyFont="1" applyNumberFormat="1">
      <alignment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vertical="center" wrapText="1"/>
    </xf>
    <xf numFmtId="0" fontId="57"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23" fillId="0" borderId="0" xfId="0" applyFont="1" applyNumberFormat="1">
      <alignment horizontal="left" vertical="top" wrapText="1"/>
    </xf>
    <xf numFmtId="0" fontId="58" fillId="0" borderId="0" xfId="0" applyFont="1" applyNumberFormat="1">
      <alignment horizontal="center" vertical="center" wrapText="1"/>
    </xf>
    <xf numFmtId="0" fontId="88" fillId="38" borderId="23" xfId="0" applyFont="1" applyFill="1" applyBorder="1" applyNumberFormat="1">
      <alignment horizontal="center" vertical="center" wrapText="1"/>
    </xf>
    <xf numFmtId="0" fontId="23" fillId="0" borderId="21" xfId="0" applyFont="1" applyBorder="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right" vertical="center" wrapText="1"/>
    </xf>
    <xf numFmtId="0"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38" borderId="16" xfId="0" applyFont="1" applyFill="1" applyBorder="1" applyNumberFormat="1">
      <alignment horizontal="left" vertical="center" wrapText="1"/>
    </xf>
    <xf numFmtId="0" fontId="58" fillId="0" borderId="0" xfId="0" applyFont="1" applyNumberFormat="1">
      <alignment horizontal="center" vertical="center"/>
    </xf>
    <xf numFmtId="49" fontId="23" fillId="46" borderId="16" xfId="0" applyFont="1" applyFill="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pplyNumberFormat="1">
      <alignment horizontal="center" vertical="center" wrapText="1"/>
    </xf>
    <xf numFmtId="0" fontId="58" fillId="0" borderId="0" xfId="0" applyFont="1" applyNumberFormat="1">
      <alignment horizontal="center" vertical="center" wrapText="1"/>
    </xf>
    <xf numFmtId="49" fontId="23" fillId="38" borderId="16" xfId="0" applyFont="1" applyFill="1" applyBorder="1" applyNumberFormat="1">
      <alignment horizontal="center" vertical="center" wrapText="1"/>
    </xf>
    <xf numFmtId="0" fontId="58" fillId="0" borderId="0" xfId="0" applyFont="1" applyNumberFormat="1">
      <alignment horizontal="center" vertical="center"/>
    </xf>
    <xf numFmtId="0" fontId="23" fillId="38" borderId="16" xfId="0" applyFont="1" applyFill="1" applyBorder="1" applyNumberFormat="1">
      <alignment horizontal="left" vertical="center" wrapText="1"/>
    </xf>
    <xf numFmtId="49" fontId="23" fillId="45" borderId="16" xfId="0" applyFont="1" applyFill="1" applyBorder="1" applyNumberFormat="1">
      <alignment horizontal="left" vertical="center" wrapText="1" indent="1"/>
      <protection locked="0"/>
    </xf>
    <xf numFmtId="0" fontId="0" fillId="0" borderId="0" xfId="0" applyFont="1" applyNumberFormat="1">
      <alignment vertical="center"/>
    </xf>
    <xf numFmtId="0" fontId="23" fillId="0" borderId="0" xfId="0" applyFont="1" applyNumberFormat="1">
      <alignment horizontal="center" vertical="center" wrapText="1"/>
    </xf>
    <xf numFmtId="49" fontId="23" fillId="46" borderId="16" xfId="0" applyFont="1" applyFill="1" applyBorder="1" applyNumberFormat="1">
      <alignment horizontal="center"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vertical="center" wrapText="1"/>
    </xf>
    <xf numFmtId="49" fontId="23" fillId="38" borderId="16" xfId="93" applyFont="1" applyFill="1" applyBorder="1" applyNumberFormat="1">
      <alignment horizontal="center" vertical="center" wrapText="1"/>
    </xf>
    <xf numFmtId="0" fontId="58" fillId="38" borderId="0" xfId="0" applyFont="1" applyFill="1" applyNumberFormat="1">
      <alignment horizontal="center" vertical="center" wrapText="1"/>
    </xf>
    <xf numFmtId="0" fontId="0" fillId="38" borderId="1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57"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23" fillId="0" borderId="0" xfId="0" applyFont="1" applyNumberFormat="1">
      <alignment horizontal="left" vertical="top" wrapText="1"/>
    </xf>
    <xf numFmtId="0" fontId="58" fillId="0" borderId="0" xfId="0" applyFont="1" applyNumberFormat="1">
      <alignment horizontal="center" vertical="center" wrapText="1"/>
    </xf>
    <xf numFmtId="0" fontId="88" fillId="38" borderId="23" xfId="0" applyFont="1" applyFill="1" applyBorder="1" applyNumberFormat="1">
      <alignment horizontal="center" vertical="center" wrapText="1"/>
    </xf>
    <xf numFmtId="0" fontId="23" fillId="0" borderId="21" xfId="0" applyFont="1" applyBorder="1" applyNumberFormat="1">
      <alignment horizontal="center" vertical="center" wrapText="1"/>
    </xf>
    <xf numFmtId="0" fontId="23"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23" fillId="38" borderId="16" xfId="0" applyFont="1" applyFill="1" applyBorder="1" applyNumberFormat="1">
      <alignment horizontal="center" vertical="center" wrapText="1"/>
    </xf>
    <xf numFmtId="0" fontId="23" fillId="0" borderId="0" xfId="0" applyFont="1" applyNumberFormat="1">
      <alignment horizontal="center" vertical="center" wrapText="1"/>
    </xf>
    <xf numFmtId="0" fontId="23" fillId="0" borderId="0" xfId="0" applyFont="1" applyNumberFormat="1">
      <alignment horizontal="right" vertical="center" wrapText="1"/>
    </xf>
    <xf numFmtId="0"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indent="1"/>
      <protection locked="0"/>
    </xf>
    <xf numFmtId="0" fontId="23" fillId="38" borderId="16" xfId="0" applyFont="1" applyFill="1" applyBorder="1" applyNumberFormat="1">
      <alignment horizontal="left" vertical="center" wrapText="1"/>
    </xf>
    <xf numFmtId="0" fontId="58" fillId="0" borderId="0" xfId="0" applyFont="1" applyNumberFormat="1">
      <alignment horizontal="center" vertical="center"/>
    </xf>
    <xf numFmtId="0" fontId="48" fillId="0" borderId="0" xfId="0" applyFont="1" applyNumberFormat="1">
      <alignment horizontal="center" vertical="center" wrapText="1"/>
    </xf>
    <xf numFmtId="165" fontId="23" fillId="44" borderId="19" xfId="0" applyFont="1" applyFill="1" applyBorder="1" applyNumberFormat="1">
      <alignment horizontal="right" vertical="center" wrapText="1"/>
    </xf>
    <xf numFmtId="0" fontId="120" fillId="0" borderId="0" xfId="0" applyFont="1" applyNumberFormat="1">
      <alignment vertical="center" wrapText="1"/>
    </xf>
    <xf numFmtId="0" fontId="120" fillId="38" borderId="0" xfId="0" applyFont="1" applyFill="1" applyNumberFormat="1">
      <alignment horizontal="center" vertical="center" wrapText="1"/>
    </xf>
    <xf numFmtId="0" fontId="58" fillId="38" borderId="16" xfId="0" applyFont="1" applyFill="1" applyBorder="1" applyNumberFormat="1">
      <alignment horizontal="left" vertical="center" wrapText="1" indent="3"/>
    </xf>
    <xf numFmtId="49" fontId="51" fillId="44" borderId="32" xfId="0" applyFont="1" applyFill="1" applyBorder="1" applyNumberFormat="1">
      <alignment horizontal="left" vertical="center"/>
    </xf>
    <xf numFmtId="0" fontId="120"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pplyNumberFormat="1">
      <alignment horizontal="left" vertical="center" wrapText="1" indent="4"/>
    </xf>
    <xf numFmtId="0" fontId="58" fillId="0" borderId="0" xfId="0" applyFont="1" applyNumberFormat="1">
      <alignment horizontal="left" vertical="center" wrapText="1" indent="1"/>
    </xf>
    <xf numFmtId="49" fontId="23" fillId="44" borderId="18" xfId="0" applyFont="1" applyFill="1" applyBorder="1" applyNumberFormat="1">
      <alignment horizontal="center" vertical="center" wrapText="1"/>
    </xf>
    <xf numFmtId="0" fontId="58" fillId="0" borderId="28" xfId="0" applyFont="1" applyBorder="1" applyNumberFormat="1">
      <alignment horizontal="left" vertical="center" wrapText="1" indent="1"/>
    </xf>
    <xf numFmtId="0" fontId="57" fillId="0" borderId="0" xfId="0" applyFont="1" applyNumberFormat="1">
      <alignment horizontal="left" vertical="center"/>
    </xf>
    <xf numFmtId="49" fontId="57" fillId="0" borderId="0" xfId="0" applyFont="1" applyNumberFormat="1">
      <alignment horizontal="left" vertical="center"/>
    </xf>
    <xf numFmtId="0" fontId="57" fillId="0" borderId="0" xfId="0" applyFont="1" applyNumberFormat="1">
      <alignment horizontal="left" vertical="center"/>
    </xf>
    <xf numFmtId="0" fontId="77" fillId="0" borderId="0" xfId="0" applyFont="1" applyNumberFormat="1">
      <alignment horizontal="left" vertical="center"/>
    </xf>
    <xf numFmtId="0" fontId="58" fillId="0" borderId="0" xfId="0" applyFont="1" applyNumberFormat="1">
      <alignment horizontal="left" vertical="center"/>
    </xf>
    <xf numFmtId="49" fontId="0" fillId="0" borderId="0" xfId="0" applyFont="1" applyNumberFormat="1">
      <alignment vertical="top"/>
    </xf>
    <xf numFmtId="49" fontId="23" fillId="0" borderId="0" xfId="0" applyFont="1" applyNumberFormat="1">
      <alignment horizontal="center"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left" vertical="center" wrapText="1"/>
    </xf>
    <xf numFmtId="49" fontId="23"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0" fontId="48" fillId="38" borderId="0" xfId="0" applyFont="1" applyFill="1" applyNumberFormat="1">
      <alignment horizontal="center" vertical="center" wrapText="1"/>
    </xf>
    <xf numFmtId="49" fontId="58" fillId="0" borderId="0" xfId="0" applyFont="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center"/>
    </xf>
    <xf numFmtId="49" fontId="57" fillId="0" borderId="0" xfId="0" applyFont="1" applyNumberFormat="1">
      <alignment horizontal="left" vertical="top"/>
    </xf>
    <xf numFmtId="49" fontId="23" fillId="38" borderId="16" xfId="93" applyFont="1" applyFill="1" applyBorder="1" applyNumberFormat="1">
      <alignment horizontal="center" vertical="center"/>
    </xf>
    <xf numFmtId="0" fontId="23" fillId="0" borderId="16" xfId="0" applyFont="1" applyBorder="1" applyNumberFormat="1">
      <alignment horizontal="center" vertical="center" wrapText="1"/>
    </xf>
    <xf numFmtId="0" fontId="23" fillId="38" borderId="16" xfId="0" applyFont="1" applyFill="1" applyBorder="1" applyNumberFormat="1">
      <alignment horizontal="left" vertical="center" wrapText="1" indent="1"/>
    </xf>
    <xf numFmtId="49" fontId="23" fillId="0" borderId="16" xfId="93" applyFont="1" applyBorder="1" applyNumberFormat="1">
      <alignment horizontal="center" vertical="center"/>
    </xf>
    <xf numFmtId="0" fontId="23" fillId="0" borderId="16" xfId="0" applyFont="1" applyBorder="1" applyNumberFormat="1">
      <alignment horizontal="left" vertical="center" wrapText="1" indent="1"/>
    </xf>
    <xf numFmtId="0" fontId="23" fillId="0" borderId="16" xfId="0" applyFont="1" applyBorder="1" applyNumberFormat="1">
      <alignment vertical="center" wrapText="1"/>
    </xf>
    <xf numFmtId="49" fontId="23" fillId="45" borderId="16" xfId="0" applyFont="1" applyFill="1" applyBorder="1" applyNumberFormat="1">
      <alignment horizontal="left" vertical="center" wrapText="1"/>
      <protection locked="0"/>
    </xf>
    <xf numFmtId="0" fontId="23" fillId="38" borderId="16" xfId="0" applyFont="1" applyFill="1" applyBorder="1" applyNumberFormat="1">
      <alignment horizontal="left" vertical="center" wrapText="1"/>
    </xf>
    <xf numFmtId="0" fontId="58" fillId="38" borderId="16" xfId="93" applyFont="1" applyFill="1" applyBorder="1" applyNumberFormat="1">
      <alignment horizontal="center" vertical="center"/>
    </xf>
    <xf numFmtId="0" fontId="81" fillId="38" borderId="0" xfId="0" applyFont="1" applyFill="1" applyNumberFormat="1">
      <alignment vertical="center" wrapText="1"/>
    </xf>
    <xf numFmtId="0" fontId="75" fillId="38" borderId="0" xfId="0" applyFont="1" applyFill="1" applyNumberFormat="1"/>
    <xf numFmtId="49" fontId="23" fillId="34" borderId="16" xfId="0" applyFont="1" applyFill="1" applyBorder="1" applyNumberFormat="1">
      <alignment horizontal="left" vertical="center" wrapText="1"/>
      <protection locked="0"/>
    </xf>
    <xf numFmtId="0" fontId="92" fillId="38" borderId="0" xfId="0" applyFont="1" applyFill="1" applyNumberFormat="1"/>
    <xf numFmtId="0" fontId="76" fillId="38" borderId="0" xfId="0" applyFont="1" applyFill="1" applyNumberFormat="1"/>
    <xf numFmtId="14" fontId="23" fillId="45" borderId="27" xfId="0" applyFont="1" applyFill="1" applyBorder="1" applyNumberFormat="1">
      <alignment horizontal="left" vertical="center" wrapText="1" indent="1"/>
      <protection locked="0"/>
    </xf>
    <xf numFmtId="0" fontId="121" fillId="0" borderId="0" xfId="0" applyFont="1" applyNumberFormat="1">
      <alignment vertical="center"/>
    </xf>
    <xf numFmtId="0" fontId="121" fillId="0" borderId="0" xfId="0" applyFont="1" applyNumberFormat="1">
      <alignment vertical="center" wrapText="1"/>
    </xf>
    <xf numFmtId="167" fontId="23" fillId="0" borderId="27" xfId="0" applyFont="1" applyBorder="1" applyNumberFormat="1">
      <alignment horizontal="center" vertical="center" wrapText="1"/>
    </xf>
    <xf numFmtId="14" fontId="23" fillId="45" borderId="16" xfId="0" applyFont="1" applyFill="1" applyBorder="1" applyNumberFormat="1">
      <alignment horizontal="left" vertical="center" wrapText="1" indent="1"/>
      <protection locked="0"/>
    </xf>
    <xf numFmtId="0" fontId="23" fillId="42" borderId="27" xfId="0" applyFont="1" applyFill="1" applyBorder="1" applyNumberFormat="1">
      <alignment horizontal="left" vertical="center" wrapText="1" indent="1"/>
    </xf>
    <xf numFmtId="167" fontId="23" fillId="0" borderId="21" xfId="0" applyFont="1" applyBorder="1" applyNumberFormat="1">
      <alignment horizontal="center" vertical="center"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0" fillId="44" borderId="16" xfId="0" applyFont="1" applyFill="1" applyBorder="1" applyNumberFormat="1">
      <alignment horizontal="right" vertical="center" wrapText="1"/>
    </xf>
    <xf numFmtId="49" fontId="36" fillId="44" borderId="32" xfId="0" applyFont="1" applyFill="1" applyBorder="1" applyNumberFormat="1">
      <alignment horizontal="right" vertical="center" wrapText="1"/>
    </xf>
    <xf numFmtId="49" fontId="30" fillId="45" borderId="27"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pplyNumberFormat="1">
      <alignment horizontal="center" vertical="center" wrapText="1"/>
    </xf>
    <xf numFmtId="0" fontId="58" fillId="0" borderId="0" xfId="0" applyFont="1" applyNumberFormat="1">
      <alignment horizontal="center" vertical="center"/>
    </xf>
    <xf numFmtId="0" fontId="58" fillId="0" borderId="0" xfId="0" applyFont="1" applyNumberFormat="1">
      <alignment horizontal="center" vertical="center"/>
    </xf>
    <xf numFmtId="0" fontId="63" fillId="0" borderId="0" xfId="0" applyFont="1" applyNumberFormat="1">
      <alignment horizontal="center" vertical="center"/>
    </xf>
    <xf numFmtId="0" fontId="53" fillId="0" borderId="0" xfId="0" applyFont="1" applyNumberFormat="1">
      <alignment horizontal="center" vertical="center" wrapText="1"/>
    </xf>
    <xf numFmtId="14" fontId="23" fillId="46" borderId="16" xfId="0" applyFont="1" applyFill="1" applyBorder="1" applyNumberFormat="1">
      <alignment horizontal="left" vertical="center" wrapText="1"/>
    </xf>
    <xf numFmtId="167" fontId="23" fillId="0" borderId="41" xfId="0" applyFont="1" applyBorder="1" applyNumberFormat="1">
      <alignment horizontal="center" vertical="center" wrapText="1"/>
    </xf>
    <xf numFmtId="0" fontId="23" fillId="45" borderId="16" xfId="0" applyFont="1" applyFill="1" applyBorder="1" applyNumberFormat="1">
      <alignment horizontal="center" vertical="center" wrapText="1"/>
      <protection locked="0"/>
    </xf>
    <xf numFmtId="0" fontId="57" fillId="38" borderId="0" xfId="0" applyFont="1" applyFill="1" applyNumberFormat="1"/>
    <xf numFmtId="167" fontId="56" fillId="0" borderId="62" xfId="0" applyFont="1" applyBorder="1" applyNumberFormat="1">
      <alignment horizontal="center" vertical="center" wrapText="1"/>
    </xf>
    <xf numFmtId="167" fontId="56" fillId="0" borderId="62" xfId="0" applyFont="1" applyBorder="1" applyNumberFormat="1">
      <alignment horizontal="center" vertical="center" wrapText="1"/>
    </xf>
    <xf numFmtId="49" fontId="30" fillId="45" borderId="32" xfId="0" applyFont="1" applyFill="1" applyBorder="1" applyNumberFormat="1">
      <alignment horizontal="left" vertical="center" wrapText="1"/>
      <protection locked="0"/>
    </xf>
    <xf numFmtId="0" fontId="23" fillId="0" borderId="19" xfId="0" applyFont="1" applyBorder="1" applyNumberFormat="1">
      <alignment horizontal="right" vertical="center" wrapText="1" indent="1"/>
    </xf>
    <xf numFmtId="0" fontId="23" fillId="42" borderId="18" xfId="0" applyFont="1" applyFill="1" applyBorder="1" applyNumberFormat="1">
      <alignment horizontal="left" vertical="top" wrapText="1"/>
    </xf>
    <xf numFmtId="49" fontId="58" fillId="0" borderId="0" xfId="0" applyFont="1" applyNumberFormat="1">
      <alignment horizontal="center" vertical="center"/>
    </xf>
    <xf numFmtId="49" fontId="75" fillId="0" borderId="0" xfId="0" applyFont="1" applyNumberFormat="1">
      <alignment vertical="top"/>
    </xf>
    <xf numFmtId="0" fontId="53" fillId="0" borderId="0" xfId="0" applyFont="1" applyNumberFormat="1">
      <alignment vertical="center"/>
    </xf>
    <xf numFmtId="0" fontId="23" fillId="0" borderId="40"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6" xfId="0" applyFont="1" applyBorder="1" applyNumberFormat="1">
      <alignment horizontal="center" vertical="center" wrapText="1"/>
    </xf>
    <xf numFmtId="49" fontId="23" fillId="0" borderId="40" xfId="0" applyFont="1" applyBorder="1" applyNumberFormat="1">
      <alignment horizontal="left" vertical="center" wrapText="1"/>
    </xf>
    <xf numFmtId="49" fontId="23" fillId="0" borderId="40" xfId="0" applyFont="1" applyBorder="1" applyNumberFormat="1">
      <alignment horizontal="center" vertical="center" wrapText="1"/>
    </xf>
    <xf numFmtId="49" fontId="23" fillId="0" borderId="21" xfId="0" applyFont="1" applyBorder="1" applyNumberFormat="1">
      <alignment horizontal="center" vertical="center" wrapText="1"/>
    </xf>
    <xf numFmtId="0" fontId="23" fillId="0" borderId="40" xfId="0" applyFont="1" applyBorder="1" applyNumberFormat="1">
      <alignment horizontal="left" vertical="center" wrapText="1"/>
    </xf>
    <xf numFmtId="49" fontId="23" fillId="0" borderId="40" xfId="0" applyFont="1" applyBorder="1" applyNumberFormat="1">
      <alignment vertical="center" wrapText="1"/>
    </xf>
    <xf numFmtId="49" fontId="48" fillId="0" borderId="40" xfId="0" applyFont="1" applyBorder="1" applyNumberFormat="1">
      <alignment vertical="center" wrapText="1"/>
    </xf>
    <xf numFmtId="0" fontId="23" fillId="0" borderId="27" xfId="0" applyFont="1" applyBorder="1" applyNumberFormat="1">
      <alignment horizontal="left" vertical="center" wrapText="1"/>
    </xf>
    <xf numFmtId="0" fontId="51" fillId="0" borderId="27" xfId="0" applyFont="1" applyBorder="1" applyNumberFormat="1">
      <alignment horizontal="left" vertical="center"/>
    </xf>
    <xf numFmtId="0" fontId="51" fillId="44" borderId="18" xfId="0" applyFont="1" applyFill="1" applyBorder="1" applyNumberFormat="1">
      <alignment horizontal="left" vertical="center"/>
    </xf>
    <xf numFmtId="0" fontId="51" fillId="0" borderId="40" xfId="0" applyFont="1" applyBorder="1" applyNumberFormat="1">
      <alignment horizontal="left" vertical="center"/>
    </xf>
    <xf numFmtId="0" fontId="51" fillId="44" borderId="41" xfId="0" applyFont="1" applyFill="1" applyBorder="1" applyNumberFormat="1">
      <alignment horizontal="left" vertical="center"/>
    </xf>
    <xf numFmtId="49" fontId="75" fillId="44" borderId="18" xfId="0" applyFont="1" applyFill="1" applyBorder="1" applyNumberFormat="1">
      <alignment vertical="top"/>
    </xf>
    <xf numFmtId="49" fontId="75" fillId="44" borderId="19" xfId="0" applyFont="1" applyFill="1" applyBorder="1" applyNumberFormat="1">
      <alignment vertical="top"/>
    </xf>
    <xf numFmtId="49" fontId="23" fillId="46" borderId="21" xfId="0" applyFont="1" applyFill="1" applyBorder="1" applyNumberFormat="1">
      <alignment vertical="center" wrapText="1"/>
    </xf>
    <xf numFmtId="0" fontId="23" fillId="0" borderId="41" xfId="0" applyFont="1" applyBorder="1" applyNumberFormat="1">
      <alignment horizontal="center" vertical="center" wrapText="1"/>
    </xf>
    <xf numFmtId="49" fontId="0" fillId="0" borderId="0" xfId="0" applyFont="1" applyNumberFormat="1">
      <alignment vertical="top"/>
    </xf>
    <xf numFmtId="49" fontId="57" fillId="0" borderId="0" xfId="0" applyFont="1" applyNumberFormat="1">
      <alignment horizontal="center" vertical="center"/>
    </xf>
    <xf numFmtId="0" fontId="122" fillId="0" borderId="0" xfId="0" applyFont="1" applyNumberFormat="1">
      <alignment vertical="center" wrapText="1"/>
    </xf>
    <xf numFmtId="0" fontId="123" fillId="0" borderId="0" xfId="0" applyFont="1" applyNumberFormat="1">
      <alignment vertical="center" wrapText="1"/>
    </xf>
    <xf numFmtId="0" fontId="23" fillId="0" borderId="21" xfId="0" applyFont="1" applyBorder="1" applyNumberFormat="1">
      <alignment horizontal="center" vertical="center" wrapText="1"/>
    </xf>
    <xf numFmtId="49" fontId="23" fillId="0" borderId="21" xfId="0" applyFont="1" applyBorder="1" applyNumberFormat="1">
      <alignment horizontal="left" vertical="center" wrapText="1"/>
    </xf>
    <xf numFmtId="49"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0" fontId="23" fillId="0" borderId="21" xfId="0" applyFont="1" applyBorder="1" applyNumberFormat="1">
      <alignment horizontal="left" vertical="center" wrapText="1"/>
    </xf>
    <xf numFmtId="0" fontId="23" fillId="0" borderId="0" xfId="0" applyFont="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center" vertical="center" wrapText="1"/>
    </xf>
    <xf numFmtId="0"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51" fillId="0" borderId="0" xfId="0" applyFont="1" applyNumberFormat="1">
      <alignment horizontal="left" vertical="center"/>
    </xf>
    <xf numFmtId="49" fontId="48" fillId="0" borderId="0" xfId="0" applyFont="1" applyNumberFormat="1">
      <alignment horizontal="center" vertical="center" wrapText="1"/>
    </xf>
    <xf numFmtId="0" fontId="51" fillId="0" borderId="0" xfId="0" applyFont="1" applyNumberFormat="1">
      <alignment vertical="center"/>
    </xf>
    <xf numFmtId="49" fontId="75" fillId="0" borderId="31" xfId="0" applyFont="1" applyBorder="1" applyNumberFormat="1">
      <alignment vertical="top"/>
    </xf>
    <xf numFmtId="49" fontId="23" fillId="0" borderId="41" xfId="0" applyFont="1" applyBorder="1" applyNumberFormat="1">
      <alignment vertical="center" wrapText="1"/>
    </xf>
    <xf numFmtId="49" fontId="23" fillId="0" borderId="26" xfId="0" applyFont="1" applyBorder="1" applyNumberFormat="1">
      <alignment vertical="center" wrapText="1"/>
    </xf>
    <xf numFmtId="0" fontId="51" fillId="0" borderId="26" xfId="0" applyFont="1" applyBorder="1" applyNumberFormat="1">
      <alignment horizontal="left" vertical="center"/>
    </xf>
    <xf numFmtId="49" fontId="75" fillId="0" borderId="32" xfId="0" applyFont="1" applyBorder="1" applyNumberFormat="1">
      <alignment vertical="top"/>
    </xf>
    <xf numFmtId="49" fontId="48" fillId="0" borderId="40" xfId="0" applyFont="1" applyBorder="1" applyNumberFormat="1">
      <alignment horizontal="center" vertical="center" wrapText="1"/>
    </xf>
    <xf numFmtId="49" fontId="23" fillId="0" borderId="40" xfId="0" applyFont="1" applyBorder="1" applyNumberFormat="1">
      <alignment horizontal="center" vertical="center" wrapText="1"/>
    </xf>
    <xf numFmtId="0" fontId="51" fillId="44" borderId="41" xfId="0" applyFont="1" applyFill="1" applyBorder="1" applyNumberFormat="1">
      <alignment vertical="center"/>
    </xf>
    <xf numFmtId="49" fontId="0" fillId="0" borderId="16" xfId="0" applyFont="1" applyBorder="1" applyNumberFormat="1">
      <alignment horizontal="left" vertical="center" wrapText="1" indent="1"/>
    </xf>
    <xf numFmtId="49" fontId="0" fillId="0" borderId="0" xfId="0" applyFont="1" applyNumberFormat="1">
      <alignment vertical="top"/>
    </xf>
    <xf numFmtId="0" fontId="23" fillId="0" borderId="0" xfId="0" applyFont="1" applyNumberFormat="1">
      <alignment vertical="center" wrapText="1"/>
    </xf>
    <xf numFmtId="0" fontId="43" fillId="0" borderId="0" xfId="0" applyFont="1" applyNumberFormat="1">
      <alignment vertical="center" wrapText="1"/>
    </xf>
    <xf numFmtId="0" fontId="53" fillId="0" borderId="0" xfId="0" applyFont="1" applyNumberFormat="1">
      <alignment vertical="center" wrapText="1"/>
    </xf>
    <xf numFmtId="0" fontId="23" fillId="0" borderId="0" xfId="0" applyFont="1" applyNumberFormat="1">
      <alignment horizontal="left" vertical="center" wrapText="1"/>
    </xf>
    <xf numFmtId="0" fontId="66" fillId="0" borderId="0" xfId="0" applyFont="1" applyNumberFormat="1">
      <alignment vertical="center" wrapText="1"/>
    </xf>
    <xf numFmtId="0" fontId="68" fillId="0" borderId="0" xfId="0" applyFont="1" applyNumberFormat="1">
      <alignment vertical="center" wrapText="1"/>
    </xf>
    <xf numFmtId="0" fontId="96" fillId="0" borderId="0" xfId="0" applyFont="1" applyNumberFormat="1">
      <alignment vertical="center" wrapText="1"/>
    </xf>
    <xf numFmtId="0" fontId="58" fillId="0" borderId="0" xfId="0" applyFont="1" applyNumberFormat="1">
      <alignment vertical="center" wrapText="1"/>
    </xf>
    <xf numFmtId="0" fontId="72" fillId="0" borderId="0" xfId="0" applyFont="1" applyNumberFormat="1">
      <alignment vertical="center" wrapText="1"/>
    </xf>
    <xf numFmtId="49" fontId="23" fillId="0" borderId="16" xfId="0" applyFont="1" applyBorder="1" applyNumberFormat="1">
      <alignment horizontal="center" vertical="center" wrapText="1"/>
    </xf>
    <xf numFmtId="0" fontId="48" fillId="38" borderId="16" xfId="0" applyFont="1" applyFill="1" applyBorder="1" applyNumberFormat="1">
      <alignment horizontal="center" vertical="center" wrapText="1"/>
    </xf>
    <xf numFmtId="0" fontId="23" fillId="0" borderId="0" xfId="0" applyFont="1" applyNumberFormat="1">
      <alignment vertical="center" wrapText="1"/>
    </xf>
    <xf numFmtId="0" fontId="48" fillId="38" borderId="0" xfId="0" applyFont="1" applyFill="1" applyNumberFormat="1">
      <alignment horizontal="center" vertical="center" wrapText="1"/>
    </xf>
    <xf numFmtId="49" fontId="23" fillId="0" borderId="16" xfId="0" applyFont="1" applyBorder="1" applyNumberFormat="1">
      <alignment horizontal="center" vertical="center" wrapText="1"/>
    </xf>
    <xf numFmtId="3" fontId="23" fillId="45" borderId="16" xfId="0" applyFont="1" applyFill="1" applyBorder="1" applyNumberFormat="1">
      <alignment horizontal="right" vertical="center" wrapText="1"/>
      <protection locked="0"/>
    </xf>
    <xf numFmtId="0" fontId="58" fillId="0" borderId="0" xfId="0" applyFont="1" applyNumberFormat="1">
      <alignment vertical="center" wrapText="1"/>
    </xf>
    <xf numFmtId="49" fontId="23" fillId="45" borderId="16" xfId="0" applyFont="1" applyFill="1" applyBorder="1" applyNumberFormat="1">
      <alignment horizontal="left" vertical="center" wrapText="1"/>
      <protection locked="0"/>
    </xf>
    <xf numFmtId="0" fontId="58" fillId="0" borderId="0" xfId="0" applyFont="1" applyNumberFormat="1">
      <alignment vertical="center"/>
    </xf>
    <xf numFmtId="0" fontId="48" fillId="38" borderId="16" xfId="0" applyFont="1" applyFill="1" applyBorder="1" applyNumberFormat="1">
      <alignment horizontal="center" vertical="center" wrapText="1"/>
    </xf>
    <xf numFmtId="0" fontId="57" fillId="0" borderId="26" xfId="0" applyFont="1" applyBorder="1" applyNumberFormat="1">
      <alignment vertical="center"/>
    </xf>
    <xf numFmtId="0" fontId="57" fillId="0" borderId="26" xfId="0" applyFont="1" applyBorder="1" applyNumberFormat="1">
      <alignment vertical="center"/>
    </xf>
    <xf numFmtId="0" fontId="23" fillId="0" borderId="21" xfId="0" applyFont="1" applyBorder="1" applyNumberFormat="1">
      <alignment horizontal="left" vertical="center" wrapText="1" indent="1"/>
    </xf>
    <xf numFmtId="49" fontId="23" fillId="0" borderId="63" xfId="0" applyFont="1" applyBorder="1" applyNumberFormat="1">
      <alignment horizontal="center" vertical="center" wrapText="1"/>
    </xf>
    <xf numFmtId="49" fontId="23" fillId="0" borderId="33" xfId="0" applyFont="1" applyBorder="1" applyNumberFormat="1">
      <alignment horizontal="center" vertical="center" wrapText="1"/>
    </xf>
    <xf numFmtId="0" fontId="23" fillId="0" borderId="0" xfId="0" applyFont="1" applyNumberFormat="1">
      <alignment vertical="center" wrapText="1"/>
    </xf>
    <xf numFmtId="0" fontId="43" fillId="0" borderId="0" xfId="0" applyFont="1" applyNumberFormat="1">
      <alignment vertical="center" wrapText="1"/>
    </xf>
    <xf numFmtId="0" fontId="48"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vertical="center" wrapText="1"/>
    </xf>
    <xf numFmtId="0" fontId="58" fillId="0" borderId="0" xfId="0" applyFont="1" applyNumberFormat="1">
      <alignment vertical="center" wrapText="1"/>
    </xf>
    <xf numFmtId="0" fontId="23" fillId="0" borderId="16" xfId="0" applyFont="1" applyBorder="1" applyNumberFormat="1">
      <alignment horizontal="center" vertical="center" wrapText="1"/>
    </xf>
    <xf numFmtId="49" fontId="23" fillId="0" borderId="0" xfId="0" applyFont="1" applyNumberFormat="1">
      <alignment horizontal="center" vertical="center" wrapText="1"/>
    </xf>
    <xf numFmtId="0" fontId="23" fillId="0" borderId="16" xfId="0" applyFont="1" applyBorder="1" applyNumberFormat="1">
      <alignment horizontal="center" vertical="center" wrapText="1"/>
    </xf>
    <xf numFmtId="0" fontId="62" fillId="0" borderId="0" xfId="0" applyFont="1" applyNumberFormat="1">
      <alignment vertical="center"/>
    </xf>
    <xf numFmtId="0" fontId="81" fillId="0" borderId="0" xfId="0" applyFont="1" applyNumberFormat="1">
      <alignment vertical="center" wrapText="1"/>
    </xf>
    <xf numFmtId="0" fontId="58" fillId="0" borderId="0" xfId="0" applyFont="1" applyNumberFormat="1">
      <alignment vertical="center" wrapText="1"/>
    </xf>
    <xf numFmtId="0" fontId="23" fillId="0" borderId="17"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0" xfId="0" applyFont="1" applyNumberFormat="1">
      <alignment horizontal="left" vertical="top" wrapText="1"/>
    </xf>
    <xf numFmtId="0" fontId="23" fillId="0" borderId="16" xfId="0" applyFont="1" applyBorder="1" applyNumberFormat="1">
      <alignment horizontal="center" vertical="center" wrapText="1"/>
    </xf>
    <xf numFmtId="49" fontId="23" fillId="46" borderId="16" xfId="0" applyFont="1" applyFill="1" applyBorder="1" applyNumberFormat="1">
      <alignment horizontal="left" vertical="center" wrapText="1"/>
    </xf>
    <xf numFmtId="0" fontId="23" fillId="0" borderId="16" xfId="0" applyFont="1" applyBorder="1" applyNumberFormat="1">
      <alignment horizontal="left" vertical="center" wrapText="1" indent="2"/>
    </xf>
    <xf numFmtId="0" fontId="58" fillId="0" borderId="21" xfId="0" applyFont="1" applyBorder="1" applyNumberFormat="1">
      <alignment horizontal="center" vertical="center" wrapText="1"/>
    </xf>
    <xf numFmtId="0" fontId="23" fillId="42" borderId="18" xfId="0" applyFont="1" applyFill="1" applyBorder="1" applyNumberFormat="1">
      <alignment horizontal="left" vertical="top" wrapText="1"/>
    </xf>
    <xf numFmtId="0" fontId="23" fillId="0" borderId="16"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42" borderId="18" xfId="0" applyFont="1" applyFill="1" applyBorder="1" applyNumberFormat="1">
      <alignment horizontal="left" vertical="top" wrapText="1"/>
    </xf>
    <xf numFmtId="0" fontId="23" fillId="0" borderId="16" xfId="0" applyFont="1" applyBorder="1" applyNumberFormat="1">
      <alignment horizontal="center" vertical="center" wrapText="1"/>
    </xf>
    <xf numFmtId="49" fontId="0" fillId="0" borderId="16" xfId="0" applyFont="1" applyBorder="1" applyNumberFormat="1">
      <alignment vertical="center" wrapText="1"/>
    </xf>
    <xf numFmtId="0" fontId="58" fillId="0" borderId="18" xfId="0" applyFont="1" applyBorder="1" applyNumberFormat="1">
      <alignment vertical="center" wrapText="1"/>
    </xf>
    <xf numFmtId="0" fontId="58" fillId="0" borderId="18" xfId="0" applyFont="1" applyBorder="1" applyNumberFormat="1">
      <alignment horizontal="left" vertical="top" wrapText="1"/>
    </xf>
    <xf numFmtId="49" fontId="23" fillId="0" borderId="64" xfId="0" applyFont="1" applyBorder="1" applyNumberFormat="1">
      <alignment horizontal="center" vertical="center" wrapText="1"/>
    </xf>
    <xf numFmtId="0" fontId="23" fillId="0" borderId="21" xfId="0" applyFont="1" applyBorder="1" applyNumberFormat="1">
      <alignment horizontal="left" vertical="center" wrapText="1"/>
    </xf>
    <xf numFmtId="49" fontId="51" fillId="44" borderId="23" xfId="0" applyFont="1" applyFill="1" applyBorder="1" applyNumberFormat="1">
      <alignment horizontal="left" vertical="center" indent="2"/>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0" xfId="0" applyFont="1" applyNumberFormat="1">
      <alignment vertical="center" wrapText="1"/>
    </xf>
    <xf numFmtId="0" fontId="0" fillId="0" borderId="16" xfId="0" applyFont="1" applyBorder="1" applyNumberFormat="1">
      <alignment horizontal="center" vertical="center" wrapText="1"/>
    </xf>
    <xf numFmtId="49" fontId="23" fillId="46" borderId="16" xfId="0" applyFont="1" applyFill="1" applyBorder="1" applyNumberFormat="1">
      <alignment horizontal="left" vertical="center" wrapText="1" indent="1"/>
    </xf>
    <xf numFmtId="0" fontId="0" fillId="0" borderId="16" xfId="0" applyFont="1" applyBorder="1" applyNumberFormat="1">
      <alignment horizontal="left" vertical="center" wrapText="1" indent="1"/>
    </xf>
    <xf numFmtId="49" fontId="0"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xf>
    <xf numFmtId="49" fontId="23" fillId="0" borderId="65" xfId="0" applyFont="1" applyBorder="1" applyNumberFormat="1">
      <alignment horizontal="center" vertical="center" wrapText="1"/>
    </xf>
    <xf numFmtId="4" fontId="23" fillId="45" borderId="21" xfId="0" applyFont="1" applyFill="1" applyBorder="1" applyNumberFormat="1">
      <alignment horizontal="right" vertical="center" wrapText="1"/>
      <protection locked="0"/>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pplyNumberFormat="1">
      <alignment horizontal="left" vertical="top" wrapText="1"/>
    </xf>
    <xf numFmtId="0" fontId="23" fillId="0" borderId="0" xfId="0" applyFont="1" applyNumberFormat="1">
      <alignment horizontal="right" vertical="top" wrapText="1"/>
    </xf>
    <xf numFmtId="49" fontId="0" fillId="45" borderId="16" xfId="0" applyFont="1" applyFill="1" applyBorder="1" applyNumberFormat="1">
      <alignment horizontal="left" vertical="center" wrapText="1" indent="1"/>
      <protection locked="0"/>
    </xf>
    <xf numFmtId="49" fontId="57" fillId="0" borderId="0" xfId="0" applyFont="1" applyNumberFormat="1">
      <alignment vertical="top"/>
    </xf>
    <xf numFmtId="49"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0" fontId="23" fillId="38" borderId="0" xfId="0" applyFont="1" applyFill="1" applyNumberFormat="1"/>
    <xf numFmtId="0" fontId="23" fillId="0" borderId="0" xfId="92" applyFont="1" applyNumberFormat="1">
      <alignment vertical="top" wrapText="1"/>
    </xf>
    <xf numFmtId="0" fontId="48" fillId="38" borderId="0" xfId="0" applyFont="1" applyFill="1" applyNumberFormat="1">
      <alignment horizontal="center" vertical="center" wrapText="1"/>
    </xf>
    <xf numFmtId="0" fontId="0" fillId="38" borderId="27"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43" fillId="52" borderId="0" xfId="0" applyFont="1" applyFill="1" applyNumberFormat="1">
      <alignment horizontal="center" vertical="center"/>
    </xf>
    <xf numFmtId="0" fontId="0" fillId="53" borderId="0" xfId="0" applyFont="1" applyFill="1" applyNumberFormat="1">
      <alignment horizontal="left" vertical="center"/>
    </xf>
    <xf numFmtId="49" fontId="0" fillId="0" borderId="0" xfId="0" applyFont="1" applyNumberFormat="1">
      <alignment vertical="center"/>
    </xf>
    <xf numFmtId="0" fontId="0" fillId="53" borderId="0" xfId="0" applyFont="1" applyFill="1" applyNumberFormat="1">
      <alignment horizontal="right" vertical="center"/>
    </xf>
    <xf numFmtId="0" fontId="62" fillId="53" borderId="0" xfId="0" applyFont="1" applyFill="1" applyNumberFormat="1">
      <alignment horizontal="left" vertical="center"/>
    </xf>
    <xf numFmtId="0" fontId="0" fillId="0" borderId="0" xfId="0" applyFont="1" applyNumberFormat="1">
      <alignment horizontal="right" vertical="top"/>
    </xf>
    <xf numFmtId="0" fontId="0" fillId="53" borderId="15" xfId="0" applyFont="1" applyFill="1" applyBorder="1" applyNumberFormat="1">
      <alignment horizontal="center"/>
    </xf>
    <xf numFmtId="0" fontId="0" fillId="0" borderId="15" xfId="0" applyFont="1" applyBorder="1" applyNumberFormat="1">
      <alignment horizontal="center"/>
    </xf>
    <xf numFmtId="0" fontId="124" fillId="0" borderId="0" xfId="0" applyFont="1" applyNumberForma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38" fillId="0" borderId="0" xfId="0" applyFont="1" applyNumberFormat="1"/>
    <xf numFmtId="0" fontId="110" fillId="0" borderId="0" xfId="0" applyFont="1" applyNumberFormat="1">
      <alignment horizontal="left" vertical="center" wrapText="1"/>
    </xf>
    <xf numFmtId="49" fontId="126" fillId="0" borderId="0" xfId="0" applyFont="1" applyNumberFormat="1">
      <alignment wrapText="1"/>
    </xf>
    <xf numFmtId="0" fontId="22" fillId="0" borderId="0" xfId="0" applyFont="1" applyNumberFormat="1">
      <alignment horizontal="left" vertical="top" wrapText="1"/>
    </xf>
    <xf numFmtId="49" fontId="23" fillId="0" borderId="0" xfId="0" applyFont="1" applyNumberFormat="1">
      <alignment vertical="top" wrapText="1"/>
    </xf>
    <xf numFmtId="0" fontId="74" fillId="0" borderId="0" xfId="0" applyFont="1" applyNumberFormat="1">
      <alignment wrapText="1"/>
    </xf>
    <xf numFmtId="0" fontId="127" fillId="0" borderId="0" xfId="0" applyFont="1" applyNumberFormat="1">
      <alignment horizontal="left" vertical="center" wrapText="1"/>
    </xf>
    <xf numFmtId="0" fontId="128" fillId="0" borderId="0" xfId="0" applyFont="1" applyNumberFormat="1">
      <alignment vertical="center" wrapText="1"/>
    </xf>
    <xf numFmtId="0" fontId="74" fillId="0" borderId="42" xfId="0" applyFont="1" applyBorder="1" applyNumberFormat="1">
      <alignment wrapText="1"/>
    </xf>
    <xf numFmtId="0" fontId="74" fillId="0" borderId="0" xfId="0" applyFont="1" applyNumberFormat="1"/>
    <xf numFmtId="0" fontId="127" fillId="0" borderId="0" xfId="0" applyFont="1" applyNumberFormat="1"/>
    <xf numFmtId="0" fontId="129" fillId="0" borderId="0" xfId="0" applyFont="1" applyNumberFormat="1">
      <alignment wrapText="1"/>
    </xf>
    <xf numFmtId="0" fontId="0" fillId="34" borderId="66" xfId="0" applyFont="1" applyFill="1" applyBorder="1" applyNumberFormat="1">
      <alignment horizontal="center" vertical="center" wrapText="1"/>
    </xf>
    <xf numFmtId="0" fontId="0" fillId="58" borderId="66" xfId="0" applyFont="1" applyFill="1" applyBorder="1" applyNumberFormat="1">
      <alignment horizontal="center" vertical="center" wrapText="1"/>
    </xf>
    <xf numFmtId="0" fontId="0" fillId="42" borderId="66" xfId="0" applyFont="1" applyFill="1" applyBorder="1" applyNumberFormat="1">
      <alignment horizontal="center" vertical="center" wrapText="1"/>
    </xf>
    <xf numFmtId="0" fontId="0" fillId="45" borderId="66" xfId="0" applyFont="1" applyFill="1" applyBorder="1" applyNumberFormat="1">
      <alignment horizontal="center" vertical="center" wrapText="1"/>
    </xf>
    <xf numFmtId="0" fontId="127" fillId="0" borderId="42" xfId="0" applyFont="1" applyBorder="1" applyNumberFormat="1">
      <alignment horizontal="left" vertical="center" wrapText="1"/>
    </xf>
    <xf numFmtId="0" fontId="127" fillId="0" borderId="67" xfId="0" applyFont="1" applyBorder="1" applyNumberFormat="1">
      <alignment horizontal="left" vertical="center" wrapText="1"/>
    </xf>
    <xf numFmtId="0" fontId="129" fillId="0" borderId="0" xfId="0" applyFont="1" applyNumberFormat="1"/>
    <xf numFmtId="0" fontId="129" fillId="0" borderId="42" xfId="0" applyFont="1" applyBorder="1" applyNumberFormat="1">
      <alignment wrapText="1"/>
    </xf>
    <xf numFmtId="0" fontId="74" fillId="0" borderId="68" xfId="0" applyFont="1" applyBorder="1" applyNumberFormat="1">
      <alignment wrapText="1"/>
    </xf>
    <xf numFmtId="0" fontId="74" fillId="0" borderId="43" xfId="0" applyFont="1" applyBorder="1" applyNumberFormat="1">
      <alignment wrapText="1"/>
    </xf>
    <xf numFmtId="0" fontId="74" fillId="0" borderId="43" xfId="0" applyFont="1" applyBorder="1" applyNumberFormat="1">
      <alignment vertical="center" wrapText="1"/>
    </xf>
    <xf numFmtId="0" fontId="125" fillId="0" borderId="0" xfId="0" applyFont="1" applyNumberFormat="1"/>
    <xf numFmtId="0" fontId="47" fillId="0" borderId="28" xfId="0" applyFont="1" applyBorder="1" applyNumberFormat="1">
      <alignment horizontal="center" vertical="center" wrapText="1"/>
    </xf>
    <xf numFmtId="49" fontId="23" fillId="0" borderId="17" xfId="0" applyFont="1" applyBorder="1" applyNumberFormat="1">
      <alignment horizontal="center" vertical="center" wrapText="1"/>
    </xf>
    <xf numFmtId="49" fontId="0" fillId="0" borderId="16" xfId="0" applyFont="1" applyBorder="1" applyNumberFormat="1">
      <alignment vertical="top"/>
    </xf>
    <xf numFmtId="0" fontId="47" fillId="0" borderId="16" xfId="0" applyFont="1" applyBorder="1" applyNumberFormat="1">
      <alignment horizontal="center" vertical="center" wrapText="1"/>
    </xf>
    <xf numFmtId="49" fontId="130" fillId="0" borderId="0" xfId="0" applyFont="1" applyNumberFormat="1">
      <alignment horizontal="center" vertical="center" wrapText="1"/>
    </xf>
    <xf numFmtId="49" fontId="23" fillId="53" borderId="0" xfId="0" applyFont="1" applyFill="1" applyNumberFormat="1">
      <alignment horizontal="center" vertical="center"/>
    </xf>
    <xf numFmtId="170" fontId="0" fillId="45" borderId="16" xfId="0" applyFont="1" applyFill="1" applyBorder="1" applyNumberFormat="1">
      <alignment horizontal="left" vertical="center" wrapText="1" indent="1"/>
      <protection locked="0"/>
    </xf>
    <xf numFmtId="170" fontId="0" fillId="0" borderId="16" xfId="0" applyFont="1" applyBorder="1" applyNumberFormat="1">
      <alignment horizontal="left" vertical="center" wrapText="1" indent="1"/>
    </xf>
    <xf numFmtId="170" fontId="0" fillId="45" borderId="16" xfId="0" applyFont="1" applyFill="1" applyBorder="1" applyNumberFormat="1">
      <alignment horizontal="center" vertical="center" wrapText="1"/>
      <protection locked="0"/>
    </xf>
    <xf numFmtId="170" fontId="58" fillId="0" borderId="0" xfId="0" applyFont="1" applyNumberFormat="1">
      <alignment horizontal="center" vertical="center" wrapText="1"/>
    </xf>
    <xf numFmtId="170" fontId="58" fillId="0" borderId="16" xfId="0" applyFont="1" applyBorder="1" applyNumberFormat="1">
      <alignment horizontal="center" vertical="center" wrapText="1"/>
    </xf>
    <xf numFmtId="170" fontId="0" fillId="45" borderId="16" xfId="0" applyFont="1" applyFill="1" applyBorder="1" applyNumberFormat="1">
      <alignment horizontal="left" vertical="center" wrapText="1"/>
      <protection locked="0"/>
    </xf>
    <xf numFmtId="170" fontId="0" fillId="34" borderId="16" xfId="0" applyFont="1" applyFill="1" applyBorder="1" applyNumberFormat="1">
      <alignment horizontal="left" vertical="center" wrapText="1" indent="1"/>
      <protection locked="0"/>
    </xf>
    <xf numFmtId="170" fontId="0" fillId="45" borderId="17" xfId="0" applyFont="1" applyFill="1" applyBorder="1" applyNumberFormat="1">
      <alignment horizontal="left" vertical="center" wrapText="1"/>
      <protection locked="0"/>
    </xf>
    <xf numFmtId="0" fontId="23" fillId="0" borderId="16" xfId="0" applyFont="1" applyBorder="1" applyNumberFormat="1">
      <alignment horizontal="center" vertical="center" wrapText="1"/>
    </xf>
    <xf numFmtId="0" fontId="23" fillId="0" borderId="40" xfId="0" applyFont="1" applyBorder="1" applyNumberFormat="1">
      <alignment horizontal="center" vertical="center" wrapText="1"/>
    </xf>
    <xf numFmtId="0" fontId="48" fillId="0" borderId="28" xfId="0" applyFont="1" applyBorder="1" applyNumberFormat="1">
      <alignment horizontal="center" vertical="center" wrapText="1"/>
    </xf>
    <xf numFmtId="0" fontId="23" fillId="0" borderId="0" xfId="0" applyFont="1" applyNumberFormat="1">
      <alignment horizontal="left" vertical="top" indent="1"/>
    </xf>
    <xf numFmtId="0" fontId="23" fillId="42" borderId="31" xfId="0" applyFont="1" applyFill="1" applyBorder="1" applyNumberFormat="1">
      <alignment horizontal="center" vertical="top"/>
    </xf>
    <xf numFmtId="0" fontId="0" fillId="0" borderId="38" xfId="0" applyFont="1" applyBorder="1" applyNumberFormat="1">
      <alignment horizontal="center" vertical="center"/>
    </xf>
    <xf numFmtId="0" fontId="0" fillId="0" borderId="37" xfId="0" applyFont="1" applyBorder="1" applyNumberFormat="1">
      <alignment horizontal="center" vertical="center"/>
    </xf>
    <xf numFmtId="0" fontId="23" fillId="46" borderId="40" xfId="0" applyFont="1" applyFill="1" applyBorder="1" applyNumberFormat="1">
      <alignment horizontal="center" vertical="top" wrapText="1"/>
    </xf>
    <xf numFmtId="49" fontId="0" fillId="45" borderId="16" xfId="0" applyFont="1" applyFill="1" applyBorder="1" applyNumberFormat="1">
      <alignment horizontal="left" vertical="center" wrapText="1"/>
      <protection locked="0"/>
    </xf>
    <xf numFmtId="49" fontId="23" fillId="0" borderId="40" xfId="0" applyFont="1" applyBorder="1" applyNumberFormat="1">
      <alignment horizontal="center" vertical="top" wrapText="1"/>
    </xf>
    <xf numFmtId="49" fontId="23" fillId="34"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23" fillId="42" borderId="31" xfId="0" applyFont="1" applyFill="1" applyBorder="1" applyNumberFormat="1">
      <alignment horizontal="left" vertical="top"/>
    </xf>
    <xf numFmtId="0" fontId="23" fillId="0" borderId="16" xfId="0" applyFont="1" applyBorder="1" applyNumberFormat="1">
      <alignment horizontal="left" vertical="top"/>
    </xf>
    <xf numFmtId="49" fontId="23" fillId="0" borderId="0" xfId="0" applyFont="1" applyNumberFormat="1">
      <alignment horizontal="left" vertical="top"/>
    </xf>
    <xf numFmtId="0" fontId="23" fillId="46" borderId="40" xfId="0" applyFont="1" applyFill="1" applyBorder="1" applyNumberFormat="1">
      <alignment horizontal="center" vertical="top" wrapText="1"/>
    </xf>
    <xf numFmtId="49" fontId="23" fillId="46" borderId="40" xfId="0" applyFont="1" applyFill="1" applyBorder="1" applyNumberFormat="1">
      <alignment horizontal="center" vertical="center" wrapText="1"/>
    </xf>
    <xf numFmtId="49" fontId="58"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0" fontId="56" fillId="0" borderId="16" xfId="0" applyFont="1" applyBorder="1" applyNumberFormat="1">
      <alignment horizontal="center" vertical="center"/>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0" fillId="42" borderId="40" xfId="0" applyFont="1" applyFill="1" applyBorder="1" applyNumberFormat="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pplyNumberFormat="1">
      <alignment horizontal="center" vertical="top" wrapText="1"/>
    </xf>
    <xf numFmtId="0" fontId="23" fillId="34" borderId="40" xfId="0" applyFont="1" applyFill="1" applyBorder="1" applyNumberFormat="1">
      <alignment horizontal="left" vertical="top" wrapText="1"/>
      <protection locked="0"/>
    </xf>
    <xf numFmtId="49" fontId="0" fillId="0" borderId="40" xfId="0" applyFont="1" applyBorder="1" applyNumberFormat="1">
      <alignment vertical="top"/>
    </xf>
    <xf numFmtId="49" fontId="0" fillId="0" borderId="40" xfId="0" applyFont="1" applyBorder="1" applyNumberFormat="1">
      <alignment horizontal="left" vertical="top"/>
    </xf>
    <xf numFmtId="49" fontId="0" fillId="46" borderId="40" xfId="0" applyFont="1" applyFill="1" applyBorder="1" applyNumberFormat="1">
      <alignment horizontal="left" vertical="top"/>
    </xf>
    <xf numFmtId="0" fontId="51" fillId="0" borderId="40" xfId="0" applyFont="1" applyBorder="1" applyNumberFormat="1">
      <alignment horizontal="left" vertical="center"/>
    </xf>
    <xf numFmtId="0" fontId="51" fillId="34" borderId="40" xfId="0" applyFont="1" applyFill="1" applyBorder="1" applyNumberFormat="1">
      <alignment horizontal="left" vertical="center"/>
      <protection locked="0"/>
    </xf>
    <xf numFmtId="0" fontId="51" fillId="45" borderId="40" xfId="0" applyFont="1" applyFill="1" applyBorder="1" applyNumberFormat="1">
      <alignment horizontal="left" vertical="center"/>
      <protection locked="0"/>
    </xf>
    <xf numFmtId="49" fontId="23" fillId="46" borderId="40" xfId="0" applyFont="1" applyFill="1" applyBorder="1" applyNumberFormat="1">
      <alignment horizontal="center" vertical="center" wrapText="1"/>
    </xf>
    <xf numFmtId="49" fontId="0" fillId="45" borderId="21" xfId="0" applyFont="1" applyFill="1" applyBorder="1" applyNumberFormat="1">
      <alignment vertical="top"/>
      <protection locked="0"/>
    </xf>
    <xf numFmtId="49" fontId="0" fillId="45" borderId="40" xfId="0" applyFont="1" applyFill="1" applyBorder="1" applyNumberFormat="1">
      <alignment vertical="top"/>
      <protection locked="0"/>
    </xf>
    <xf numFmtId="49" fontId="0" fillId="45" borderId="27"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23" fillId="46" borderId="0" xfId="0" applyFont="1" applyFill="1" applyNumberFormat="1">
      <alignment horizontal="center" vertical="center" wrapText="1"/>
    </xf>
    <xf numFmtId="49" fontId="0" fillId="34" borderId="40" xfId="0" applyFont="1" applyFill="1" applyBorder="1" applyNumberFormat="1">
      <alignment vertical="top"/>
      <protection locked="0"/>
    </xf>
    <xf numFmtId="49" fontId="0" fillId="46" borderId="40"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0" fontId="23" fillId="0" borderId="16" xfId="0" applyFont="1" applyBorder="1" applyNumberFormat="1">
      <alignment horizontal="center" vertical="center" wrapText="1"/>
    </xf>
    <xf numFmtId="0" fontId="0" fillId="38" borderId="16" xfId="0" applyFont="1" applyFill="1" applyBorder="1" applyNumberFormat="1">
      <alignment vertical="top" wrapText="1"/>
    </xf>
    <xf numFmtId="0" fontId="57" fillId="0" borderId="16" xfId="0" applyFont="1" applyBorder="1" applyNumberFormat="1">
      <alignment vertical="top" wrapText="1"/>
    </xf>
    <xf numFmtId="49" fontId="0" fillId="45" borderId="16" xfId="0" applyFont="1" applyFill="1" applyBorder="1" applyNumberFormat="1">
      <alignment horizontal="left" vertical="center" wrapText="1"/>
      <protection locked="0"/>
    </xf>
    <xf numFmtId="0" fontId="57" fillId="0" borderId="0" xfId="0" applyFont="1" applyNumberFormat="1">
      <alignment horizontal="center" vertical="center" wrapText="1"/>
    </xf>
    <xf numFmtId="49" fontId="23" fillId="46" borderId="21" xfId="72" applyFont="1" applyFill="1" applyBorder="1" applyNumberFormat="1">
      <alignment vertical="center" wrapText="1"/>
    </xf>
    <xf numFmtId="49" fontId="23" fillId="46" borderId="40" xfId="72" applyFont="1" applyFill="1" applyBorder="1" applyNumberFormat="1">
      <alignment vertical="center" wrapText="1"/>
    </xf>
    <xf numFmtId="49" fontId="23" fillId="46" borderId="27" xfId="72" applyFont="1" applyFill="1" applyBorder="1" applyNumberFormat="1">
      <alignment vertical="center" wrapText="1"/>
    </xf>
    <xf numFmtId="49" fontId="0" fillId="42" borderId="40" xfId="0" applyFont="1" applyFill="1" applyBorder="1" applyNumberFormat="1">
      <alignment vertical="top"/>
    </xf>
    <xf numFmtId="49" fontId="0" fillId="0" borderId="26" xfId="0" applyFont="1" applyBorder="1" applyNumberFormat="1">
      <alignment vertical="top"/>
    </xf>
    <xf numFmtId="0" fontId="110" fillId="0" borderId="0" xfId="0" applyFont="1" applyNumberFormat="1">
      <alignment vertical="center" wrapText="1"/>
    </xf>
    <xf numFmtId="0" fontId="110" fillId="0" borderId="0" xfId="0" applyFont="1" applyNumberFormat="1">
      <alignment vertical="center"/>
    </xf>
    <xf numFmtId="0" fontId="22" fillId="37" borderId="69" xfId="0" applyFont="1" applyFill="1" applyBorder="1" applyNumberFormat="1">
      <alignment horizontal="center" vertical="center" wrapText="1"/>
    </xf>
    <xf numFmtId="0" fontId="22" fillId="37" borderId="70" xfId="0" applyFont="1" applyFill="1" applyBorder="1" applyNumberFormat="1">
      <alignment horizontal="center" vertical="center" wrapText="1"/>
    </xf>
    <xf numFmtId="0" fontId="22" fillId="37" borderId="71" xfId="0" applyFont="1" applyFill="1" applyBorder="1" applyNumberFormat="1">
      <alignment horizontal="center" vertical="center" wrapText="1"/>
    </xf>
    <xf numFmtId="0" fontId="22" fillId="51" borderId="42" xfId="0" applyFont="1" applyFill="1" applyBorder="1" applyNumberFormat="1">
      <alignment horizontal="right" vertical="center" wrapText="1" indent="1"/>
    </xf>
    <xf numFmtId="0" fontId="22" fillId="51" borderId="72" xfId="0" applyFont="1" applyFill="1" applyBorder="1" applyNumberFormat="1">
      <alignment horizontal="right" vertical="center" wrapText="1" indent="1"/>
    </xf>
    <xf numFmtId="0" fontId="22" fillId="51" borderId="0" xfId="0" applyFont="1" applyFill="1" applyNumberFormat="1">
      <alignment horizontal="right" vertical="center" wrapText="1" indent="1"/>
    </xf>
    <xf numFmtId="0" fontId="129" fillId="0" borderId="42" xfId="0" applyFont="1" applyBorder="1" applyNumberFormat="1">
      <alignment vertical="center" wrapText="1"/>
    </xf>
    <xf numFmtId="0" fontId="129" fillId="0" borderId="0" xfId="0" applyFont="1" applyNumberFormat="1">
      <alignment vertical="center" wrapText="1"/>
    </xf>
    <xf numFmtId="0" fontId="129" fillId="0" borderId="42" xfId="0" applyFont="1" applyBorder="1" applyNumberFormat="1">
      <alignment horizontal="left" vertical="center" wrapText="1"/>
    </xf>
    <xf numFmtId="0" fontId="129" fillId="0" borderId="0" xfId="0" applyFont="1" applyNumberFormat="1">
      <alignment horizontal="left" vertical="center" wrapText="1"/>
    </xf>
    <xf numFmtId="0" fontId="22" fillId="51" borderId="66" xfId="0" applyFont="1" applyFill="1" applyBorder="1" applyNumberFormat="1">
      <alignment horizontal="right" vertical="center" wrapText="1" indent="1"/>
    </xf>
    <xf numFmtId="0" fontId="22" fillId="51" borderId="73" xfId="0" applyFont="1" applyFill="1" applyBorder="1" applyNumberFormat="1">
      <alignment horizontal="right" vertical="center" wrapText="1" indent="1"/>
    </xf>
    <xf numFmtId="0" fontId="22" fillId="51" borderId="68" xfId="0" applyFont="1" applyFill="1" applyBorder="1" applyNumberFormat="1">
      <alignment horizontal="right" vertical="center" wrapText="1" indent="1"/>
    </xf>
    <xf numFmtId="0" fontId="22" fillId="51" borderId="43" xfId="0" applyFont="1" applyFill="1" applyBorder="1" applyNumberFormat="1">
      <alignment horizontal="right" vertical="center" wrapText="1" indent="1"/>
    </xf>
    <xf numFmtId="0" fontId="129" fillId="0" borderId="0" xfId="0" applyFont="1" applyNumberFormat="1">
      <alignment vertical="top" wrapText="1"/>
    </xf>
    <xf numFmtId="0" fontId="129" fillId="0" borderId="0" xfId="0" applyFont="1" applyNumberFormat="1">
      <alignment vertical="top" wrapText="1"/>
    </xf>
    <xf numFmtId="49" fontId="74" fillId="0" borderId="0" xfId="0" applyFont="1" applyNumberFormat="1">
      <alignment vertical="top" wrapText="1"/>
    </xf>
    <xf numFmtId="0" fontId="23" fillId="0" borderId="17" xfId="0" applyFont="1" applyBorder="1" applyNumberFormat="1">
      <alignment horizontal="center" vertical="center" wrapText="1"/>
    </xf>
    <xf numFmtId="0" fontId="23" fillId="0" borderId="18" xfId="0" applyFont="1" applyBorder="1" applyNumberFormat="1">
      <alignment horizontal="center" vertical="center" wrapText="1"/>
    </xf>
    <xf numFmtId="0" fontId="104" fillId="0" borderId="0" xfId="92" applyFont="1" applyNumberFormat="1">
      <alignment horizontal="left" vertical="center" wrapText="1"/>
    </xf>
    <xf numFmtId="14" fontId="101" fillId="0" borderId="16" xfId="92" applyFont="1" applyBorder="1" applyNumberFormat="1">
      <alignment horizontal="center" vertical="center" wrapText="1"/>
    </xf>
    <xf numFmtId="0" fontId="23" fillId="0" borderId="0" xfId="0" applyFont="1" applyNumberFormat="1">
      <alignment horizontal="center" vertical="center" wrapText="1"/>
    </xf>
    <xf numFmtId="0" fontId="23" fillId="0" borderId="19" xfId="0" applyFont="1" applyBorder="1" applyNumberFormat="1">
      <alignment horizontal="left" vertical="center" wrapText="1" inden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4" fontId="23" fillId="0" borderId="16" xfId="78" applyFont="1" applyBorder="1" applyNumberFormat="1">
      <alignment horizontal="center" vertical="center" wrapText="1"/>
    </xf>
    <xf numFmtId="0" fontId="23" fillId="46" borderId="21" xfId="0" applyFont="1" applyFill="1" applyBorder="1" applyNumberFormat="1">
      <alignment horizontal="left" vertical="center" wrapText="1" indent="1"/>
      <protection locked="0"/>
    </xf>
    <xf numFmtId="0" fontId="23" fillId="46" borderId="27" xfId="0" applyFont="1" applyFill="1" applyBorder="1" applyNumberFormat="1">
      <alignment horizontal="left" vertical="center" wrapText="1" indent="1"/>
      <protection locked="0"/>
    </xf>
    <xf numFmtId="49" fontId="23" fillId="46"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pplyNumberFormat="1">
      <alignment horizontal="left" vertical="center" wrapText="1" indent="2"/>
    </xf>
    <xf numFmtId="0" fontId="23" fillId="46" borderId="40" xfId="0" applyFont="1" applyFill="1" applyBorder="1" applyNumberFormat="1">
      <alignment horizontal="left" vertical="center" wrapText="1" indent="2"/>
    </xf>
    <xf numFmtId="0" fontId="23" fillId="46" borderId="27" xfId="0" applyFont="1" applyFill="1" applyBorder="1" applyNumberFormat="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23" fillId="0" borderId="34" xfId="0" applyFont="1" applyBorder="1" applyNumberFormat="1">
      <alignment horizontal="left" vertical="center" indent="1"/>
    </xf>
    <xf numFmtId="0" fontId="23" fillId="0" borderId="27" xfId="0" applyFont="1" applyBorder="1" applyNumberFormat="1">
      <alignment horizontal="left" vertical="center" indent="1"/>
    </xf>
    <xf numFmtId="0" fontId="23" fillId="0" borderId="31" xfId="0" applyFont="1" applyBorder="1" applyNumberFormat="1">
      <alignment horizontal="left" vertical="center" indent="1"/>
    </xf>
    <xf numFmtId="0" fontId="23" fillId="0" borderId="0" xfId="0" applyFont="1" applyNumberFormat="1">
      <alignment horizontal="center" vertical="center" wrapText="1"/>
    </xf>
    <xf numFmtId="0" fontId="23" fillId="47" borderId="0" xfId="0" applyFont="1" applyFill="1" applyNumberFormat="1">
      <alignment horizontal="center" vertical="center" wrapText="1"/>
    </xf>
    <xf numFmtId="0" fontId="23" fillId="0" borderId="16" xfId="0" applyFont="1" applyBorder="1" applyNumberFormat="1">
      <alignment horizontal="center" vertical="center" wrapText="1"/>
    </xf>
    <xf numFmtId="0" fontId="83" fillId="0" borderId="41" xfId="0" applyFont="1" applyBorder="1" applyNumberFormat="1">
      <alignment horizontal="center" vertical="center" wrapText="1"/>
    </xf>
    <xf numFmtId="0" fontId="83" fillId="0" borderId="23"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83" fillId="0" borderId="16" xfId="0" applyFont="1" applyBorder="1" applyNumberFormat="1">
      <alignment horizontal="center" vertical="center" wrapText="1"/>
    </xf>
    <xf numFmtId="0" fontId="23" fillId="0" borderId="77" xfId="0" applyFont="1" applyBorder="1" applyNumberFormat="1">
      <alignment horizontal="center" vertical="center" wrapText="1"/>
    </xf>
    <xf numFmtId="0" fontId="23" fillId="0" borderId="78" xfId="0" applyFont="1" applyBorder="1" applyNumberFormat="1">
      <alignment horizontal="center"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0" fontId="0" fillId="0" borderId="23"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23" fillId="0" borderId="23" xfId="0" applyFont="1" applyBorder="1" applyNumberFormat="1">
      <alignment horizontal="center" vertical="center" wrapText="1"/>
    </xf>
    <xf numFmtId="49" fontId="23" fillId="0" borderId="0" xfId="0" applyFont="1" applyNumberFormat="1">
      <alignment horizontal="center" vertical="center" wrapText="1"/>
    </xf>
    <xf numFmtId="49" fontId="0" fillId="0" borderId="23" xfId="0" applyFont="1" applyBorder="1" applyNumberFormat="1">
      <alignment horizontal="left" vertical="center" wrapText="1"/>
    </xf>
    <xf numFmtId="0" fontId="0" fillId="0" borderId="16" xfId="0" applyFont="1" applyBorder="1" applyNumberFormat="1">
      <alignment horizontal="center" vertical="top"/>
    </xf>
    <xf numFmtId="49" fontId="0" fillId="0" borderId="16" xfId="0" applyFont="1" applyBorder="1" applyNumberFormat="1">
      <alignment vertical="top"/>
    </xf>
    <xf numFmtId="0" fontId="23" fillId="0" borderId="16" xfId="0" applyFont="1" applyBorder="1" applyNumberFormat="1">
      <alignment horizontal="left" vertical="top" wrapText="1"/>
    </xf>
    <xf numFmtId="49" fontId="0" fillId="0" borderId="16" xfId="0" applyFont="1" applyBorder="1" applyNumberFormat="1">
      <alignment horizontal="left" vertical="top"/>
    </xf>
    <xf numFmtId="0" fontId="23" fillId="46" borderId="21" xfId="0" applyFont="1" applyFill="1" applyBorder="1" applyNumberFormat="1">
      <alignment horizontal="center" vertical="top" wrapText="1"/>
    </xf>
    <xf numFmtId="0" fontId="23" fillId="46" borderId="40" xfId="0" applyFont="1" applyFill="1" applyBorder="1" applyNumberFormat="1">
      <alignment horizontal="center" vertical="top" wrapText="1"/>
    </xf>
    <xf numFmtId="0" fontId="23" fillId="46" borderId="27" xfId="0" applyFont="1" applyFill="1" applyBorder="1" applyNumberFormat="1">
      <alignment horizontal="center" vertical="top" wrapText="1"/>
    </xf>
    <xf numFmtId="0" fontId="23" fillId="46" borderId="16" xfId="0" applyFont="1" applyFill="1" applyBorder="1" applyNumberFormat="1">
      <alignment horizontal="left" vertical="top" wrapText="1"/>
    </xf>
    <xf numFmtId="49" fontId="0" fillId="46" borderId="16" xfId="0" applyFont="1" applyFill="1" applyBorder="1" applyNumberFormat="1">
      <alignment horizontal="left" vertical="top"/>
    </xf>
    <xf numFmtId="0" fontId="0" fillId="0" borderId="41" xfId="0" applyFont="1" applyBorder="1" applyNumberFormat="1">
      <alignment horizontal="center" vertical="center"/>
    </xf>
    <xf numFmtId="0" fontId="0" fillId="0" borderId="26" xfId="0" applyFont="1" applyBorder="1" applyNumberFormat="1">
      <alignment horizontal="center" vertical="center"/>
    </xf>
    <xf numFmtId="0" fontId="0" fillId="0" borderId="23" xfId="0" applyFont="1" applyBorder="1" applyNumberFormat="1">
      <alignment horizontal="center" vertical="center"/>
    </xf>
    <xf numFmtId="0" fontId="0" fillId="0" borderId="0" xfId="0" applyFont="1" applyNumberFormat="1">
      <alignment horizontal="center"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49" fontId="0" fillId="0" borderId="0" xfId="0" applyFont="1" applyNumberFormat="1">
      <alignment horizontal="left" vertical="top"/>
    </xf>
    <xf numFmtId="0" fontId="0" fillId="0" borderId="16" xfId="0" applyFont="1" applyBorder="1" applyNumberFormat="1">
      <alignment horizontal="center" vertical="center" wrapText="1"/>
    </xf>
    <xf numFmtId="49" fontId="58" fillId="38" borderId="32" xfId="0" applyFont="1" applyFill="1" applyBorder="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81" fillId="0" borderId="28" xfId="0" applyFont="1" applyBorder="1" applyNumberFormat="1">
      <alignment horizontal="left" vertical="center" wrapText="1" indent="1"/>
    </xf>
    <xf numFmtId="0" fontId="81" fillId="0" borderId="40" xfId="0" applyFont="1" applyBorder="1" applyNumberFormat="1">
      <alignment horizontal="left" vertical="center" wrapText="1" indent="1"/>
    </xf>
    <xf numFmtId="0" fontId="81" fillId="0" borderId="26" xfId="0" applyFont="1" applyBorder="1" applyNumberFormat="1">
      <alignment horizontal="left" vertical="center" wrapText="1" indent="1"/>
    </xf>
    <xf numFmtId="0" fontId="23" fillId="0" borderId="32" xfId="0" applyFont="1" applyBorder="1" applyNumberFormat="1">
      <alignment horizontal="left" vertical="center" indent="1"/>
    </xf>
    <xf numFmtId="0" fontId="23" fillId="0" borderId="18" xfId="0" applyFont="1" applyBorder="1" applyNumberFormat="1">
      <alignment horizontal="center" vertical="center" wrapText="1"/>
    </xf>
    <xf numFmtId="0" fontId="23" fillId="0" borderId="17" xfId="0" applyFont="1" applyBorder="1" applyNumberFormat="1">
      <alignment horizontal="center" vertical="center" wrapText="1"/>
    </xf>
    <xf numFmtId="0" fontId="0" fillId="0" borderId="21" xfId="0" applyFont="1" applyBorder="1" applyNumberFormat="1">
      <alignment horizontal="center" vertical="top"/>
    </xf>
    <xf numFmtId="0" fontId="0" fillId="0" borderId="40" xfId="0" applyFont="1" applyBorder="1" applyNumberFormat="1">
      <alignment horizontal="center" vertical="top"/>
    </xf>
    <xf numFmtId="0" fontId="0" fillId="0" borderId="27" xfId="0" applyFont="1" applyBorder="1" applyNumberFormat="1">
      <alignment horizontal="center" vertical="top"/>
    </xf>
    <xf numFmtId="0" fontId="23" fillId="0" borderId="21" xfId="0" applyFont="1" applyBorder="1" applyNumberFormat="1">
      <alignment horizontal="left" vertical="top" wrapText="1"/>
    </xf>
    <xf numFmtId="0" fontId="23" fillId="0" borderId="40" xfId="0" applyFont="1" applyBorder="1" applyNumberFormat="1">
      <alignment horizontal="left" vertical="top" wrapText="1"/>
    </xf>
    <xf numFmtId="0" fontId="23" fillId="0" borderId="27" xfId="0" applyFont="1" applyBorder="1" applyNumberFormat="1">
      <alignment horizontal="left" vertical="top" wrapText="1"/>
    </xf>
    <xf numFmtId="0" fontId="23" fillId="46" borderId="21" xfId="0" applyFont="1" applyFill="1" applyBorder="1" applyNumberFormat="1">
      <alignment horizontal="left" vertical="top" wrapText="1"/>
    </xf>
    <xf numFmtId="0" fontId="23" fillId="46" borderId="40" xfId="0" applyFont="1" applyFill="1" applyBorder="1" applyNumberFormat="1">
      <alignment horizontal="left" vertical="top" wrapText="1"/>
    </xf>
    <xf numFmtId="0" fontId="23" fillId="46" borderId="27" xfId="0" applyFont="1" applyFill="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23" fillId="0" borderId="21" xfId="0" applyFont="1" applyBorder="1" applyNumberFormat="1">
      <alignment horizontal="center" vertical="center" wrapText="1"/>
    </xf>
    <xf numFmtId="0" fontId="22" fillId="0" borderId="32" xfId="0" applyFont="1" applyBorder="1" applyNumberFormat="1">
      <alignment horizontal="left" vertical="center" wrapText="1" indent="1"/>
    </xf>
    <xf numFmtId="0" fontId="51" fillId="0" borderId="0" xfId="0" applyFont="1" applyNumberFormat="1">
      <alignment horizontal="left" vertical="center"/>
    </xf>
    <xf numFmtId="0" fontId="51" fillId="0" borderId="28" xfId="0" applyFont="1" applyBorder="1" applyNumberFormat="1">
      <alignment horizontal="left"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0" fontId="23" fillId="0" borderId="16" xfId="0" applyFont="1" applyBorder="1" applyNumberFormat="1">
      <alignment horizontal="left" vertical="center" wrapText="1"/>
    </xf>
    <xf numFmtId="0" fontId="23" fillId="0" borderId="41" xfId="0" applyFont="1" applyBorder="1" applyNumberFormat="1">
      <alignment horizontal="left" vertical="center" wrapText="1"/>
    </xf>
    <xf numFmtId="0" fontId="23" fillId="0" borderId="23" xfId="0" applyFont="1" applyBorder="1" applyNumberFormat="1">
      <alignment horizontal="center" vertical="center"/>
    </xf>
    <xf numFmtId="0" fontId="23" fillId="0" borderId="0" xfId="0" applyFont="1" applyNumberFormat="1">
      <alignment horizontal="center" vertical="center"/>
    </xf>
    <xf numFmtId="49" fontId="23" fillId="0" borderId="23" xfId="0" applyFont="1" applyBorder="1" applyNumberFormat="1">
      <alignment horizontal="left" vertical="center" wrapText="1"/>
    </xf>
    <xf numFmtId="49" fontId="23" fillId="0" borderId="0" xfId="0" applyFont="1" applyNumberFormat="1">
      <alignment horizontal="left" vertical="center" wrapText="1"/>
    </xf>
    <xf numFmtId="49" fontId="23" fillId="0" borderId="16" xfId="0" applyFont="1" applyBorder="1" applyNumberFormat="1">
      <alignment horizontal="center" vertical="center"/>
    </xf>
    <xf numFmtId="0" fontId="23" fillId="0" borderId="16" xfId="0" applyFont="1" applyBorder="1" applyNumberFormat="1">
      <alignment horizontal="left" vertical="center" wrapText="1"/>
    </xf>
    <xf numFmtId="0" fontId="23" fillId="0" borderId="18"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23" fillId="46" borderId="40" xfId="0" applyFont="1" applyFill="1" applyBorder="1" applyNumberFormat="1">
      <alignment horizontal="center" vertical="center" wrapText="1"/>
    </xf>
    <xf numFmtId="0" fontId="51" fillId="0" borderId="32" xfId="0" applyFont="1" applyBorder="1" applyNumberFormat="1">
      <alignment horizontal="left" vertical="center"/>
    </xf>
    <xf numFmtId="0" fontId="51" fillId="0" borderId="34" xfId="0" applyFont="1" applyBorder="1" applyNumberFormat="1">
      <alignment horizontal="left" vertical="center"/>
    </xf>
    <xf numFmtId="49" fontId="23" fillId="0" borderId="21" xfId="0" applyFont="1" applyBorder="1" applyNumberFormat="1">
      <alignment horizontal="center" vertical="center"/>
    </xf>
    <xf numFmtId="0" fontId="23" fillId="0" borderId="21" xfId="0" applyFont="1" applyBorder="1" applyNumberFormat="1">
      <alignment horizontal="left" vertical="center" wrapText="1"/>
    </xf>
    <xf numFmtId="0" fontId="22" fillId="0" borderId="23" xfId="0" applyFont="1" applyBorder="1" applyNumberFormat="1">
      <alignment horizontal="left" vertical="center" wrapText="1" indent="1"/>
    </xf>
    <xf numFmtId="0" fontId="23" fillId="0" borderId="4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28"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40"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4" xfId="0" applyFont="1" applyBorder="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49" fontId="23" fillId="38" borderId="0" xfId="0" applyFont="1" applyFill="1" applyNumberFormat="1">
      <alignment horizontal="center" vertical="center" wrapText="1"/>
    </xf>
    <xf numFmtId="0" fontId="56" fillId="0" borderId="0" xfId="92" applyFont="1" applyNumberFormat="1">
      <alignment horizontal="right" vertical="top" wrapText="1"/>
    </xf>
    <xf numFmtId="49" fontId="0" fillId="38" borderId="16" xfId="93" applyFont="1" applyFill="1" applyBorder="1" applyNumberFormat="1">
      <alignment horizontal="center" vertical="center" wrapText="1"/>
    </xf>
    <xf numFmtId="49" fontId="23" fillId="38" borderId="16" xfId="93" applyFont="1" applyFill="1" applyBorder="1" applyNumberFormat="1">
      <alignment horizontal="center" vertical="center" wrapText="1"/>
    </xf>
    <xf numFmtId="0" fontId="23" fillId="38" borderId="0" xfId="0" applyFont="1" applyFill="1" applyNumberFormat="1">
      <alignment horizontal="center" vertical="center" wrapText="1"/>
    </xf>
    <xf numFmtId="0" fontId="56" fillId="0" borderId="0" xfId="92" applyFont="1" applyNumberFormat="1">
      <alignment horizontal="left" vertical="top" wrapText="1" indent="1"/>
    </xf>
    <xf numFmtId="0" fontId="101" fillId="38" borderId="0" xfId="0" applyFont="1" applyFill="1" applyNumberFormat="1">
      <alignment horizontal="left" vertical="center" wrapText="1"/>
    </xf>
    <xf numFmtId="0" fontId="0"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23" fillId="0" borderId="32" xfId="0" applyFont="1" applyBorder="1" applyNumberFormat="1">
      <alignment horizontal="left" vertical="center" wrapText="1" indent="1"/>
    </xf>
    <xf numFmtId="0" fontId="23" fillId="38" borderId="21" xfId="0" applyFont="1" applyFill="1" applyBorder="1" applyNumberFormat="1">
      <alignment horizontal="left" vertical="top" wrapText="1"/>
    </xf>
    <xf numFmtId="0" fontId="23" fillId="38" borderId="40" xfId="0" applyFont="1" applyFill="1" applyBorder="1" applyNumberFormat="1">
      <alignment horizontal="left" vertical="top" wrapText="1"/>
    </xf>
    <xf numFmtId="0" fontId="23" fillId="38" borderId="27" xfId="0" applyFont="1" applyFill="1" applyBorder="1" applyNumberFormat="1">
      <alignment horizontal="left" vertical="top"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57" fillId="0" borderId="0" xfId="0" applyFont="1" applyNumberFormat="1">
      <alignment horizontal="center" vertical="center" wrapText="1"/>
    </xf>
    <xf numFmtId="0" fontId="0" fillId="0" borderId="18"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1" xfId="0" applyFont="1" applyBorder="1" applyNumberFormat="1">
      <alignment horizontal="left" vertical="top" wrapText="1"/>
    </xf>
    <xf numFmtId="0" fontId="0" fillId="0" borderId="27" xfId="0" applyFont="1" applyBorder="1" applyNumberFormat="1">
      <alignment horizontal="left" vertical="top" wrapText="1"/>
    </xf>
    <xf numFmtId="0" fontId="0"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41"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34" xfId="0" applyFont="1" applyBorder="1" applyNumberFormat="1">
      <alignment horizontal="center" vertical="center" wrapText="1"/>
    </xf>
    <xf numFmtId="0" fontId="23" fillId="0" borderId="21" xfId="0" applyFont="1" applyBorder="1" applyNumberFormat="1">
      <alignment horizontal="left" vertical="top" wrapText="1"/>
    </xf>
    <xf numFmtId="0" fontId="23" fillId="0" borderId="40" xfId="0" applyFont="1" applyBorder="1" applyNumberFormat="1">
      <alignment horizontal="left" vertical="top" wrapText="1"/>
    </xf>
    <xf numFmtId="0" fontId="23" fillId="0" borderId="27" xfId="0" applyFont="1" applyBorder="1" applyNumberFormat="1">
      <alignment horizontal="left" vertical="top" wrapText="1"/>
    </xf>
    <xf numFmtId="0" fontId="23" fillId="0" borderId="4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7" xfId="0" applyFont="1" applyBorder="1" applyNumberFormat="1">
      <alignment horizontal="center" vertical="center" wrapText="1"/>
    </xf>
    <xf numFmtId="49" fontId="0" fillId="0" borderId="41" xfId="0" applyFont="1" applyBorder="1" applyNumberFormat="1">
      <alignment horizontal="center" vertical="center" wrapText="1"/>
    </xf>
    <xf numFmtId="49" fontId="0" fillId="0" borderId="31" xfId="0" applyFont="1" applyBorder="1" applyNumberFormat="1">
      <alignment horizontal="center" vertical="center" wrapText="1"/>
    </xf>
    <xf numFmtId="0" fontId="23" fillId="46" borderId="23" xfId="0" applyFont="1" applyFill="1" applyBorder="1" applyNumberFormat="1">
      <alignment horizontal="left" vertical="center" wrapText="1"/>
    </xf>
    <xf numFmtId="0" fontId="23" fillId="46" borderId="32" xfId="0" applyFont="1" applyFill="1" applyBorder="1" applyNumberFormat="1">
      <alignment horizontal="left" vertical="center" wrapText="1"/>
    </xf>
    <xf numFmtId="0" fontId="0"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0" fillId="0" borderId="40" xfId="0" applyFont="1" applyBorder="1" applyNumberFormat="1">
      <alignment horizontal="left" vertical="top" wrapText="1"/>
    </xf>
    <xf numFmtId="49" fontId="103" fillId="0" borderId="16" xfId="0" applyFont="1" applyBorder="1" applyNumberFormat="1">
      <alignment horizontal="center" vertical="top" wrapText="1"/>
    </xf>
    <xf numFmtId="0" fontId="103" fillId="35" borderId="16" xfId="0" applyFont="1" applyFill="1" applyBorder="1" applyNumberFormat="1">
      <alignment horizontal="center" vertical="center" wrapText="1"/>
    </xf>
    <xf numFmtId="49" fontId="103" fillId="0" borderId="41"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7" xfId="0" applyFont="1" applyBorder="1" applyNumberFormat="1">
      <alignment horizontal="center" vertical="top" wrapText="1"/>
    </xf>
    <xf numFmtId="49" fontId="0" fillId="45" borderId="16" xfId="0" applyFont="1" applyFill="1" applyBorder="1" applyNumberFormat="1">
      <alignment horizontal="left" vertical="center" wrapText="1"/>
      <protection locked="0"/>
    </xf>
    <xf numFmtId="49" fontId="58" fillId="0" borderId="16" xfId="0" applyFont="1" applyBorder="1" applyNumberFormat="1">
      <alignment horizontal="center" vertical="center" wrapText="1"/>
    </xf>
    <xf numFmtId="49" fontId="23" fillId="34" borderId="16" xfId="0" applyFont="1" applyFill="1" applyBorder="1" applyNumberFormat="1">
      <alignment horizontal="left" vertical="center" wrapText="1"/>
      <protection locked="0"/>
    </xf>
    <xf numFmtId="49" fontId="0" fillId="0" borderId="16" xfId="0" applyFont="1" applyBorder="1" applyNumberFormat="1">
      <alignment vertical="top"/>
    </xf>
    <xf numFmtId="0" fontId="0" fillId="46" borderId="16" xfId="0" applyFont="1" applyFill="1" applyBorder="1" applyNumberFormat="1">
      <alignment horizontal="left" vertical="center" wrapText="1"/>
      <protection locked="0"/>
    </xf>
    <xf numFmtId="49" fontId="0" fillId="46" borderId="16" xfId="0" applyFont="1" applyFill="1" applyBorder="1" applyNumberFormat="1">
      <alignment horizontal="left" vertical="center" wrapText="1"/>
      <protection locked="0"/>
    </xf>
    <xf numFmtId="0" fontId="0" fillId="0" borderId="16" xfId="0" applyFont="1" applyBorder="1" applyNumberFormat="1">
      <alignment horizontal="center" vertical="center"/>
    </xf>
    <xf numFmtId="49" fontId="23" fillId="34" borderId="16" xfId="0" applyFont="1" applyFill="1" applyBorder="1" applyNumberFormat="1">
      <alignment horizontal="left" vertical="center" wrapText="1"/>
      <protection locked="0"/>
    </xf>
    <xf numFmtId="49" fontId="0" fillId="34" borderId="16" xfId="0" applyFont="1" applyFill="1" applyBorder="1" applyNumberFormat="1">
      <alignment horizontal="left" vertical="top"/>
      <protection locked="0"/>
    </xf>
    <xf numFmtId="3" fontId="23" fillId="45" borderId="16" xfId="0" applyFont="1" applyFill="1" applyBorder="1" applyNumberFormat="1">
      <alignment horizontal="center" vertical="center" wrapText="1"/>
      <protection locked="0"/>
    </xf>
    <xf numFmtId="49" fontId="23" fillId="46" borderId="18" xfId="0" applyFont="1" applyFill="1" applyBorder="1" applyNumberFormat="1">
      <alignment horizontal="center" vertical="center" wrapText="1"/>
    </xf>
    <xf numFmtId="49" fontId="114" fillId="0" borderId="17" xfId="0" applyFont="1" applyBorder="1" applyNumberFormat="1">
      <alignment horizontal="center" vertical="center" wrapText="1"/>
    </xf>
    <xf numFmtId="0" fontId="56" fillId="0" borderId="16" xfId="0" applyFont="1" applyBorder="1" applyNumberFormat="1">
      <alignment horizontal="center" vertical="center"/>
    </xf>
    <xf numFmtId="49" fontId="23" fillId="46" borderId="21" xfId="72" applyFont="1" applyFill="1" applyBorder="1" applyNumberFormat="1">
      <alignment horizontal="left" vertical="center" wrapText="1" indent="1"/>
    </xf>
    <xf numFmtId="49" fontId="23" fillId="46" borderId="40" xfId="72" applyFont="1" applyFill="1" applyBorder="1" applyNumberFormat="1">
      <alignment horizontal="left" vertical="center" wrapText="1" indent="1"/>
    </xf>
    <xf numFmtId="49" fontId="23" fillId="46" borderId="27" xfId="72" applyFont="1" applyFill="1" applyBorder="1" applyNumberFormat="1">
      <alignment horizontal="left" vertical="center" wrapText="1" indent="1"/>
    </xf>
    <xf numFmtId="49" fontId="23" fillId="0" borderId="16" xfId="72" applyFont="1" applyBorder="1" applyNumberFormat="1">
      <alignment horizontal="left" vertical="center" wrapText="1"/>
    </xf>
    <xf numFmtId="49" fontId="23" fillId="42" borderId="16" xfId="72" applyFont="1" applyFill="1" applyBorder="1" applyNumberFormat="1">
      <alignment horizontal="left"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0" fontId="51" fillId="44" borderId="19" xfId="0" applyFont="1" applyFill="1" applyBorder="1" applyNumberFormat="1">
      <alignment horizontal="left" vertical="center"/>
    </xf>
    <xf numFmtId="0" fontId="51" fillId="44" borderId="17" xfId="0" applyFont="1" applyFill="1" applyBorder="1" applyNumberFormat="1">
      <alignment horizontal="left" vertical="center"/>
    </xf>
    <xf numFmtId="0" fontId="51" fillId="44" borderId="23" xfId="0" applyFont="1" applyFill="1" applyBorder="1" applyNumberFormat="1">
      <alignment horizontal="left" vertical="center"/>
    </xf>
    <xf numFmtId="0" fontId="51" fillId="44" borderId="24" xfId="0" applyFont="1" applyFill="1" applyBorder="1" applyNumberFormat="1">
      <alignment horizontal="left" vertical="center"/>
    </xf>
    <xf numFmtId="49" fontId="23" fillId="45" borderId="16" xfId="0" applyFont="1" applyFill="1" applyBorder="1" applyNumberFormat="1">
      <alignment horizontal="left" vertical="center" wrapText="1"/>
      <protection locked="0"/>
    </xf>
    <xf numFmtId="49" fontId="23" fillId="45" borderId="21" xfId="0" applyFont="1" applyFill="1" applyBorder="1" applyNumberFormat="1">
      <alignment horizontal="left" vertical="center" wrapText="1"/>
      <protection locked="0"/>
    </xf>
    <xf numFmtId="49" fontId="23" fillId="0" borderId="40" xfId="0" applyFont="1" applyBorder="1" applyNumberFormat="1">
      <alignment horizontal="center" vertical="center"/>
    </xf>
    <xf numFmtId="0" fontId="23" fillId="0" borderId="40" xfId="0" applyFont="1" applyBorder="1" applyNumberFormat="1">
      <alignment horizontal="center" vertical="center" wrapText="1"/>
    </xf>
    <xf numFmtId="0" fontId="23" fillId="0" borderId="40" xfId="0" applyFont="1" applyBorder="1" applyNumberFormat="1">
      <alignment horizontal="center" vertical="center" wrapText="1"/>
    </xf>
    <xf numFmtId="49" fontId="23" fillId="46" borderId="21" xfId="0" applyFont="1" applyFill="1" applyBorder="1" applyNumberFormat="1">
      <alignment horizontal="center" vertical="center" wrapText="1"/>
    </xf>
    <xf numFmtId="49" fontId="23" fillId="46" borderId="40" xfId="0" applyFont="1" applyFill="1" applyBorder="1" applyNumberFormat="1">
      <alignment horizontal="center" vertical="center" wrapText="1"/>
    </xf>
    <xf numFmtId="0" fontId="23" fillId="46" borderId="21" xfId="0" applyFont="1" applyFill="1" applyBorder="1" applyNumberFormat="1">
      <alignment horizontal="left" vertical="center" wrapText="1"/>
    </xf>
    <xf numFmtId="0" fontId="23" fillId="46" borderId="40" xfId="0" applyFont="1" applyFill="1" applyBorder="1" applyNumberFormat="1">
      <alignment horizontal="left" vertical="center" wrapText="1"/>
    </xf>
    <xf numFmtId="49" fontId="23" fillId="46" borderId="21" xfId="0" applyFont="1" applyFill="1" applyBorder="1" applyNumberFormat="1">
      <alignment horizontal="left" vertical="center" wrapText="1"/>
    </xf>
    <xf numFmtId="49" fontId="23" fillId="46" borderId="27" xfId="0" applyFont="1" applyFill="1" applyBorder="1" applyNumberFormat="1">
      <alignment horizontal="left" vertical="center" wrapText="1"/>
    </xf>
    <xf numFmtId="0" fontId="23" fillId="0" borderId="28" xfId="0" applyFont="1" applyBorder="1" applyNumberFormat="1">
      <alignment horizontal="center" vertical="center"/>
    </xf>
    <xf numFmtId="49" fontId="23" fillId="34" borderId="21" xfId="0" applyFont="1" applyFill="1" applyBorder="1" applyNumberFormat="1">
      <alignment horizontal="left" vertical="center" wrapText="1"/>
      <protection locked="0"/>
    </xf>
    <xf numFmtId="49" fontId="51" fillId="44" borderId="55" xfId="0" applyFont="1" applyFill="1" applyBorder="1" applyNumberFormat="1">
      <alignment horizontal="left" vertical="center" indent="1"/>
    </xf>
    <xf numFmtId="49" fontId="23" fillId="42" borderId="16" xfId="0" applyFont="1" applyFill="1" applyBorder="1" applyNumberFormat="1">
      <alignment horizontal="center" vertical="center" wrapText="1"/>
    </xf>
    <xf numFmtId="49" fontId="23" fillId="42" borderId="62" xfId="0" applyFont="1" applyFill="1" applyBorder="1" applyNumberFormat="1">
      <alignment horizontal="center" vertical="center" wrapText="1"/>
    </xf>
    <xf numFmtId="49" fontId="23" fillId="46" borderId="16" xfId="0" applyFont="1" applyFill="1" applyBorder="1" applyNumberFormat="1">
      <alignment horizontal="center" vertical="top" wrapText="1"/>
    </xf>
    <xf numFmtId="49" fontId="23" fillId="46" borderId="18" xfId="0" applyFont="1" applyFill="1" applyBorder="1" applyNumberFormat="1">
      <alignment horizontal="center" vertical="top" wrapText="1"/>
    </xf>
    <xf numFmtId="0" fontId="23" fillId="34" borderId="16" xfId="0" applyFont="1" applyFill="1" applyBorder="1" applyNumberFormat="1">
      <alignment horizontal="left" vertical="top" wrapText="1"/>
      <protection locked="0"/>
    </xf>
    <xf numFmtId="170" fontId="0" fillId="34"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pplyNumberFormat="1">
      <alignment horizontal="center" vertical="top" wrapText="1"/>
    </xf>
    <xf numFmtId="0" fontId="23" fillId="46" borderId="16" xfId="0" applyFont="1" applyFill="1" applyBorder="1" applyNumberFormat="1">
      <alignment horizontal="center" vertical="center" wrapText="1"/>
    </xf>
    <xf numFmtId="14" fontId="89" fillId="0" borderId="21" xfId="0" applyFont="1" applyBorder="1" applyNumberFormat="1">
      <alignment horizontal="center" vertical="center" wrapText="1"/>
    </xf>
    <xf numFmtId="14" fontId="89" fillId="0" borderId="40" xfId="0" applyFont="1" applyBorder="1" applyNumberFormat="1">
      <alignment horizontal="center" vertical="center" wrapText="1"/>
    </xf>
    <xf numFmtId="0" fontId="83" fillId="0" borderId="16" xfId="0" applyFont="1" applyBorder="1" applyNumberFormat="1">
      <alignment horizontal="left" vertical="center" wrapText="1" indent="1"/>
    </xf>
    <xf numFmtId="0" fontId="83" fillId="0" borderId="16" xfId="0" applyFont="1" applyBorder="1" applyNumberFormat="1">
      <alignment horizontal="left" vertical="top" indent="1"/>
    </xf>
    <xf numFmtId="0" fontId="47" fillId="0" borderId="16" xfId="0" applyFont="1" applyBorder="1" applyNumberFormat="1">
      <alignment horizontal="center" vertical="center" wrapText="1"/>
    </xf>
    <xf numFmtId="0" fontId="23" fillId="46" borderId="16" xfId="0" applyFont="1" applyFill="1" applyBorder="1" applyNumberFormat="1">
      <alignment horizontal="left" vertical="center" wrapText="1" indent="1"/>
    </xf>
    <xf numFmtId="0" fontId="0" fillId="0" borderId="16" xfId="0" applyFont="1" applyBorder="1" applyNumberFormat="1">
      <alignment horizontal="center" vertical="center"/>
    </xf>
    <xf numFmtId="0" fontId="23" fillId="0" borderId="16" xfId="0" applyFont="1" applyBorder="1" applyNumberFormat="1">
      <alignment horizontal="center" vertical="center" wrapText="1"/>
    </xf>
    <xf numFmtId="0" fontId="57" fillId="0" borderId="0" xfId="0" applyFont="1" applyNumberFormat="1">
      <alignment horizontal="center" vertical="top"/>
    </xf>
    <xf numFmtId="0" fontId="0" fillId="0" borderId="18" xfId="0" applyFont="1" applyBorder="1" applyNumberFormat="1">
      <alignment horizontal="right" vertical="center" wrapText="1" indent="1"/>
    </xf>
    <xf numFmtId="0" fontId="0" fillId="0" borderId="19"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42" borderId="16" xfId="0" applyFont="1" applyFill="1" applyBorder="1" applyNumberFormat="1">
      <alignment horizontal="left" vertical="center" wrapText="1" indent="1"/>
    </xf>
    <xf numFmtId="49" fontId="48" fillId="0" borderId="21" xfId="0" applyFont="1" applyBorder="1" applyNumberFormat="1">
      <alignment horizontal="center" vertical="top" wrapText="1"/>
    </xf>
    <xf numFmtId="49" fontId="23" fillId="0" borderId="40" xfId="0" applyFont="1" applyBorder="1" applyNumberFormat="1">
      <alignment horizontal="center" vertical="top" wrapText="1"/>
    </xf>
    <xf numFmtId="49" fontId="23" fillId="0" borderId="27"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49" fontId="23" fillId="45" borderId="16" xfId="0" applyFont="1" applyFill="1" applyBorder="1" applyNumberFormat="1">
      <alignment horizontal="left" vertical="center" wrapText="1" indent="1"/>
      <protection locked="0"/>
    </xf>
    <xf numFmtId="0" fontId="0" fillId="0" borderId="16" xfId="0" applyFont="1" applyBorder="1" applyNumberFormat="1">
      <alignment horizontal="center" vertical="center" wrapText="1"/>
    </xf>
    <xf numFmtId="0" fontId="23" fillId="0" borderId="16" xfId="0" applyFont="1" applyBorder="1" applyNumberFormat="1">
      <alignment horizontal="left" vertical="center" wrapText="1"/>
    </xf>
    <xf numFmtId="0" fontId="0" fillId="45" borderId="16" xfId="0" applyFont="1" applyFill="1" applyBorder="1" applyNumberFormat="1">
      <alignment horizontal="left" vertical="center" wrapText="1"/>
      <protection locked="0"/>
    </xf>
    <xf numFmtId="49" fontId="0" fillId="45" borderId="18" xfId="0" applyFont="1" applyFill="1" applyBorder="1" applyNumberFormat="1">
      <alignment horizontal="left" vertical="center" wrapText="1"/>
      <protection locked="0"/>
    </xf>
    <xf numFmtId="49" fontId="0" fillId="45" borderId="16" xfId="0" applyFont="1" applyFill="1" applyBorder="1" applyNumberFormat="1">
      <alignment horizontal="left" vertical="center" wrapText="1"/>
      <protection locked="0"/>
    </xf>
    <xf numFmtId="0" fontId="23" fillId="0" borderId="27" xfId="0" applyFont="1" applyBorder="1" applyNumberFormat="1">
      <alignment horizontal="left" vertical="center" wrapText="1"/>
    </xf>
    <xf numFmtId="0" fontId="58" fillId="0" borderId="0" xfId="0" applyFont="1" applyNumberFormat="1">
      <alignment horizontal="center" vertical="center" wrapText="1"/>
    </xf>
    <xf numFmtId="49" fontId="23" fillId="0" borderId="21" xfId="0" applyFont="1" applyBorder="1" applyNumberFormat="1">
      <alignment horizontal="center" vertical="center" wrapText="1"/>
    </xf>
    <xf numFmtId="49" fontId="23" fillId="0" borderId="40" xfId="0" applyFont="1" applyBorder="1" applyNumberFormat="1">
      <alignment horizontal="center" vertical="center" wrapText="1"/>
    </xf>
    <xf numFmtId="49" fontId="23" fillId="0" borderId="27" xfId="0" applyFont="1" applyBorder="1" applyNumberFormat="1">
      <alignment horizontal="center" vertical="center" wrapText="1"/>
    </xf>
    <xf numFmtId="49" fontId="114" fillId="0" borderId="16" xfId="0" applyFont="1" applyBorder="1" applyNumberFormat="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pplyNumberFormat="1">
      <alignment horizontal="left" vertical="top" wrapText="1" indent="1"/>
    </xf>
    <xf numFmtId="49" fontId="23" fillId="46" borderId="21" xfId="0" applyFont="1" applyFill="1" applyBorder="1" applyNumberFormat="1">
      <alignment horizontal="center" vertical="top" wrapText="1"/>
    </xf>
    <xf numFmtId="49" fontId="23" fillId="46" borderId="27" xfId="0" applyFont="1" applyFill="1" applyBorder="1" applyNumberFormat="1">
      <alignment horizontal="center" vertical="top" wrapText="1"/>
    </xf>
    <xf numFmtId="170" fontId="0" fillId="45" borderId="16" xfId="0" applyFont="1" applyFill="1" applyBorder="1" applyNumberFormat="1">
      <alignment horizontal="center" vertical="top" wrapText="1"/>
      <protection locked="0"/>
    </xf>
    <xf numFmtId="49" fontId="0" fillId="45"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23" fillId="38" borderId="16" xfId="0" applyFont="1" applyFill="1" applyBorder="1" applyNumberFormat="1">
      <alignment horizontal="center" vertical="center"/>
    </xf>
    <xf numFmtId="4" fontId="23" fillId="42" borderId="18" xfId="0" applyFont="1" applyFill="1" applyBorder="1" applyNumberFormat="1">
      <alignment horizontal="left" vertical="center" wrapText="1"/>
    </xf>
    <xf numFmtId="4" fontId="23" fillId="42" borderId="19" xfId="0" applyFont="1" applyFill="1" applyBorder="1" applyNumberFormat="1">
      <alignment horizontal="left" vertical="center" wrapText="1"/>
    </xf>
    <xf numFmtId="4" fontId="23" fillId="42" borderId="17" xfId="0" applyFont="1" applyFill="1" applyBorder="1" applyNumberFormat="1">
      <alignment horizontal="left" vertical="center" wrapText="1"/>
    </xf>
    <xf numFmtId="0" fontId="23" fillId="46" borderId="18" xfId="0" applyFont="1" applyFill="1" applyBorder="1" applyNumberFormat="1">
      <alignment horizontal="left" vertical="center" wrapText="1"/>
    </xf>
    <xf numFmtId="0" fontId="23" fillId="46" borderId="19" xfId="0" applyFont="1" applyFill="1" applyBorder="1" applyNumberFormat="1">
      <alignment horizontal="left" vertical="center" wrapText="1"/>
    </xf>
    <xf numFmtId="0" fontId="23" fillId="46" borderId="17" xfId="0" applyFont="1" applyFill="1" applyBorder="1" applyNumberFormat="1">
      <alignment horizontal="left" vertical="center" wrapText="1"/>
    </xf>
    <xf numFmtId="0" fontId="22" fillId="0" borderId="23" xfId="0" applyFont="1" applyBorder="1" applyNumberFormat="1">
      <alignment horizontal="left" vertical="center" wrapText="1" indent="1"/>
    </xf>
    <xf numFmtId="0" fontId="22" fillId="0" borderId="32" xfId="0" applyFont="1" applyBorder="1" applyNumberFormat="1">
      <alignment horizontal="left" vertical="center" wrapText="1" indent="1"/>
    </xf>
    <xf numFmtId="0" fontId="0" fillId="38" borderId="16" xfId="92" applyFont="1" applyFill="1" applyBorder="1" applyNumberFormat="1">
      <alignment horizontal="right" vertical="center" wrapText="1" indent="1"/>
    </xf>
    <xf numFmtId="0" fontId="23" fillId="42" borderId="16" xfId="0" applyFont="1" applyFill="1" applyBorder="1" applyNumberFormat="1">
      <alignment horizontal="left" vertical="center" wrapText="1" indent="1"/>
    </xf>
    <xf numFmtId="0" fontId="48" fillId="0" borderId="32" xfId="0" applyFont="1" applyBorder="1" applyNumberFormat="1">
      <alignment horizontal="center" vertical="center" wrapText="1"/>
    </xf>
    <xf numFmtId="0" fontId="56" fillId="0" borderId="21" xfId="0" applyFont="1" applyBorder="1" applyNumberFormat="1">
      <alignment horizontal="left" vertical="top" wrapText="1"/>
    </xf>
    <xf numFmtId="0" fontId="56" fillId="0" borderId="40" xfId="0" applyFont="1" applyBorder="1" applyNumberFormat="1">
      <alignment horizontal="left" vertical="top" wrapText="1"/>
    </xf>
    <xf numFmtId="0" fontId="56" fillId="0" borderId="27" xfId="0" applyFont="1" applyBorder="1" applyNumberFormat="1">
      <alignment horizontal="left" vertical="top" wrapText="1"/>
    </xf>
    <xf numFmtId="0" fontId="57" fillId="0" borderId="16" xfId="0" applyFont="1" applyBorder="1" applyNumberFormat="1">
      <alignment horizontal="center" vertical="center" wrapText="1"/>
    </xf>
    <xf numFmtId="0" fontId="58" fillId="0" borderId="0" xfId="0" applyFont="1" applyNumberFormat="1">
      <alignment horizontal="center" vertical="center" wrapText="1"/>
    </xf>
    <xf numFmtId="0" fontId="57" fillId="0" borderId="16" xfId="0" applyFont="1" applyBorder="1" applyNumberFormat="1">
      <alignment horizontal="center" vertical="center"/>
    </xf>
    <xf numFmtId="0" fontId="57" fillId="0" borderId="18" xfId="0" applyFont="1" applyBorder="1" applyNumberFormat="1">
      <alignment horizontal="center" vertical="center"/>
    </xf>
    <xf numFmtId="0" fontId="23" fillId="0" borderId="21" xfId="0" applyFont="1" applyBorder="1" applyNumberFormat="1">
      <alignment horizontal="center" vertical="center" wrapText="1"/>
    </xf>
    <xf numFmtId="0" fontId="23" fillId="0" borderId="27"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7" xfId="0" applyFont="1" applyBorder="1" applyNumberFormat="1">
      <alignment horizontal="center" vertical="center" wrapText="1"/>
    </xf>
    <xf numFmtId="170" fontId="0" fillId="45" borderId="16" xfId="0" applyFont="1" applyFill="1" applyBorder="1" applyNumberFormat="1">
      <alignment horizontal="center" vertical="center" wrapText="1"/>
      <protection locked="0"/>
    </xf>
    <xf numFmtId="49" fontId="0" fillId="45" borderId="16" xfId="0" applyFont="1" applyFill="1" applyBorder="1" applyNumberFormat="1">
      <alignment horizontal="center" vertical="center" wrapText="1"/>
      <protection locked="0"/>
    </xf>
    <xf numFmtId="170"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7"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0" fontId="0" fillId="38" borderId="18" xfId="0" applyFont="1" applyFill="1" applyBorder="1" applyNumberFormat="1">
      <alignment horizontal="center" vertical="center" wrapText="1"/>
    </xf>
    <xf numFmtId="0" fontId="0" fillId="38" borderId="19" xfId="0" applyFont="1" applyFill="1" applyBorder="1" applyNumberFormat="1">
      <alignment horizontal="center" vertical="center" wrapText="1"/>
    </xf>
    <xf numFmtId="0" fontId="0" fillId="38" borderId="17" xfId="0" applyFont="1" applyFill="1" applyBorder="1" applyNumberFormat="1">
      <alignment horizontal="center" vertical="center" wrapText="1"/>
    </xf>
    <xf numFmtId="0" fontId="23" fillId="38" borderId="21" xfId="0" applyFont="1" applyFill="1" applyBorder="1" applyNumberFormat="1">
      <alignment horizontal="center" vertical="center" wrapText="1"/>
    </xf>
    <xf numFmtId="0" fontId="23" fillId="38" borderId="40" xfId="0" applyFont="1" applyFill="1" applyBorder="1" applyNumberFormat="1">
      <alignment horizontal="center" vertical="center" wrapText="1"/>
    </xf>
    <xf numFmtId="0" fontId="23" fillId="38" borderId="27" xfId="0" applyFont="1" applyFill="1" applyBorder="1" applyNumberFormat="1">
      <alignment horizontal="center" vertical="center" wrapText="1"/>
    </xf>
    <xf numFmtId="49" fontId="51" fillId="44" borderId="21" xfId="0" applyFont="1" applyFill="1" applyBorder="1" applyNumberFormat="1">
      <alignment horizontal="center" vertical="center" textRotation="90" wrapText="1"/>
    </xf>
    <xf numFmtId="49" fontId="51" fillId="44" borderId="40" xfId="0" applyFont="1" applyFill="1" applyBorder="1" applyNumberFormat="1">
      <alignment horizontal="center" vertical="center" textRotation="90" wrapText="1"/>
    </xf>
    <xf numFmtId="49" fontId="51" fillId="44" borderId="27" xfId="0" applyFont="1" applyFill="1" applyBorder="1" applyNumberFormat="1">
      <alignment horizontal="center" vertical="center" textRotation="90" wrapText="1"/>
    </xf>
    <xf numFmtId="0" fontId="57" fillId="0" borderId="21" xfId="0" applyFont="1" applyBorder="1" applyNumberFormat="1">
      <alignment horizontal="center" vertical="center" wrapText="1"/>
    </xf>
    <xf numFmtId="0" fontId="57" fillId="0" borderId="27" xfId="0" applyFont="1" applyBorder="1" applyNumberFormat="1">
      <alignment horizontal="center" vertical="center" wrapText="1"/>
    </xf>
    <xf numFmtId="0" fontId="23" fillId="0" borderId="0" xfId="0" applyFont="1" applyNumberFormat="1">
      <alignment horizontal="left" vertical="top" wrapText="1"/>
    </xf>
    <xf numFmtId="0" fontId="57" fillId="0" borderId="16" xfId="0" applyFont="1" applyBorder="1" applyNumberFormat="1">
      <alignment horizontal="center" vertical="center" wrapText="1"/>
    </xf>
    <xf numFmtId="0" fontId="57" fillId="0" borderId="18" xfId="0" applyFont="1" applyBorder="1" applyNumberFormat="1">
      <alignment horizontal="center" vertical="center" wrapText="1"/>
    </xf>
    <xf numFmtId="0" fontId="57" fillId="0" borderId="18" xfId="0" applyFont="1" applyBorder="1" applyNumberFormat="1">
      <alignment horizontal="center" vertical="center" wrapText="1"/>
    </xf>
    <xf numFmtId="170" fontId="0" fillId="45" borderId="21" xfId="0" applyFont="1" applyFill="1" applyBorder="1" applyNumberFormat="1">
      <alignment horizontal="center" vertical="center" wrapText="1"/>
      <protection locked="0"/>
    </xf>
    <xf numFmtId="49" fontId="0" fillId="45" borderId="27" xfId="0" applyFont="1" applyFill="1" applyBorder="1" applyNumberFormat="1">
      <alignment horizontal="center" vertical="center" wrapText="1"/>
      <protection locked="0"/>
    </xf>
    <xf numFmtId="0" fontId="0" fillId="38" borderId="23" xfId="0" applyFont="1" applyFill="1" applyBorder="1" applyNumberFormat="1">
      <alignment horizontal="center" vertical="center" wrapText="1"/>
    </xf>
    <xf numFmtId="0" fontId="58" fillId="0" borderId="21" xfId="0" applyFont="1" applyBorder="1" applyNumberFormat="1">
      <alignment horizontal="center" vertical="center" wrapText="1"/>
    </xf>
    <xf numFmtId="0" fontId="58" fillId="0" borderId="27"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31" xfId="0" applyFont="1" applyBorder="1" applyNumberFormat="1">
      <alignment horizontal="center" vertical="center" wrapText="1"/>
    </xf>
    <xf numFmtId="0" fontId="58" fillId="0" borderId="18" xfId="0" applyFont="1" applyBorder="1" applyNumberFormat="1">
      <alignment horizontal="left" vertical="center" wrapText="1"/>
    </xf>
    <xf numFmtId="0" fontId="58" fillId="0" borderId="19" xfId="0" applyFont="1" applyBorder="1" applyNumberFormat="1">
      <alignment horizontal="left" vertical="center" wrapText="1"/>
    </xf>
    <xf numFmtId="0" fontId="58" fillId="0" borderId="17" xfId="0" applyFont="1" applyBorder="1" applyNumberFormat="1">
      <alignment horizontal="left" vertical="center" wrapText="1"/>
    </xf>
    <xf numFmtId="0" fontId="0" fillId="0" borderId="0" xfId="0" applyFont="1" applyNumberFormat="1">
      <alignment horizontal="left" vertical="top" wrapText="1"/>
    </xf>
    <xf numFmtId="0" fontId="23" fillId="0" borderId="16" xfId="0" applyFont="1" applyBorder="1" applyNumberFormat="1">
      <alignment horizontal="center" vertical="center"/>
    </xf>
    <xf numFmtId="0" fontId="23" fillId="0" borderId="18" xfId="0" applyFont="1" applyBorder="1" applyNumberFormat="1">
      <alignment horizontal="center" vertical="center"/>
    </xf>
    <xf numFmtId="0" fontId="23"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0" fontId="23" fillId="46" borderId="23" xfId="0" applyFont="1" applyFill="1" applyBorder="1" applyNumberFormat="1">
      <alignment horizontal="left" vertical="center" wrapText="1"/>
    </xf>
    <xf numFmtId="0" fontId="23" fillId="46" borderId="24" xfId="0" applyFont="1" applyFill="1" applyBorder="1" applyNumberFormat="1">
      <alignment horizontal="left" vertical="center" wrapText="1"/>
    </xf>
    <xf numFmtId="49" fontId="0" fillId="45" borderId="16" xfId="0" applyFont="1" applyFill="1" applyBorder="1" applyNumberFormat="1">
      <alignment horizontal="center" vertical="center" wrapText="1"/>
      <protection locked="0"/>
    </xf>
    <xf numFmtId="0" fontId="23" fillId="0" borderId="16" xfId="0" applyFont="1" applyBorder="1" applyNumberFormat="1">
      <alignment horizontal="center" vertical="center"/>
    </xf>
    <xf numFmtId="0" fontId="23" fillId="0" borderId="18" xfId="0" applyFont="1" applyBorder="1" applyNumberFormat="1">
      <alignment horizontal="center" vertical="center"/>
    </xf>
    <xf numFmtId="0" fontId="23" fillId="0" borderId="16"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23"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4"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40"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41"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34" xfId="0" applyFont="1" applyBorder="1" applyNumberFormat="1">
      <alignment horizontal="center" vertical="center" wrapText="1"/>
    </xf>
    <xf numFmtId="0" fontId="23" fillId="0" borderId="26" xfId="0" applyFont="1" applyBorder="1" applyNumberFormat="1">
      <alignment horizontal="center" vertical="center" wrapText="1"/>
    </xf>
    <xf numFmtId="0" fontId="48" fillId="0" borderId="16" xfId="0" applyFont="1" applyBorder="1" applyNumberFormat="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0" fillId="38" borderId="41" xfId="0" applyFont="1" applyFill="1" applyBorder="1" applyNumberFormat="1">
      <alignment horizontal="center" vertical="center" wrapText="1"/>
    </xf>
    <xf numFmtId="0" fontId="0" fillId="38" borderId="24" xfId="0" applyFont="1" applyFill="1" applyBorder="1" applyNumberFormat="1">
      <alignment horizontal="center" vertical="center" wrapText="1"/>
    </xf>
    <xf numFmtId="0" fontId="0" fillId="38" borderId="26" xfId="0" applyFont="1" applyFill="1" applyBorder="1" applyNumberFormat="1">
      <alignment horizontal="center" vertical="center" wrapText="1"/>
    </xf>
    <xf numFmtId="0" fontId="0" fillId="38" borderId="0" xfId="0" applyFont="1" applyFill="1" applyNumberFormat="1">
      <alignment horizontal="center" vertical="center" wrapText="1"/>
    </xf>
    <xf numFmtId="0" fontId="0" fillId="38" borderId="28" xfId="0" applyFont="1" applyFill="1" applyBorder="1" applyNumberFormat="1">
      <alignment horizontal="center" vertical="center" wrapText="1"/>
    </xf>
    <xf numFmtId="0" fontId="0" fillId="38" borderId="31" xfId="0" applyFont="1" applyFill="1" applyBorder="1" applyNumberFormat="1">
      <alignment horizontal="center" vertical="center" wrapText="1"/>
    </xf>
    <xf numFmtId="0" fontId="0" fillId="38" borderId="32" xfId="0" applyFont="1" applyFill="1" applyBorder="1" applyNumberFormat="1">
      <alignment horizontal="center" vertical="center" wrapText="1"/>
    </xf>
    <xf numFmtId="0" fontId="0" fillId="38" borderId="34" xfId="0" applyFont="1" applyFill="1" applyBorder="1" applyNumberFormat="1">
      <alignment horizontal="center" vertical="center" wrapText="1"/>
    </xf>
    <xf numFmtId="0" fontId="23" fillId="38" borderId="21" xfId="0" applyFont="1" applyFill="1" applyBorder="1" applyNumberFormat="1">
      <alignment horizontal="left" vertical="center" wrapText="1"/>
    </xf>
    <xf numFmtId="0" fontId="23" fillId="38" borderId="40" xfId="0" applyFont="1" applyFill="1" applyBorder="1" applyNumberFormat="1">
      <alignment horizontal="left" vertical="center" wrapText="1"/>
    </xf>
    <xf numFmtId="0" fontId="23" fillId="38" borderId="27" xfId="0" applyFont="1" applyFill="1" applyBorder="1" applyNumberFormat="1">
      <alignment horizontal="left" vertical="center" wrapText="1"/>
    </xf>
    <xf numFmtId="49" fontId="23" fillId="45" borderId="21" xfId="0" applyFont="1" applyFill="1" applyBorder="1" applyNumberFormat="1">
      <alignment horizontal="left" vertical="center" wrapText="1" indent="6"/>
      <protection locked="0"/>
    </xf>
    <xf numFmtId="49" fontId="23" fillId="45" borderId="40" xfId="0" applyFont="1" applyFill="1" applyBorder="1" applyNumberFormat="1">
      <alignment horizontal="left" vertical="center" wrapText="1" indent="6"/>
      <protection locked="0"/>
    </xf>
    <xf numFmtId="49" fontId="23" fillId="45" borderId="27" xfId="0" applyFont="1" applyFill="1" applyBorder="1" applyNumberFormat="1">
      <alignment horizontal="left" vertical="center" wrapText="1" indent="6"/>
      <protection locked="0"/>
    </xf>
    <xf numFmtId="0" fontId="58" fillId="0" borderId="28" xfId="0" applyFont="1" applyBorder="1" applyNumberFormat="1">
      <alignment horizontal="center" vertical="top" wrapText="1"/>
    </xf>
    <xf numFmtId="49" fontId="23" fillId="0" borderId="16" xfId="0" applyFont="1" applyBorder="1" applyNumberFormat="1">
      <alignment horizontal="left" vertical="center" wrapText="1" indent="1"/>
    </xf>
    <xf numFmtId="0" fontId="57" fillId="0" borderId="0" xfId="0" applyFont="1" applyNumberFormat="1">
      <alignment horizontal="center" vertical="center" wrapText="1"/>
    </xf>
    <xf numFmtId="170" fontId="0" fillId="45" borderId="16" xfId="0" applyFont="1" applyFill="1" applyBorder="1" applyNumberFormat="1">
      <alignment horizontal="center" vertical="center" wrapText="1"/>
      <protection locked="0"/>
    </xf>
    <xf numFmtId="0" fontId="23" fillId="0" borderId="0" xfId="0" applyFont="1" applyNumberFormat="1">
      <alignment horizontal="right" vertical="center" wrapText="1"/>
    </xf>
    <xf numFmtId="4" fontId="23" fillId="42" borderId="16" xfId="0" applyFont="1" applyFill="1" applyBorder="1" applyNumberFormat="1">
      <alignment horizontal="left" vertical="center" wrapText="1"/>
    </xf>
    <xf numFmtId="0" fontId="57" fillId="0" borderId="0" xfId="0" applyFont="1" applyNumberFormat="1">
      <alignment horizontal="center" vertical="center" wrapText="1"/>
    </xf>
    <xf numFmtId="0" fontId="23" fillId="46" borderId="16" xfId="0" applyFont="1" applyFill="1" applyBorder="1" applyNumberFormat="1">
      <alignment horizontal="left" vertical="center" wrapText="1"/>
      <protection locked="0"/>
    </xf>
    <xf numFmtId="0" fontId="23" fillId="46" borderId="18" xfId="0" applyFont="1" applyFill="1" applyBorder="1" applyNumberFormat="1">
      <alignment horizontal="left" vertical="center" wrapText="1"/>
      <protection locked="0"/>
    </xf>
    <xf numFmtId="0" fontId="23" fillId="46" borderId="19" xfId="0" applyFont="1" applyFill="1" applyBorder="1" applyNumberFormat="1">
      <alignment horizontal="left" vertical="center" wrapText="1"/>
      <protection locked="0"/>
    </xf>
    <xf numFmtId="0" fontId="23" fillId="46" borderId="17" xfId="0" applyFont="1" applyFill="1" applyBorder="1" applyNumberFormat="1">
      <alignment horizontal="left" vertical="center" wrapText="1"/>
      <protection locked="0"/>
    </xf>
    <xf numFmtId="0" fontId="23" fillId="0" borderId="0" xfId="0" applyFont="1" applyNumberFormat="1">
      <alignment horizontal="center" vertical="center" wrapText="1"/>
    </xf>
    <xf numFmtId="0" fontId="23" fillId="0" borderId="0" xfId="0" applyFont="1" applyNumberFormat="1">
      <alignment horizontal="center" vertical="center" wrapText="1"/>
    </xf>
    <xf numFmtId="0" fontId="22" fillId="0" borderId="19" xfId="0" applyFont="1" applyBorder="1" applyNumberFormat="1">
      <alignment horizontal="left" vertical="center" wrapText="1" indent="1"/>
    </xf>
    <xf numFmtId="0" fontId="23" fillId="42" borderId="18" xfId="0" applyFont="1" applyFill="1" applyBorder="1" applyNumberFormat="1">
      <alignment horizontal="left" vertical="center" wrapText="1" indent="1"/>
    </xf>
    <xf numFmtId="0" fontId="23" fillId="42" borderId="19" xfId="0" applyFont="1" applyFill="1" applyBorder="1" applyNumberFormat="1">
      <alignment horizontal="left" vertical="center" wrapText="1" indent="1"/>
    </xf>
    <xf numFmtId="0" fontId="23" fillId="42" borderId="17" xfId="0" applyFont="1" applyFill="1" applyBorder="1" applyNumberFormat="1">
      <alignment horizontal="left" vertical="center" wrapText="1" indent="1"/>
    </xf>
    <xf numFmtId="0" fontId="90" fillId="0" borderId="0" xfId="0" applyFont="1" applyNumberFormat="1">
      <alignment horizontal="center" vertical="center" wrapText="1"/>
    </xf>
    <xf numFmtId="0" fontId="0" fillId="38" borderId="16" xfId="0" applyFont="1" applyFill="1" applyBorder="1" applyNumberFormat="1">
      <alignment horizontal="center" vertical="center" wrapText="1"/>
    </xf>
    <xf numFmtId="49" fontId="51" fillId="44" borderId="16" xfId="0" applyFont="1" applyFill="1" applyBorder="1" applyNumberFormat="1">
      <alignment horizontal="center" vertical="center" textRotation="90" wrapText="1"/>
    </xf>
    <xf numFmtId="0" fontId="23" fillId="42" borderId="16" xfId="0" applyFont="1" applyFill="1" applyBorder="1" applyNumberFormat="1">
      <alignment horizontal="left"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47" fillId="38" borderId="0" xfId="0" applyFont="1" applyFill="1" applyNumberFormat="1">
      <alignment horizontal="center" vertical="center" wrapText="1"/>
    </xf>
    <xf numFmtId="0" fontId="0" fillId="0" borderId="16" xfId="0" applyFont="1" applyBorder="1" applyNumberFormat="1">
      <alignment horizontal="left" vertical="center" wrapText="1" indent="1"/>
    </xf>
    <xf numFmtId="0" fontId="23" fillId="0" borderId="16" xfId="0" applyFont="1" applyBorder="1" applyNumberFormat="1">
      <alignment horizontal="left" vertical="top" wrapText="1"/>
    </xf>
    <xf numFmtId="0" fontId="0" fillId="0" borderId="16" xfId="0" applyFont="1" applyBorder="1" applyNumberFormat="1">
      <alignment horizontal="left" vertical="center" wrapText="1"/>
    </xf>
    <xf numFmtId="0" fontId="0" fillId="0" borderId="16" xfId="0" applyFont="1" applyBorder="1" applyNumberFormat="1">
      <alignment horizontal="left" vertical="center" wrapText="1"/>
    </xf>
    <xf numFmtId="0" fontId="23" fillId="0" borderId="0" xfId="0" applyFont="1" applyNumberFormat="1">
      <alignment horizontal="left" vertical="top" wrapText="1"/>
    </xf>
    <xf numFmtId="0" fontId="23" fillId="0" borderId="40" xfId="0" applyFont="1" applyBorder="1" applyNumberFormat="1">
      <alignment horizontal="center" vertical="center" wrapText="1"/>
    </xf>
    <xf numFmtId="0" fontId="23" fillId="42" borderId="18" xfId="0" applyFont="1" applyFill="1" applyBorder="1" applyNumberFormat="1">
      <alignment horizontal="left" vertical="top" wrapText="1" indent="1"/>
    </xf>
    <xf numFmtId="0" fontId="23" fillId="42" borderId="17" xfId="0" applyFont="1" applyFill="1" applyBorder="1" applyNumberFormat="1">
      <alignment horizontal="left" vertical="top" wrapText="1" indent="1"/>
    </xf>
    <xf numFmtId="0" fontId="23" fillId="0" borderId="19" xfId="0" applyFont="1" applyBorder="1" applyNumberFormat="1">
      <alignment horizontal="right" vertical="center" wrapText="1" indent="1"/>
    </xf>
    <xf numFmtId="0" fontId="23" fillId="0" borderId="17" xfId="0" applyFont="1" applyBorder="1" applyNumberFormat="1">
      <alignment horizontal="right" vertical="center" wrapText="1" indent="1"/>
    </xf>
    <xf numFmtId="0" fontId="23" fillId="0" borderId="18" xfId="0" applyFont="1" applyBorder="1" applyNumberFormat="1">
      <alignment horizontal="right" vertical="center" wrapText="1"/>
    </xf>
    <xf numFmtId="0" fontId="23" fillId="0" borderId="19" xfId="0" applyFont="1" applyBorder="1" applyNumberFormat="1">
      <alignment horizontal="right" vertical="center" wrapText="1"/>
    </xf>
    <xf numFmtId="0" fontId="23" fillId="0" borderId="21" xfId="0" applyFont="1" applyBorder="1" applyNumberFormat="1">
      <alignment horizontal="left" vertical="top" wrapText="1"/>
    </xf>
    <xf numFmtId="0" fontId="23" fillId="0" borderId="27" xfId="0" applyFont="1" applyBorder="1" applyNumberFormat="1">
      <alignment horizontal="left" vertical="top" wrapText="1"/>
    </xf>
    <xf numFmtId="0" fontId="23" fillId="0" borderId="23"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0" borderId="28" xfId="0" applyFont="1" applyBorder="1" applyNumberFormat="1">
      <alignment horizontal="center" vertical="center" wrapText="1"/>
    </xf>
    <xf numFmtId="49" fontId="23" fillId="0" borderId="0" xfId="0" applyFont="1" applyNumberFormat="1">
      <alignment vertical="center" wrapText="1"/>
    </xf>
    <xf numFmtId="0" fontId="48" fillId="0" borderId="28" xfId="0" applyFont="1" applyBorder="1" applyNumberFormat="1">
      <alignment horizontal="center" vertical="center" wrapText="1"/>
    </xf>
    <xf numFmtId="0" fontId="50" fillId="38" borderId="28" xfId="0" applyFont="1" applyFill="1" applyBorder="1" applyNumberFormat="1">
      <alignment horizontal="center" vertical="top" wrapText="1"/>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0" fontId="0" fillId="42" borderId="16" xfId="0" applyFont="1" applyFill="1" applyBorder="1" applyNumberFormat="1">
      <alignment horizontal="left" vertical="center" wrapText="1" indent="1"/>
    </xf>
    <xf numFmtId="0" fontId="0" fillId="42" borderId="16" xfId="0" applyFont="1" applyFill="1" applyBorder="1" applyNumberFormat="1">
      <alignment horizontal="left" vertical="center" wrapText="1" indent="1"/>
    </xf>
    <xf numFmtId="49" fontId="0" fillId="38" borderId="16" xfId="0" applyFont="1" applyFill="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7" xfId="0" applyFont="1" applyBorder="1" applyNumberFormat="1">
      <alignment horizontal="center" vertical="center" wrapText="1"/>
    </xf>
    <xf numFmtId="49" fontId="47" fillId="38" borderId="19" xfId="0" applyFont="1" applyFill="1" applyBorder="1" applyNumberFormat="1">
      <alignment horizontal="center" vertical="center" wrapText="1"/>
    </xf>
    <xf numFmtId="0" fontId="0" fillId="0" borderId="40" xfId="0" applyFont="1" applyBorder="1" applyNumberFormat="1">
      <alignment horizontal="left" vertical="center" wrapText="1"/>
    </xf>
    <xf numFmtId="0" fontId="0" fillId="0" borderId="40" xfId="0" applyFont="1" applyBorder="1" applyNumberFormat="1">
      <alignment horizontal="left" vertical="center" wrapText="1"/>
    </xf>
    <xf numFmtId="0" fontId="0" fillId="0" borderId="27" xfId="0" applyFont="1" applyBorder="1" applyNumberFormat="1">
      <alignment horizontal="left" vertical="center" wrapText="1"/>
    </xf>
    <xf numFmtId="0" fontId="23" fillId="38" borderId="18" xfId="0" applyFont="1" applyFill="1" applyBorder="1" applyNumberFormat="1">
      <alignment horizontal="center" vertical="center" wrapText="1"/>
    </xf>
    <xf numFmtId="0" fontId="23" fillId="38" borderId="19" xfId="0" applyFont="1" applyFill="1" applyBorder="1" applyNumberFormat="1">
      <alignment horizontal="center" vertical="center" wrapText="1"/>
    </xf>
    <xf numFmtId="0" fontId="23" fillId="38" borderId="17" xfId="0" applyFont="1" applyFill="1" applyBorder="1" applyNumberFormat="1">
      <alignment horizontal="center" vertical="center" wrapText="1"/>
    </xf>
    <xf numFmtId="0" fontId="56" fillId="0" borderId="16" xfId="0" applyFont="1" applyBorder="1" applyNumberFormat="1">
      <alignment horizontal="left" vertical="top" wrapText="1"/>
    </xf>
    <xf numFmtId="0" fontId="23" fillId="34" borderId="18" xfId="0" applyFont="1" applyFill="1" applyBorder="1" applyNumberFormat="1">
      <alignment horizontal="left" vertical="center" wrapText="1"/>
      <protection locked="0"/>
    </xf>
    <xf numFmtId="0" fontId="23" fillId="34" borderId="19" xfId="0" applyFont="1" applyFill="1" applyBorder="1" applyNumberFormat="1">
      <alignment horizontal="left" vertical="center" wrapText="1"/>
      <protection locked="0"/>
    </xf>
    <xf numFmtId="0" fontId="23" fillId="34" borderId="17" xfId="0" applyFont="1" applyFill="1" applyBorder="1" applyNumberFormat="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0" fontId="23" fillId="0" borderId="41" xfId="0" applyFont="1" applyBorder="1" applyNumberFormat="1">
      <alignment horizontal="center" vertical="center" wrapText="1"/>
    </xf>
    <xf numFmtId="0" fontId="23" fillId="0" borderId="31" xfId="0" applyFont="1" applyBorder="1" applyNumberFormat="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46" borderId="34" xfId="0" applyFont="1" applyFill="1" applyBorder="1" applyNumberFormat="1">
      <alignment horizontal="center" vertical="center" wrapText="1"/>
    </xf>
    <xf numFmtId="49" fontId="23" fillId="34" borderId="21" xfId="0" applyFont="1" applyFill="1" applyBorder="1" applyNumberFormat="1">
      <alignment horizontal="left" vertical="center" wrapText="1" indent="6"/>
      <protection locked="0"/>
    </xf>
    <xf numFmtId="49" fontId="23" fillId="34" borderId="40" xfId="0" applyFont="1" applyFill="1" applyBorder="1" applyNumberFormat="1">
      <alignment horizontal="left" vertical="center" wrapText="1" indent="6"/>
      <protection locked="0"/>
    </xf>
    <xf numFmtId="49" fontId="23" fillId="34" borderId="27" xfId="0" applyFont="1" applyFill="1" applyBorder="1" applyNumberFormat="1">
      <alignment horizontal="left" vertical="center" wrapText="1" indent="6"/>
      <protection locked="0"/>
    </xf>
    <xf numFmtId="49" fontId="23" fillId="46" borderId="16" xfId="0" applyFont="1" applyFill="1" applyBorder="1" applyNumberFormat="1">
      <alignment horizontal="left" vertical="center" wrapText="1" indent="1"/>
      <protection locked="0"/>
    </xf>
    <xf numFmtId="4" fontId="23" fillId="45" borderId="16" xfId="0" applyFont="1" applyFill="1" applyBorder="1" applyNumberFormat="1">
      <alignment horizontal="left" vertical="center" wrapText="1" indent="1"/>
      <protection locked="0"/>
    </xf>
    <xf numFmtId="0" fontId="58" fillId="0" borderId="23" xfId="0" applyFont="1" applyBorder="1" applyNumberFormat="1">
      <alignment horizontal="left" vertical="center" wrapText="1"/>
    </xf>
    <xf numFmtId="49" fontId="99" fillId="51" borderId="0" xfId="0" applyFont="1" applyFill="1" applyNumberFormat="1">
      <alignment horizontal="center" vertical="center" textRotation="90" wrapText="1"/>
    </xf>
    <xf numFmtId="0" fontId="81" fillId="0" borderId="0" xfId="0" applyFont="1" applyNumberFormat="1">
      <alignment horizontal="center" vertical="center" wrapText="1"/>
    </xf>
    <xf numFmtId="49" fontId="99" fillId="51" borderId="0" xfId="0" applyFont="1" applyFill="1" applyNumberFormat="1">
      <alignment horizontal="center" vertical="center" textRotation="90"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49" fontId="58" fillId="0" borderId="27" xfId="0" applyFont="1" applyBorder="1" applyNumberFormat="1">
      <alignment horizontal="center" vertical="center" wrapText="1"/>
    </xf>
    <xf numFmtId="0" fontId="56" fillId="0" borderId="0" xfId="0" applyFont="1" applyNumberFormat="1">
      <alignment horizontal="left" vertical="top" wrapText="1"/>
    </xf>
    <xf numFmtId="0" fontId="23" fillId="0" borderId="23"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58" fillId="0" borderId="19" xfId="0" applyFont="1" applyBorder="1" applyNumberFormat="1">
      <alignment horizontal="right" vertical="center" wrapText="1" indent="1"/>
    </xf>
    <xf numFmtId="0" fontId="58" fillId="0" borderId="17" xfId="0" applyFont="1" applyBorder="1" applyNumberFormat="1">
      <alignment horizontal="right" vertical="center" wrapText="1" indent="1"/>
    </xf>
    <xf numFmtId="49" fontId="23" fillId="59" borderId="0" xfId="0" applyFont="1" applyFill="1" applyNumberFormat="1">
      <alignment horizontal="center" vertical="center" textRotation="90" wrapText="1"/>
    </xf>
    <xf numFmtId="0" fontId="23" fillId="0" borderId="0" xfId="0" applyFont="1" applyNumberFormat="1">
      <alignment horizontal="left" vertical="top"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23" fillId="0" borderId="21" xfId="0" applyFont="1" applyBorder="1" applyNumberFormat="1">
      <alignment horizontal="center" vertical="center" wrapText="1"/>
    </xf>
    <xf numFmtId="0" fontId="23" fillId="0" borderId="40" xfId="0" applyFont="1" applyBorder="1" applyNumberFormat="1">
      <alignment horizontal="center" vertical="center" wrapText="1"/>
    </xf>
    <xf numFmtId="0" fontId="23" fillId="0" borderId="27" xfId="0" applyFont="1" applyBorder="1" applyNumberFormat="1">
      <alignment horizontal="center" vertical="center" wrapText="1"/>
    </xf>
    <xf numFmtId="0" fontId="23" fillId="42" borderId="18" xfId="0" applyFont="1" applyFill="1" applyBorder="1" applyNumberFormat="1">
      <alignment horizontal="left" vertical="top" wrapText="1"/>
    </xf>
    <xf numFmtId="0" fontId="23" fillId="42" borderId="17" xfId="0" applyFont="1" applyFill="1" applyBorder="1" applyNumberFormat="1">
      <alignment horizontal="left" vertical="top"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0" fillId="38" borderId="18" xfId="0" applyFont="1" applyFill="1" applyBorder="1" applyNumberFormat="1">
      <alignment horizontal="center" vertical="center" wrapText="1"/>
    </xf>
    <xf numFmtId="0" fontId="0" fillId="38" borderId="19" xfId="0" applyFont="1" applyFill="1" applyBorder="1" applyNumberFormat="1">
      <alignment horizontal="center" vertical="center" wrapText="1"/>
    </xf>
    <xf numFmtId="0" fontId="0" fillId="38" borderId="17" xfId="0" applyFont="1" applyFill="1" applyBorder="1" applyNumberFormat="1">
      <alignment horizontal="center" vertical="center" wrapText="1"/>
    </xf>
    <xf numFmtId="49" fontId="0" fillId="0" borderId="16" xfId="0" applyFont="1" applyBorder="1" applyNumberFormat="1">
      <alignment horizontal="center" vertical="center" wrapText="1"/>
    </xf>
    <xf numFmtId="0" fontId="0" fillId="0" borderId="16" xfId="0" applyFont="1" applyBorder="1" applyNumberFormat="1">
      <alignment horizontal="left" vertical="center" wrapText="1" inden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23" fillId="0" borderId="18" xfId="0" applyFont="1" applyBorder="1" applyNumberFormat="1">
      <alignment horizontal="center" vertical="center" wrapText="1"/>
    </xf>
    <xf numFmtId="0" fontId="23" fillId="0" borderId="23" xfId="0" applyFont="1" applyBorder="1" applyNumberFormat="1">
      <alignment horizontal="left" vertical="center" wrapText="1" indent="1"/>
    </xf>
    <xf numFmtId="0" fontId="23" fillId="38" borderId="16" xfId="92" applyFont="1" applyFill="1" applyBorder="1" applyNumberFormat="1">
      <alignment horizontal="center" vertical="center" wrapText="1"/>
    </xf>
    <xf numFmtId="49" fontId="58" fillId="0" borderId="16" xfId="0" applyFont="1" applyBorder="1" applyNumberFormat="1">
      <alignment horizontal="center" vertical="center" wrapText="1"/>
    </xf>
    <xf numFmtId="49" fontId="23" fillId="0" borderId="16" xfId="0" applyFont="1" applyBorder="1" applyNumberFormat="1">
      <alignment horizontal="left" vertical="center" wrapText="1"/>
    </xf>
    <xf numFmtId="0" fontId="23" fillId="0" borderId="0" xfId="0" applyFont="1" applyNumberFormat="1">
      <alignment horizontal="left" vertical="center" wrapText="1"/>
    </xf>
    <xf numFmtId="0" fontId="23" fillId="38" borderId="16" xfId="0" applyFont="1" applyFill="1" applyBorder="1" applyNumberFormat="1">
      <alignment horizontal="center" vertical="center" wrapText="1"/>
    </xf>
    <xf numFmtId="0" fontId="23" fillId="38" borderId="41" xfId="0" applyFont="1" applyFill="1" applyBorder="1" applyNumberFormat="1">
      <alignment horizontal="center" vertical="center" wrapText="1"/>
    </xf>
    <xf numFmtId="0" fontId="23" fillId="38" borderId="24" xfId="0" applyFont="1" applyFill="1" applyBorder="1" applyNumberFormat="1">
      <alignment horizontal="center" vertical="center" wrapText="1"/>
    </xf>
    <xf numFmtId="0" fontId="23" fillId="38" borderId="2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23" fillId="38" borderId="31" xfId="0" applyFont="1" applyFill="1" applyBorder="1" applyNumberFormat="1">
      <alignment horizontal="center" vertical="center" wrapText="1"/>
    </xf>
    <xf numFmtId="0" fontId="23" fillId="38" borderId="34" xfId="0" applyFont="1" applyFill="1" applyBorder="1" applyNumberFormat="1">
      <alignment horizontal="center" vertical="center" wrapText="1"/>
    </xf>
    <xf numFmtId="0" fontId="23" fillId="0" borderId="32" xfId="0" applyFont="1" applyBorder="1" applyNumberFormat="1">
      <alignment horizontal="left" vertical="center" wrapText="1" indent="1"/>
    </xf>
    <xf numFmtId="0" fontId="23" fillId="0" borderId="66" xfId="0" applyFont="1" applyBorder="1" applyNumberFormat="1">
      <alignment horizontal="center" vertical="center"/>
    </xf>
    <xf numFmtId="0" fontId="23" fillId="0" borderId="67" xfId="0" applyFont="1" applyBorder="1" applyNumberFormat="1">
      <alignment horizontal="center" vertical="center"/>
    </xf>
    <xf numFmtId="0" fontId="23" fillId="0" borderId="73" xfId="0" applyFont="1" applyBorder="1" applyNumberFormat="1">
      <alignment horizontal="center" vertical="center"/>
    </xf>
    <xf numFmtId="0" fontId="0" fillId="0" borderId="16"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79" xfId="0" applyFont="1" applyBorder="1" applyNumberFormat="1">
      <alignment horizontal="center" vertical="center"/>
    </xf>
    <xf numFmtId="0" fontId="23" fillId="0" borderId="47" xfId="0" applyFont="1" applyBorder="1" applyNumberFormat="1">
      <alignment horizontal="center" vertical="center"/>
    </xf>
    <xf numFmtId="49" fontId="0" fillId="0" borderId="16" xfId="0" applyFont="1" applyBorder="1" applyNumberFormat="1">
      <alignment vertical="center" wrapText="1"/>
    </xf>
    <xf numFmtId="49" fontId="0" fillId="0" borderId="16" xfId="0" applyFont="1" applyBorder="1" applyNumberFormat="1">
      <alignment horizontal="left" vertical="center" wrapText="1"/>
    </xf>
    <xf numFmtId="49" fontId="0" fillId="0" borderId="21" xfId="0" applyFont="1" applyBorder="1" applyNumberFormat="1">
      <alignment horizontal="center" vertical="center" wrapText="1"/>
    </xf>
    <xf numFmtId="49" fontId="0" fillId="0" borderId="40" xfId="0" applyFont="1" applyBorder="1" applyNumberFormat="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wrapText="1"/>
    </xf>
    <xf numFmtId="0" fontId="0" fillId="42" borderId="16" xfId="0" applyFont="1" applyFill="1" applyBorder="1" applyNumberFormat="1">
      <alignment horizontal="center" vertical="center" wrapText="1"/>
    </xf>
    <xf numFmtId="49" fontId="0" fillId="0" borderId="16" xfId="0" applyFont="1" applyBorder="1" applyNumberFormat="1">
      <alignment horizontal="center" vertical="center"/>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38" borderId="18" xfId="0" applyFont="1" applyFill="1" applyBorder="1" applyNumberFormat="1">
      <alignment horizontal="center" vertical="center" wrapText="1"/>
    </xf>
    <xf numFmtId="0" fontId="23" fillId="38" borderId="19" xfId="0" applyFont="1" applyFill="1" applyBorder="1" applyNumberFormat="1">
      <alignment horizontal="center" vertical="center" wrapText="1"/>
    </xf>
    <xf numFmtId="0" fontId="23" fillId="38" borderId="17" xfId="0" applyFont="1" applyFill="1" applyBorder="1" applyNumberFormat="1">
      <alignment horizontal="center" vertical="center" wrapText="1"/>
    </xf>
    <xf numFmtId="0" fontId="23" fillId="35" borderId="16" xfId="0" applyFont="1" applyFill="1" applyBorder="1" applyNumberFormat="1">
      <alignment horizontal="center" vertical="center" wrapText="1"/>
    </xf>
    <xf numFmtId="0" fontId="23" fillId="38" borderId="41" xfId="0" applyFont="1" applyFill="1" applyBorder="1" applyNumberFormat="1">
      <alignment horizontal="center" vertical="center" wrapText="1"/>
    </xf>
    <xf numFmtId="0" fontId="23" fillId="38" borderId="24" xfId="0" applyFont="1" applyFill="1" applyBorder="1" applyNumberFormat="1">
      <alignment horizontal="center" vertical="center" wrapText="1"/>
    </xf>
    <xf numFmtId="0" fontId="23" fillId="38" borderId="31" xfId="0" applyFont="1" applyFill="1" applyBorder="1" applyNumberFormat="1">
      <alignment horizontal="center" vertical="center" wrapText="1"/>
    </xf>
    <xf numFmtId="0" fontId="23" fillId="38" borderId="34" xfId="0" applyFont="1" applyFill="1" applyBorder="1" applyNumberFormat="1">
      <alignment horizontal="center" vertical="center" wrapText="1"/>
    </xf>
    <xf numFmtId="0" fontId="23" fillId="35" borderId="17" xfId="0" applyFont="1" applyFill="1" applyBorder="1" applyNumberFormat="1">
      <alignment horizontal="center" vertical="center" wrapText="1"/>
    </xf>
    <xf numFmtId="0" fontId="23" fillId="38" borderId="2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35" borderId="32" xfId="0" applyFont="1" applyFill="1" applyBorder="1" applyNumberFormat="1">
      <alignment horizontal="center" vertical="center" wrapText="1"/>
    </xf>
    <xf numFmtId="0" fontId="23" fillId="54" borderId="18" xfId="0" applyFont="1" applyFill="1" applyBorder="1" applyNumberFormat="1">
      <alignment horizontal="center" vertical="center" wrapText="1"/>
    </xf>
    <xf numFmtId="0" fontId="23" fillId="54" borderId="19" xfId="0" applyFont="1" applyFill="1" applyBorder="1" applyNumberFormat="1">
      <alignment horizontal="center" vertical="center" wrapText="1"/>
    </xf>
    <xf numFmtId="0" fontId="23" fillId="54" borderId="17" xfId="0" applyFont="1" applyFill="1" applyBorder="1" applyNumberFormat="1">
      <alignment horizontal="center" vertical="center" wrapText="1"/>
    </xf>
    <xf numFmtId="0" fontId="23" fillId="35" borderId="18" xfId="0" applyFont="1" applyFill="1" applyBorder="1" applyNumberFormat="1">
      <alignment horizontal="center" vertical="center" wrapText="1"/>
    </xf>
    <xf numFmtId="49" fontId="23" fillId="0" borderId="0" xfId="0" applyFont="1" applyNumberFormat="1">
      <alignment horizontal="left" vertical="top" wrapText="1"/>
    </xf>
    <xf numFmtId="0" fontId="23" fillId="38" borderId="16" xfId="0" applyFont="1" applyFill="1" applyBorder="1" applyNumberFormat="1">
      <alignment horizontal="center" vertical="center" wrapText="1"/>
    </xf>
    <xf numFmtId="0" fontId="23" fillId="0" borderId="17" xfId="0" applyFont="1" applyBorder="1" applyNumberFormat="1">
      <alignment horizontal="left" vertical="center" wrapText="1" indent="1"/>
    </xf>
    <xf numFmtId="0" fontId="23" fillId="0" borderId="18" xfId="0" applyFont="1" applyBorder="1" applyNumberFormat="1">
      <alignment horizontal="left" vertical="center" wrapText="1" indent="1"/>
    </xf>
    <xf numFmtId="49" fontId="23" fillId="0" borderId="0" xfId="0" applyFont="1" applyNumberFormat="1">
      <alignment horizontal="left" vertical="top" wrapText="1"/>
    </xf>
    <xf numFmtId="0" fontId="0" fillId="38" borderId="21" xfId="0" applyFont="1" applyFill="1" applyBorder="1" applyNumberFormat="1">
      <alignment horizontal="left" vertical="top" wrapText="1"/>
    </xf>
    <xf numFmtId="0" fontId="0" fillId="38" borderId="40" xfId="0" applyFont="1" applyFill="1" applyBorder="1" applyNumberFormat="1">
      <alignment horizontal="left" vertical="top" wrapText="1"/>
    </xf>
    <xf numFmtId="0" fontId="0" fillId="38" borderId="27" xfId="0" applyFont="1" applyFill="1" applyBorder="1" applyNumberFormat="1">
      <alignment horizontal="left" vertical="top" wrapText="1"/>
    </xf>
    <xf numFmtId="4" fontId="23" fillId="0" borderId="21" xfId="78" applyFont="1" applyBorder="1" applyNumberFormat="1">
      <alignment horizontal="center" vertical="center" wrapText="1"/>
    </xf>
    <xf numFmtId="4" fontId="23" fillId="0" borderId="27" xfId="78" applyFont="1" applyBorder="1" applyNumberFormat="1">
      <alignment horizontal="center" vertical="center" wrapText="1"/>
    </xf>
    <xf numFmtId="49" fontId="23" fillId="0" borderId="24" xfId="0" applyFont="1" applyBorder="1" applyNumberFormat="1">
      <alignment horizontal="left" vertical="top" wrapText="1"/>
    </xf>
    <xf numFmtId="49" fontId="23" fillId="0" borderId="34" xfId="0" applyFont="1" applyBorder="1" applyNumberFormat="1">
      <alignment horizontal="left" vertical="top" wrapText="1"/>
    </xf>
    <xf numFmtId="4" fontId="23" fillId="0" borderId="40" xfId="78" applyFont="1" applyBorder="1" applyNumberFormat="1">
      <alignment horizontal="center" vertical="center" wrapText="1"/>
    </xf>
    <xf numFmtId="167" fontId="23" fillId="0" borderId="21" xfId="0" applyFont="1" applyBorder="1" applyNumberFormat="1">
      <alignment horizontal="center" vertical="center" wrapText="1"/>
    </xf>
    <xf numFmtId="167" fontId="23" fillId="0" borderId="27" xfId="0" applyFont="1" applyBorder="1" applyNumberFormat="1">
      <alignment horizontal="center" vertical="center" wrapText="1"/>
    </xf>
    <xf numFmtId="167" fontId="23" fillId="0" borderId="21" xfId="0" applyFont="1" applyBorder="1" applyNumberFormat="1">
      <alignment horizontal="center" vertical="center" wrapText="1"/>
    </xf>
    <xf numFmtId="167" fontId="23" fillId="0" borderId="27" xfId="0" applyFont="1" applyBorder="1" applyNumberFormat="1">
      <alignment horizontal="center" vertical="center" wrapText="1"/>
    </xf>
    <xf numFmtId="167" fontId="23" fillId="0" borderId="18" xfId="0" applyFont="1" applyBorder="1" applyNumberFormat="1">
      <alignment horizontal="center" vertical="center" wrapText="1"/>
    </xf>
    <xf numFmtId="167" fontId="23" fillId="0" borderId="19" xfId="0" applyFont="1" applyBorder="1" applyNumberFormat="1">
      <alignment horizontal="center" vertical="center" wrapText="1"/>
    </xf>
    <xf numFmtId="167" fontId="23" fillId="0" borderId="17" xfId="0" applyFont="1" applyBorder="1" applyNumberFormat="1">
      <alignment horizontal="center" vertical="center" wrapText="1"/>
    </xf>
    <xf numFmtId="0" fontId="23" fillId="0" borderId="27" xfId="0" applyFont="1" applyBorder="1" applyNumberFormat="1">
      <alignment horizontal="center" vertical="center" wrapText="1"/>
    </xf>
    <xf numFmtId="0" fontId="23" fillId="42" borderId="27" xfId="0" applyFont="1" applyFill="1" applyBorder="1" applyNumberFormat="1">
      <alignment horizontal="left" vertical="center" wrapText="1"/>
    </xf>
    <xf numFmtId="14" fontId="23" fillId="46" borderId="27" xfId="0" applyFont="1" applyFill="1" applyBorder="1" applyNumberFormat="1">
      <alignment horizontal="left" vertical="center" wrapText="1"/>
    </xf>
    <xf numFmtId="167" fontId="23" fillId="0" borderId="16" xfId="0" applyFont="1" applyBorder="1" applyNumberFormat="1">
      <alignment horizontal="center" vertical="center" wrapText="1"/>
    </xf>
    <xf numFmtId="167" fontId="23" fillId="0" borderId="16" xfId="0" applyFont="1" applyBorder="1" applyNumberFormat="1">
      <alignment horizontal="center" vertical="center" wrapText="1"/>
    </xf>
    <xf numFmtId="167" fontId="56" fillId="0" borderId="61" xfId="0" applyFont="1" applyBorder="1" applyNumberFormat="1">
      <alignment horizontal="center" vertical="center" wrapText="1"/>
    </xf>
    <xf numFmtId="167" fontId="56" fillId="0" borderId="55" xfId="0" applyFont="1" applyBorder="1" applyNumberFormat="1">
      <alignment horizontal="center" vertical="center" wrapText="1"/>
    </xf>
    <xf numFmtId="167" fontId="56" fillId="0" borderId="80" xfId="0" applyFont="1" applyBorder="1" applyNumberFormat="1">
      <alignment horizontal="center" vertical="center" wrapText="1"/>
    </xf>
    <xf numFmtId="49" fontId="23" fillId="46" borderId="31" xfId="0" applyFont="1" applyFill="1" applyBorder="1" applyNumberFormat="1">
      <alignment horizontal="left" vertical="center" wrapText="1"/>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0" fillId="0" borderId="19" xfId="0" applyFont="1" applyBorder="1" applyNumberFormat="1">
      <alignment horizontal="left" vertical="center" indent="1"/>
    </xf>
    <xf numFmtId="49" fontId="0" fillId="0" borderId="16" xfId="0" applyFont="1" applyBorder="1" applyNumberFormat="1">
      <alignment horizontal="center" vertical="top"/>
    </xf>
    <xf numFmtId="49" fontId="0" fillId="0" borderId="18" xfId="0" applyFont="1" applyBorder="1" applyNumberFormat="1">
      <alignment horizontal="center" vertical="top"/>
    </xf>
    <xf numFmtId="170" fontId="0" fillId="45" borderId="17" xfId="0" applyFont="1" applyFill="1" applyBorder="1" applyNumberFormat="1">
      <alignment horizontal="left" vertical="center" wrapText="1" indent="1"/>
      <protection locked="0"/>
    </xf>
    <xf numFmtId="0" fontId="0" fillId="45" borderId="17" xfId="0" applyFont="1" applyFill="1" applyBorder="1" applyNumberFormat="1">
      <alignment horizontal="left" vertical="center" wrapText="1" indent="1"/>
      <protection locked="0"/>
    </xf>
    <xf numFmtId="0" fontId="23" fillId="38" borderId="16" xfId="92" applyFont="1" applyFill="1" applyBorder="1" applyNumberFormat="1">
      <alignment horizontal="right" vertical="center" wrapText="1" indent="1"/>
    </xf>
    <xf numFmtId="49" fontId="23" fillId="34" borderId="16" xfId="92" applyFont="1" applyFill="1" applyBorder="1" applyNumberFormat="1">
      <alignment horizontal="left" vertical="center" wrapText="1" indent="1"/>
      <protection locked="0"/>
    </xf>
    <xf numFmtId="0" fontId="124" fillId="0" borderId="0" xfId="0" applyFont="1" applyNumberForma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pplyNumberFormat="1">
      <alignment vertical="center" wrapText="1"/>
    </xf>
    <xf numFmtId="0" fontId="110" fillId="0" borderId="0" xfId="0" applyFont="1" applyNumberFormat="1">
      <alignment horizontal="left" vertical="center" wrapText="1"/>
    </xf>
    <xf numFmtId="49" fontId="126" fillId="0" borderId="0" xfId="0" applyFont="1" applyNumberFormat="1">
      <alignment wrapText="1"/>
    </xf>
    <xf numFmtId="0" fontId="110" fillId="0" borderId="0" xfId="0" applyFont="1" applyNumberFormat="1">
      <alignment vertical="center"/>
    </xf>
    <xf numFmtId="0" fontId="22" fillId="0" borderId="0" xfId="0" applyFont="1" applyNumberFormat="1">
      <alignment horizontal="left" vertical="top" wrapText="1"/>
    </xf>
    <xf numFmtId="49" fontId="23" fillId="0" borderId="0" xfId="0" applyFont="1" applyNumberFormat="1">
      <alignment vertical="top" wrapText="1"/>
    </xf>
    <xf numFmtId="0" fontId="22" fillId="37" borderId="69" xfId="0" applyFont="1" applyFill="1" applyBorder="1" applyNumberFormat="1">
      <alignment horizontal="center" vertical="center" wrapText="1"/>
    </xf>
    <xf numFmtId="0" fontId="22" fillId="37" borderId="70" xfId="0" applyFont="1" applyFill="1" applyBorder="1" applyNumberFormat="1">
      <alignment horizontal="center" vertical="center" wrapText="1"/>
    </xf>
    <xf numFmtId="0" fontId="22" fillId="37" borderId="71" xfId="0" applyFont="1" applyFill="1" applyBorder="1" applyNumberFormat="1">
      <alignment horizontal="center" vertical="center" wrapText="1"/>
    </xf>
    <xf numFmtId="0" fontId="74" fillId="0" borderId="0" xfId="0" applyFont="1" applyNumberFormat="1">
      <alignment wrapText="1"/>
    </xf>
    <xf numFmtId="0" fontId="22" fillId="51" borderId="42" xfId="0" applyFont="1" applyFill="1" applyBorder="1" applyNumberFormat="1">
      <alignment horizontal="right" vertical="center" wrapText="1" indent="1"/>
    </xf>
    <xf numFmtId="0" fontId="22" fillId="51" borderId="72" xfId="0" applyFont="1" applyFill="1" applyBorder="1" applyNumberFormat="1">
      <alignment horizontal="right" vertical="center" wrapText="1" indent="1"/>
    </xf>
    <xf numFmtId="0" fontId="127" fillId="0" borderId="0" xfId="0" applyFont="1" applyNumberFormat="1">
      <alignment horizontal="left" vertical="center" wrapText="1"/>
    </xf>
    <xf numFmtId="0" fontId="128" fillId="0" borderId="0" xfId="0" applyFont="1" applyNumberFormat="1">
      <alignment vertical="center" wrapText="1"/>
    </xf>
    <xf numFmtId="0" fontId="74" fillId="0" borderId="42" xfId="0" applyFont="1" applyBorder="1" applyNumberFormat="1">
      <alignment wrapText="1"/>
    </xf>
    <xf numFmtId="0" fontId="74" fillId="0" borderId="0" xfId="0" applyFont="1" applyNumberFormat="1"/>
    <xf numFmtId="0" fontId="127" fillId="0" borderId="0" xfId="0" applyFont="1" applyNumberFormat="1"/>
    <xf numFmtId="0" fontId="129" fillId="0" borderId="0" xfId="0" applyFont="1" applyNumberFormat="1">
      <alignment wrapText="1"/>
    </xf>
    <xf numFmtId="0" fontId="0" fillId="34" borderId="66" xfId="0" applyFont="1" applyFill="1" applyBorder="1" applyNumberFormat="1">
      <alignment horizontal="center" vertical="center" wrapText="1"/>
    </xf>
    <xf numFmtId="0" fontId="129" fillId="0" borderId="42" xfId="0" applyFont="1" applyBorder="1" applyNumberFormat="1">
      <alignment vertical="center" wrapText="1"/>
    </xf>
    <xf numFmtId="0" fontId="129" fillId="0" borderId="0" xfId="0" applyFont="1" applyNumberFormat="1">
      <alignment vertical="center" wrapText="1"/>
    </xf>
    <xf numFmtId="0" fontId="0" fillId="58" borderId="66" xfId="0" applyFont="1" applyFill="1" applyBorder="1" applyNumberFormat="1">
      <alignment horizontal="center" vertical="center" wrapText="1"/>
    </xf>
    <xf numFmtId="0" fontId="129" fillId="0" borderId="42" xfId="0" applyFont="1" applyBorder="1" applyNumberFormat="1">
      <alignment horizontal="left" vertical="center" wrapText="1"/>
    </xf>
    <xf numFmtId="0" fontId="129" fillId="0" borderId="0" xfId="0" applyFont="1" applyNumberFormat="1">
      <alignment horizontal="left" vertical="center" wrapText="1"/>
    </xf>
    <xf numFmtId="0" fontId="0" fillId="42" borderId="66" xfId="0" applyFont="1" applyFill="1" applyBorder="1" applyNumberFormat="1">
      <alignment horizontal="center" vertical="center" wrapText="1"/>
    </xf>
    <xf numFmtId="0" fontId="0" fillId="45" borderId="66" xfId="0" applyFont="1" applyFill="1" applyBorder="1" applyNumberFormat="1">
      <alignment horizontal="center" vertical="center" wrapText="1"/>
    </xf>
    <xf numFmtId="0" fontId="22" fillId="51" borderId="0" xfId="0" applyFont="1" applyFill="1" applyNumberFormat="1">
      <alignment horizontal="right" vertical="center" wrapText="1" indent="1"/>
    </xf>
    <xf numFmtId="0" fontId="127" fillId="0" borderId="42" xfId="0" applyFont="1" applyBorder="1" applyNumberFormat="1">
      <alignment horizontal="left" vertical="center" wrapText="1"/>
    </xf>
    <xf numFmtId="0" fontId="127" fillId="0" borderId="67" xfId="0" applyFont="1" applyBorder="1" applyNumberFormat="1">
      <alignment horizontal="left" vertical="center" wrapText="1"/>
    </xf>
    <xf numFmtId="0" fontId="22" fillId="51" borderId="66" xfId="0" applyFont="1" applyFill="1" applyBorder="1" applyNumberFormat="1">
      <alignment horizontal="right" vertical="center" wrapText="1" indent="1"/>
    </xf>
    <xf numFmtId="0" fontId="22" fillId="51" borderId="73" xfId="0" applyFont="1" applyFill="1" applyBorder="1" applyNumberFormat="1">
      <alignment horizontal="right" vertical="center" wrapText="1" indent="1"/>
    </xf>
    <xf numFmtId="0" fontId="129" fillId="0" borderId="0" xfId="0" applyFont="1" applyNumberFormat="1"/>
    <xf numFmtId="0" fontId="129" fillId="0" borderId="42" xfId="0" applyFont="1" applyBorder="1" applyNumberFormat="1">
      <alignment wrapText="1"/>
    </xf>
    <xf numFmtId="0" fontId="129" fillId="0" borderId="0" xfId="0" applyFont="1" applyNumberFormat="1">
      <alignment vertical="top" wrapText="1"/>
    </xf>
    <xf numFmtId="0" fontId="22" fillId="51" borderId="68" xfId="0" applyFont="1" applyFill="1" applyBorder="1" applyNumberFormat="1">
      <alignment horizontal="right" vertical="center" wrapText="1" indent="1"/>
    </xf>
    <xf numFmtId="0" fontId="22" fillId="51" borderId="43" xfId="0" applyFont="1" applyFill="1" applyBorder="1" applyNumberFormat="1">
      <alignment horizontal="right" vertical="center" wrapText="1" indent="1"/>
    </xf>
    <xf numFmtId="0" fontId="74" fillId="0" borderId="68" xfId="0" applyFont="1" applyBorder="1" applyNumberFormat="1">
      <alignment wrapText="1"/>
    </xf>
    <xf numFmtId="0" fontId="74" fillId="0" borderId="43" xfId="0" applyFont="1" applyBorder="1" applyNumberFormat="1">
      <alignment wrapText="1"/>
    </xf>
    <xf numFmtId="0" fontId="74" fillId="0" borderId="43" xfId="0" applyFont="1" applyBorder="1" applyNumberFormat="1">
      <alignment vertical="center" wrapText="1"/>
    </xf>
    <xf numFmtId="0" fontId="125" fillId="0" borderId="0" xfId="0" applyFont="1" applyNumberFormat="1"/>
    <xf numFmtId="0" fontId="129" fillId="0" borderId="0" xfId="0" applyFont="1" applyNumberFormat="1">
      <alignment vertical="top" wrapText="1"/>
    </xf>
    <xf numFmtId="49" fontId="74" fillId="0" borderId="0" xfId="0" applyFont="1" applyNumberFormat="1">
      <alignment vertical="top" wrapText="1"/>
    </xf>
    <xf numFmtId="0" fontId="38" fillId="0" borderId="0" xfId="0" applyFont="1" applyNumberFormat="1"/>
    <xf numFmtId="0" fontId="71" fillId="0" borderId="0" xfId="0" applyFont="1" applyNumberFormat="1">
      <alignment vertical="center" wrapText="1"/>
    </xf>
    <xf numFmtId="0" fontId="99" fillId="0" borderId="0" xfId="0" applyFont="1" applyNumberFormat="1">
      <alignment horizontal="left" vertical="center" wrapText="1"/>
    </xf>
    <xf numFmtId="0" fontId="71" fillId="0" borderId="0" xfId="0" applyFont="1" applyNumberFormat="1">
      <alignment horizontal="left" vertical="center" wrapText="1"/>
    </xf>
    <xf numFmtId="0" fontId="43" fillId="0" borderId="0" xfId="0" applyFont="1" applyNumberFormat="1">
      <alignment horizontal="center" vertical="center" wrapText="1"/>
    </xf>
    <xf numFmtId="0" fontId="43" fillId="0" borderId="0" xfId="0" applyFont="1" applyNumberFormat="1">
      <alignment vertical="center" wrapText="1"/>
    </xf>
    <xf numFmtId="0" fontId="58" fillId="0" borderId="0" xfId="0" applyFont="1" applyNumberFormat="1">
      <alignment vertical="center" wrapText="1"/>
    </xf>
    <xf numFmtId="0" fontId="43" fillId="0" borderId="0" xfId="0" applyFont="1" applyNumberFormat="1">
      <alignment horizontal="left" vertical="center" wrapText="1"/>
    </xf>
    <xf numFmtId="0" fontId="23" fillId="0" borderId="0" xfId="0" applyFont="1" applyNumberForma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pplyNumberFormat="1">
      <alignment vertical="center" wrapText="1"/>
    </xf>
    <xf numFmtId="0" fontId="99" fillId="0" borderId="0" xfId="0" applyFont="1" applyNumberFormat="1">
      <alignment horizontal="left" vertical="center" wrapText="1"/>
    </xf>
    <xf numFmtId="0" fontId="66" fillId="0" borderId="0" xfId="0" applyFont="1" applyNumberFormat="1">
      <alignment horizontal="left" vertical="center" wrapText="1"/>
    </xf>
    <xf numFmtId="0" fontId="67" fillId="0" borderId="0" xfId="0" applyFont="1" applyNumberFormat="1">
      <alignment vertical="center" wrapText="1"/>
    </xf>
    <xf numFmtId="0" fontId="68" fillId="38" borderId="0" xfId="0" applyFont="1" applyFill="1" applyNumberFormat="1">
      <alignment vertical="center" wrapText="1"/>
    </xf>
    <xf numFmtId="0" fontId="68" fillId="0" borderId="0" xfId="0" applyFont="1" applyNumberFormat="1">
      <alignment vertical="center" wrapText="1"/>
    </xf>
    <xf numFmtId="0" fontId="68" fillId="0" borderId="0" xfId="0" applyFont="1" applyNumberFormat="1">
      <alignment horizontal="righ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6" fillId="0" borderId="0" xfId="0" applyFont="1" applyNumberFormat="1">
      <alignment vertical="center" wrapText="1"/>
    </xf>
    <xf numFmtId="0" fontId="45" fillId="38" borderId="0" xfId="0" applyFont="1" applyFill="1" applyNumberFormat="1">
      <alignment vertical="center" wrapText="1"/>
    </xf>
    <xf numFmtId="0" fontId="23" fillId="0" borderId="17" xfId="0" applyFont="1" applyBorder="1" applyNumberFormat="1">
      <alignment horizontal="center" vertical="center" wrapText="1"/>
    </xf>
    <xf numFmtId="0" fontId="23" fillId="0" borderId="18" xfId="0" applyFont="1" applyBorder="1" applyNumberFormat="1">
      <alignment horizontal="center" vertical="center" wrapText="1"/>
    </xf>
    <xf numFmtId="0" fontId="36" fillId="38" borderId="0" xfId="0" applyFont="1" applyFill="1" applyNumberFormat="1">
      <alignment vertical="center" wrapText="1"/>
    </xf>
    <xf numFmtId="0" fontId="104" fillId="0" borderId="0" xfId="0" applyFont="1" applyNumberFormat="1">
      <alignment vertical="center" wrapText="1"/>
    </xf>
    <xf numFmtId="0" fontId="68" fillId="38" borderId="0" xfId="0" applyFont="1" applyFill="1" applyNumberFormat="1">
      <alignment horizontal="right" vertical="center" wrapText="1" indent="1"/>
    </xf>
    <xf numFmtId="0" fontId="70" fillId="38" borderId="0" xfId="0" applyFont="1" applyFill="1" applyNumberFormat="1">
      <alignment horizontal="center" vertical="center" wrapText="1"/>
    </xf>
    <xf numFmtId="0" fontId="23" fillId="38" borderId="30" xfId="0" applyFont="1" applyFill="1" applyBorder="1" applyNumberFormat="1">
      <alignment horizontal="right" vertical="center" wrapText="1" indent="1"/>
    </xf>
    <xf numFmtId="0" fontId="0" fillId="42" borderId="16" xfId="0" applyFont="1" applyFill="1" applyBorder="1" applyNumberFormat="1">
      <alignment horizontal="left" vertical="center" wrapText="1" indent="1"/>
    </xf>
    <xf numFmtId="14" fontId="99" fillId="38" borderId="0" xfId="0" applyFont="1" applyFill="1" applyNumberFormat="1">
      <alignment horizontal="left" vertical="center" wrapText="1"/>
    </xf>
    <xf numFmtId="0" fontId="66" fillId="38" borderId="0" xfId="0" applyFont="1" applyFill="1" applyNumberFormat="1">
      <alignment horizontal="center" vertical="center" wrapText="1"/>
    </xf>
    <xf numFmtId="0" fontId="68" fillId="38" borderId="0" xfId="0" applyFont="1" applyFill="1" applyNumberFormat="1">
      <alignment horizontal="left" vertical="center" wrapText="1" indent="1"/>
    </xf>
    <xf numFmtId="0" fontId="23" fillId="38" borderId="0" xfId="0" applyFont="1" applyFill="1" applyNumberFormat="1">
      <alignment horizontal="center" vertical="center" wrapText="1"/>
    </xf>
    <xf numFmtId="0" fontId="96" fillId="0" borderId="0" xfId="0" applyFont="1" applyNumberForma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pplyNumberFormat="1">
      <alignment horizontal="right" vertical="center" wrapText="1" indent="1"/>
    </xf>
    <xf numFmtId="170" fontId="0" fillId="45" borderId="17" xfId="0" applyFont="1" applyFill="1" applyBorder="1" applyNumberFormat="1">
      <alignment horizontal="left" vertical="center" wrapText="1" indent="1"/>
      <protection locked="0"/>
    </xf>
    <xf numFmtId="0" fontId="30" fillId="0" borderId="0" xfId="0" applyFont="1" applyNumberFormat="1">
      <alignment horizontal="left" vertical="center" indent="1"/>
    </xf>
    <xf numFmtId="0" fontId="57" fillId="0" borderId="0" xfId="0" applyFont="1" applyNumberFormat="1">
      <alignment vertical="center" wrapText="1"/>
    </xf>
    <xf numFmtId="0" fontId="23" fillId="38" borderId="0" xfId="0" applyFont="1" applyFill="1" applyNumberFormat="1">
      <alignment vertical="center" wrapText="1"/>
    </xf>
    <xf numFmtId="14" fontId="101" fillId="0" borderId="16" xfId="0" applyFont="1" applyBorder="1" applyNumberFormat="1">
      <alignment horizontal="left" vertical="center" wrapText="1"/>
    </xf>
    <xf numFmtId="0" fontId="44" fillId="0" borderId="0" xfId="0" applyFont="1" applyNumberFormat="1">
      <alignment vertical="center" wrapText="1"/>
    </xf>
    <xf numFmtId="0" fontId="45" fillId="38" borderId="0" xfId="0" applyFont="1" applyFill="1" applyNumberFormat="1">
      <alignment vertical="center" wrapText="1"/>
    </xf>
    <xf numFmtId="0" fontId="0" fillId="45" borderId="17" xfId="0" applyFont="1" applyFill="1" applyBorder="1" applyNumberFormat="1">
      <alignment horizontal="left" vertical="center" wrapText="1" indent="1"/>
      <protection locked="0"/>
    </xf>
    <xf numFmtId="49" fontId="23" fillId="45" borderId="16" xfId="0" applyFont="1" applyFill="1" applyBorder="1" applyNumberFormat="1">
      <alignment horizontal="left" vertical="center" wrapText="1" indent="1"/>
      <protection locked="0"/>
    </xf>
    <xf numFmtId="170" fontId="0" fillId="0" borderId="16" xfId="0" applyFont="1" applyBorder="1" applyNumberFormat="1">
      <alignment horizontal="left" vertical="center" wrapText="1" indent="1"/>
    </xf>
    <xf numFmtId="0" fontId="0" fillId="38" borderId="0" xfId="0" applyFont="1" applyFill="1" applyNumberFormat="1">
      <alignment horizontal="right" vertical="center" wrapText="1" indent="1"/>
    </xf>
    <xf numFmtId="0" fontId="104" fillId="0" borderId="0" xfId="0" applyFont="1" applyNumberFormat="1">
      <alignment horizontal="left" vertical="center" wrapText="1"/>
    </xf>
    <xf numFmtId="0" fontId="23" fillId="38" borderId="0" xfId="0" applyFont="1" applyFill="1" applyNumberFormat="1">
      <alignment horizontal="right" vertical="center" wrapText="1" indent="1"/>
    </xf>
    <xf numFmtId="0" fontId="23" fillId="0" borderId="0" xfId="0" applyFont="1" applyNumberFormat="1">
      <alignment horizontal="center" vertical="center" wrapText="1"/>
    </xf>
    <xf numFmtId="0" fontId="23" fillId="38" borderId="0" xfId="0" applyFont="1" applyFill="1" applyNumberFormat="1">
      <alignment horizontal="center" vertical="center" wrapText="1"/>
    </xf>
    <xf numFmtId="170" fontId="0" fillId="45" borderId="16" xfId="0" applyFont="1" applyFill="1" applyBorder="1" applyNumberFormat="1">
      <alignment horizontal="left" vertical="center" wrapText="1" indent="1"/>
      <protection locked="0"/>
    </xf>
    <xf numFmtId="0" fontId="0" fillId="38" borderId="0" xfId="0" applyFont="1" applyFill="1" applyNumberFormat="1">
      <alignment horizontal="left" vertical="center" wrapText="1" indent="1"/>
    </xf>
    <xf numFmtId="49" fontId="23" fillId="0" borderId="16" xfId="0" applyFont="1" applyBorder="1" applyNumberFormat="1">
      <alignment horizontal="left" vertical="center" wrapText="1" indent="1"/>
    </xf>
    <xf numFmtId="0" fontId="44" fillId="0" borderId="0" xfId="0" applyFont="1" applyNumberFormat="1">
      <alignment horizontal="center" vertical="center" wrapText="1"/>
    </xf>
    <xf numFmtId="0" fontId="46" fillId="38" borderId="0" xfId="0" applyFont="1" applyFill="1" applyNumberFormat="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pplyNumberFormat="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pplyNumberFormat="1">
      <alignment vertical="center"/>
    </xf>
    <xf numFmtId="14" fontId="23" fillId="38" borderId="0" xfId="0" applyFont="1" applyFill="1" applyNumberFormat="1">
      <alignment horizontal="left" vertical="center" wrapText="1"/>
    </xf>
    <xf numFmtId="0" fontId="23" fillId="45" borderId="16" xfId="0" applyFont="1" applyFill="1" applyBorder="1" applyNumberFormat="1">
      <alignment horizontal="left" vertical="center" wrapText="1" indent="1"/>
      <protection locked="0"/>
    </xf>
    <xf numFmtId="0" fontId="69" fillId="38" borderId="0" xfId="0" applyFont="1" applyFill="1" applyNumberFormat="1">
      <alignment horizontal="right" vertical="center" wrapText="1" indent="1"/>
    </xf>
    <xf numFmtId="0" fontId="69" fillId="38" borderId="0" xfId="0" applyFont="1" applyFill="1" applyNumberFormat="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pplyNumberFormat="1">
      <alignment vertical="center" wrapText="1"/>
    </xf>
    <xf numFmtId="0" fontId="66" fillId="0" borderId="0" xfId="0" applyFont="1" applyNumberFormat="1">
      <alignment horizontal="left" vertical="center" wrapText="1"/>
    </xf>
    <xf numFmtId="0" fontId="67" fillId="0" borderId="0" xfId="0" applyFont="1" applyNumberFormat="1">
      <alignment vertical="center" wrapText="1"/>
    </xf>
    <xf numFmtId="0" fontId="68" fillId="38" borderId="0" xfId="0" applyFont="1" applyFill="1" applyNumberFormat="1">
      <alignment vertical="center" wrapText="1"/>
    </xf>
    <xf numFmtId="0" fontId="69" fillId="38" borderId="0" xfId="0" applyFont="1" applyFill="1" applyNumberFormat="1">
      <alignment horizontal="right" vertical="center" wrapText="1" indent="1"/>
    </xf>
    <xf numFmtId="0" fontId="43" fillId="0" borderId="0" xfId="0" applyFont="1" applyNumberFormat="1">
      <alignment horizontal="left" vertical="center" wrapText="1"/>
    </xf>
    <xf numFmtId="0" fontId="23" fillId="38" borderId="30" xfId="0" applyFont="1" applyFill="1" applyBorder="1" applyNumberFormat="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pplyNumberFormat="1">
      <alignment horizontal="left" vertical="center" wrapText="1"/>
    </xf>
    <xf numFmtId="0" fontId="23" fillId="0" borderId="0" xfId="0" applyFont="1" applyNumberFormat="1">
      <alignment vertical="center" wrapText="1"/>
    </xf>
    <xf numFmtId="14" fontId="100" fillId="0" borderId="0" xfId="0" applyFont="1" applyNumberFormat="1">
      <alignment horizontal="center" vertical="center" wrapText="1"/>
    </xf>
    <xf numFmtId="0" fontId="44" fillId="0" borderId="0" xfId="0" applyFont="1" applyNumberFormat="1">
      <alignment vertical="center" wrapText="1"/>
    </xf>
    <xf numFmtId="0" fontId="43" fillId="0" borderId="0" xfId="0" applyFont="1" applyNumberFormat="1">
      <alignment horizontal="center" vertical="center" wrapText="1"/>
    </xf>
    <xf numFmtId="0" fontId="23" fillId="0" borderId="0" xfId="0" applyFont="1" applyNumberFormat="1">
      <alignment horizontal="center" vertical="center" wrapText="1"/>
    </xf>
    <xf numFmtId="0" fontId="57" fillId="0" borderId="0" xfId="0" applyFont="1" applyNumberFormat="1">
      <alignment horizontal="center" vertical="center" wrapText="1"/>
    </xf>
    <xf numFmtId="0" fontId="57" fillId="0" borderId="0" xfId="0" applyFont="1" applyNumberFormat="1">
      <alignment vertical="center" wrapText="1"/>
    </xf>
    <xf numFmtId="0" fontId="91" fillId="0" borderId="0" xfId="0" applyFont="1" applyNumberFormat="1">
      <alignment vertical="center" wrapText="1"/>
    </xf>
    <xf numFmtId="0" fontId="23" fillId="46" borderId="16" xfId="0" applyFont="1" applyFill="1" applyBorder="1" applyNumberFormat="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pplyNumberFormat="1">
      <alignment horizontal="left" vertical="center" wrapText="1" indent="1"/>
    </xf>
    <xf numFmtId="0"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pplyNumberForma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pplyNumberFormat="1">
      <alignment horizontal="left" vertical="center" wrapText="1" indent="4"/>
    </xf>
    <xf numFmtId="0" fontId="23" fillId="0" borderId="0" xfId="0" applyFont="1" applyNumberForma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pplyNumberFormat="1">
      <alignment vertical="top" wrapText="1"/>
    </xf>
    <xf numFmtId="0" fontId="44" fillId="0" borderId="0" xfId="0" applyFont="1" applyNumberFormat="1">
      <alignment vertical="center" wrapText="1"/>
    </xf>
    <xf numFmtId="0" fontId="23" fillId="0" borderId="0" xfId="0" applyFont="1" applyNumberFormat="1">
      <alignment vertical="center" wrapText="1"/>
    </xf>
    <xf numFmtId="0" fontId="58" fillId="0" borderId="0" xfId="0" applyFont="1" applyNumberFormat="1">
      <alignment vertical="center" wrapText="1"/>
    </xf>
    <xf numFmtId="0" fontId="81" fillId="0" borderId="0" xfId="0" applyFont="1" applyNumberFormat="1">
      <alignment vertical="center" wrapText="1"/>
    </xf>
    <xf numFmtId="0" fontId="58" fillId="0" borderId="0" xfId="0" applyFont="1" applyNumberFormat="1">
      <alignment vertical="center" wrapText="1"/>
    </xf>
    <xf numFmtId="0" fontId="58" fillId="0" borderId="0" xfId="0" applyFont="1" applyNumberFormat="1">
      <alignment horizontal="center" vertical="center" wrapText="1"/>
    </xf>
    <xf numFmtId="0" fontId="58" fillId="0" borderId="0" xfId="0" applyFont="1" applyNumberFormat="1">
      <alignment horizontal="left" vertical="center" indent="1"/>
    </xf>
    <xf numFmtId="0" fontId="58" fillId="0" borderId="0" xfId="0" applyFont="1" applyNumberFormat="1">
      <alignment horizontal="center" vertical="center" wrapText="1"/>
    </xf>
    <xf numFmtId="0" fontId="58" fillId="0" borderId="0" xfId="0" applyFont="1" applyNumberFormat="1">
      <alignment horizontal="left" vertical="center" wrapText="1" indent="1"/>
    </xf>
    <xf numFmtId="0" fontId="58" fillId="0" borderId="0" xfId="0" applyFont="1" applyNumberFormat="1">
      <alignment horizontal="left" vertical="center" indent="1"/>
    </xf>
    <xf numFmtId="0" fontId="64" fillId="0" borderId="0" xfId="0" applyFont="1" applyNumberFormat="1">
      <alignment vertical="center" wrapText="1"/>
    </xf>
    <xf numFmtId="0" fontId="23" fillId="0" borderId="0" xfId="0" applyFont="1" applyNumberFormat="1">
      <alignment horizontal="left" vertical="center" wrapText="1" indent="1"/>
    </xf>
    <xf numFmtId="0" fontId="57" fillId="0" borderId="0" xfId="0" applyFont="1" applyNumberFormat="1">
      <alignment horizontal="left" vertical="center" wrapText="1" indent="1"/>
    </xf>
    <xf numFmtId="0" fontId="64" fillId="0" borderId="0" xfId="0" applyFont="1" applyNumberFormat="1">
      <alignment horizontal="left" vertical="center" wrapText="1" indent="1"/>
    </xf>
    <xf numFmtId="0" fontId="65" fillId="0" borderId="0" xfId="0" applyFont="1" applyNumberFormat="1">
      <alignment horizontal="left" vertical="center" indent="1"/>
    </xf>
    <xf numFmtId="0" fontId="53" fillId="0" borderId="0" xfId="0" applyFont="1" applyNumberFormat="1">
      <alignment vertical="center" wrapText="1"/>
    </xf>
    <xf numFmtId="0" fontId="23" fillId="0" borderId="0" xfId="0" applyFont="1" applyNumberFormat="1">
      <alignment vertical="center" wrapText="1"/>
    </xf>
    <xf numFmtId="0" fontId="57" fillId="0" borderId="0" xfId="0" applyFont="1" applyNumberFormat="1">
      <alignment vertical="center" wrapText="1"/>
    </xf>
    <xf numFmtId="0" fontId="48" fillId="0" borderId="0" xfId="0" applyFont="1" applyNumberFormat="1">
      <alignment horizontal="center"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right" vertical="center" wrapText="1"/>
    </xf>
    <xf numFmtId="0" fontId="58" fillId="0" borderId="0" xfId="0" applyFont="1" applyNumberFormat="1">
      <alignment vertical="center"/>
    </xf>
    <xf numFmtId="0" fontId="58" fillId="0" borderId="0" xfId="0" applyFont="1" applyNumberFormat="1">
      <alignment vertical="center"/>
    </xf>
    <xf numFmtId="0" fontId="63" fillId="0" borderId="0" xfId="0" applyFont="1" applyNumberFormat="1">
      <alignment vertical="center"/>
    </xf>
    <xf numFmtId="0" fontId="23" fillId="0" borderId="19" xfId="0" applyFont="1" applyBorder="1" applyNumberFormat="1">
      <alignment horizontal="left" vertical="center" wrapText="1" indent="1"/>
    </xf>
    <xf numFmtId="4" fontId="23" fillId="0" borderId="0" xfId="0"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4" fontId="23" fillId="0" borderId="16" xfId="0" applyFont="1" applyBorder="1" applyNumberFormat="1">
      <alignment horizontal="center" vertical="center" wrapText="1"/>
    </xf>
    <xf numFmtId="167" fontId="23" fillId="0" borderId="18" xfId="0" applyFont="1" applyBorder="1" applyNumberFormat="1">
      <alignment horizontal="center" vertical="center" wrapText="1"/>
    </xf>
    <xf numFmtId="167" fontId="23" fillId="0" borderId="16" xfId="0" applyFont="1" applyBorder="1" applyNumberFormat="1">
      <alignment horizontal="center" vertical="center" wrapText="1"/>
    </xf>
    <xf numFmtId="0" fontId="47" fillId="0" borderId="0" xfId="0" applyFont="1" applyNumberForma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pplyNumberFormat="1">
      <alignment vertical="center"/>
    </xf>
    <xf numFmtId="0" fontId="57" fillId="0" borderId="0" xfId="0" applyFont="1" applyNumberFormat="1">
      <alignment vertical="center"/>
    </xf>
    <xf numFmtId="0" fontId="62" fillId="0" borderId="0" xfId="0" applyFont="1" applyNumberForma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pplyNumberFormat="1">
      <alignment vertical="center"/>
    </xf>
    <xf numFmtId="0" fontId="53" fillId="0" borderId="0" xfId="0" applyFont="1" applyNumberFormat="1">
      <alignment vertical="center" wrapText="1"/>
    </xf>
    <xf numFmtId="0" fontId="23" fillId="0" borderId="0" xfId="0" applyFont="1" applyNumberFormat="1">
      <alignment horizontal="center" vertical="center" wrapText="1"/>
    </xf>
    <xf numFmtId="0" fontId="48" fillId="0" borderId="0" xfId="0" applyFont="1" applyNumberFormat="1">
      <alignment horizontal="center" vertical="center" wrapText="1"/>
    </xf>
    <xf numFmtId="0" fontId="23" fillId="0" borderId="16" xfId="0" applyFont="1" applyBorder="1" applyNumberFormat="1">
      <alignment horizontal="center" vertical="center" wrapText="1"/>
    </xf>
    <xf numFmtId="0" fontId="58" fillId="0" borderId="16" xfId="0" applyFont="1" applyBorder="1" applyNumberFormat="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pplyNumberFormat="1">
      <alignment vertical="center"/>
    </xf>
    <xf numFmtId="0" fontId="58" fillId="0" borderId="0" xfId="0" applyFont="1" applyNumberFormat="1">
      <alignment vertical="center"/>
    </xf>
    <xf numFmtId="49" fontId="0" fillId="0" borderId="0" xfId="0" applyFont="1" applyNumberFormat="1">
      <alignment vertical="top"/>
    </xf>
    <xf numFmtId="0" fontId="47" fillId="0" borderId="28" xfId="0" applyFont="1" applyBorder="1" applyNumberFormat="1">
      <alignment vertical="top" wrapText="1"/>
    </xf>
    <xf numFmtId="0" fontId="23" fillId="0" borderId="27" xfId="0" applyFont="1" applyBorder="1" applyNumberFormat="1">
      <alignment horizontal="center" vertical="center" wrapText="1"/>
    </xf>
    <xf numFmtId="0" fontId="58" fillId="0" borderId="27" xfId="0" applyFont="1" applyBorder="1" applyNumberFormat="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pplyNumberFormat="1">
      <alignment vertical="center" wrapText="1"/>
    </xf>
    <xf numFmtId="49" fontId="57" fillId="0" borderId="0" xfId="0" applyFont="1" applyNumberFormat="1">
      <alignment vertical="top"/>
    </xf>
    <xf numFmtId="49" fontId="58" fillId="0" borderId="0" xfId="0" applyFont="1" applyNumberFormat="1">
      <alignment vertical="top"/>
    </xf>
    <xf numFmtId="0" fontId="0" fillId="0" borderId="0" xfId="0" applyFont="1" applyNumberFormat="1">
      <alignment vertical="center" wrapText="1"/>
    </xf>
    <xf numFmtId="0" fontId="47" fillId="0" borderId="0" xfId="0" applyFont="1" applyNumberForma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pplyNumberFormat="1">
      <alignment horizontal="center" vertical="center" wrapText="1"/>
    </xf>
    <xf numFmtId="0" fontId="23" fillId="0" borderId="25" xfId="0" applyFont="1" applyBorder="1" applyNumberFormat="1">
      <alignment vertical="center" wrapText="1"/>
    </xf>
    <xf numFmtId="0" fontId="23" fillId="0" borderId="0" xfId="0" applyFont="1" applyNumberFormat="1">
      <alignment vertical="center" wrapText="1"/>
    </xf>
    <xf numFmtId="0" fontId="56" fillId="0" borderId="0" xfId="0" applyFont="1" applyNumberFormat="1">
      <alignment vertical="center" wrapText="1"/>
    </xf>
    <xf numFmtId="0" fontId="102" fillId="0" borderId="0" xfId="0" applyFont="1" applyNumberFormat="1">
      <alignment vertical="center" wrapText="1"/>
    </xf>
    <xf numFmtId="0" fontId="60" fillId="0" borderId="0" xfId="0" applyFont="1" applyNumberFormat="1">
      <alignment horizontal="center" vertical="center" wrapText="1"/>
    </xf>
    <xf numFmtId="0" fontId="23" fillId="0" borderId="0" xfId="0" applyFont="1" applyNumberFormat="1">
      <alignment vertical="center"/>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57" fillId="0" borderId="0" xfId="0" applyFont="1" applyNumberFormat="1">
      <alignment vertical="center"/>
    </xf>
    <xf numFmtId="0" fontId="52" fillId="0" borderId="0" xfId="0" applyFont="1" applyNumberFormat="1">
      <alignment vertical="center"/>
    </xf>
    <xf numFmtId="0" fontId="23" fillId="0" borderId="34" xfId="0" applyFont="1" applyBorder="1" applyNumberFormat="1">
      <alignment horizontal="left" vertical="center" indent="1"/>
    </xf>
    <xf numFmtId="0" fontId="23" fillId="0" borderId="27" xfId="0" applyFont="1" applyBorder="1" applyNumberFormat="1">
      <alignment horizontal="left" vertical="center" indent="1"/>
    </xf>
    <xf numFmtId="0" fontId="23" fillId="0" borderId="31" xfId="0" applyFont="1" applyBorder="1" applyNumberFormat="1">
      <alignment horizontal="left" vertical="center" indent="1"/>
    </xf>
    <xf numFmtId="0" fontId="94" fillId="0" borderId="0" xfId="0" applyFont="1" applyNumberFormat="1">
      <alignment vertical="center"/>
    </xf>
    <xf numFmtId="0" fontId="59" fillId="0" borderId="0" xfId="0" applyFont="1" applyNumberFormat="1">
      <alignment vertical="center"/>
    </xf>
    <xf numFmtId="0" fontId="117" fillId="0" borderId="0" xfId="0" applyFont="1" applyNumberFormat="1">
      <alignment vertical="center"/>
    </xf>
    <xf numFmtId="0" fontId="52" fillId="0" borderId="0" xfId="0" applyFont="1" applyNumberFormat="1">
      <alignmen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4" fillId="0" borderId="0" xfId="0" applyFont="1" applyNumberFormat="1">
      <alignment vertical="center"/>
    </xf>
    <xf numFmtId="0" fontId="59" fillId="0" borderId="0" xfId="0" applyFont="1" applyNumberFormat="1">
      <alignment vertical="center"/>
    </xf>
    <xf numFmtId="0" fontId="117"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7" fillId="0" borderId="0" xfId="0" applyFont="1" applyNumberFormat="1">
      <alignment vertical="center"/>
    </xf>
    <xf numFmtId="0" fontId="23" fillId="47" borderId="0" xfId="0" applyFont="1" applyFill="1" applyNumberFormat="1">
      <alignment horizontal="center" vertical="center" wrapText="1"/>
    </xf>
    <xf numFmtId="0" fontId="23" fillId="0" borderId="0" xfId="0" applyFont="1" applyNumberFormat="1">
      <alignment vertical="center" wrapText="1"/>
    </xf>
    <xf numFmtId="0" fontId="23" fillId="0" borderId="16" xfId="0" applyFont="1" applyBorder="1" applyNumberFormat="1">
      <alignment horizontal="center" vertical="center" wrapText="1"/>
    </xf>
    <xf numFmtId="0" fontId="83" fillId="0" borderId="41" xfId="0" applyFont="1" applyBorder="1" applyNumberFormat="1">
      <alignment horizontal="center" vertical="center" wrapText="1"/>
    </xf>
    <xf numFmtId="0" fontId="83" fillId="0" borderId="23" xfId="0" applyFont="1" applyBorder="1" applyNumberFormat="1">
      <alignment horizontal="center" vertical="center" wrapText="1"/>
    </xf>
    <xf numFmtId="0" fontId="83" fillId="0" borderId="16" xfId="0" applyFont="1" applyBorder="1" applyNumberFormat="1">
      <alignment horizontal="center" vertical="center" wrapText="1"/>
    </xf>
    <xf numFmtId="0" fontId="23" fillId="0" borderId="0" xfId="0" applyFont="1" applyNumberFormat="1">
      <alignment horizontal="center" vertical="center" wrapText="1"/>
    </xf>
    <xf numFmtId="0" fontId="90"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77" xfId="0" applyFont="1" applyBorder="1" applyNumberFormat="1">
      <alignment horizontal="center" vertical="center" wrapText="1"/>
    </xf>
    <xf numFmtId="0" fontId="23" fillId="0" borderId="78" xfId="0" applyFont="1" applyBorder="1" applyNumberFormat="1">
      <alignment horizontal="center" vertical="center" wrapText="1"/>
    </xf>
    <xf numFmtId="0" fontId="57" fillId="0" borderId="26" xfId="0" applyFont="1" applyBorder="1" applyNumberFormat="1">
      <alignment vertical="center"/>
    </xf>
    <xf numFmtId="0" fontId="0" fillId="0" borderId="0" xfId="0" applyFont="1" applyNumberForma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pplyNumberFormat="1">
      <alignment vertical="center"/>
    </xf>
    <xf numFmtId="0" fontId="58" fillId="0" borderId="0" xfId="0" applyFont="1" applyNumberFormat="1">
      <alignment vertical="center"/>
    </xf>
    <xf numFmtId="0" fontId="58" fillId="0" borderId="0" xfId="0" applyFont="1" applyNumberFormat="1">
      <alignment vertical="center"/>
    </xf>
    <xf numFmtId="0" fontId="23" fillId="0" borderId="0" xfId="0" applyFont="1" applyNumberFormat="1">
      <alignment vertical="center"/>
    </xf>
    <xf numFmtId="0" fontId="57" fillId="0" borderId="0" xfId="0" applyFont="1" applyNumberFormat="1">
      <alignment vertical="center"/>
    </xf>
    <xf numFmtId="0" fontId="58" fillId="0" borderId="0" xfId="0" applyFont="1" applyNumberFormat="1">
      <alignment horizontal="center" vertical="center"/>
    </xf>
    <xf numFmtId="0" fontId="23" fillId="0" borderId="0" xfId="0" applyFont="1" applyNumberFormat="1">
      <alignment horizontal="center" vertical="center" wrapText="1"/>
    </xf>
    <xf numFmtId="0" fontId="23" fillId="44" borderId="18"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48" fillId="0" borderId="0" xfId="0" applyFont="1" applyNumberForma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pplyNumberFormat="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pplyNumberFormat="1">
      <alignment horizontal="center" vertical="center" wrapText="1"/>
    </xf>
    <xf numFmtId="0" fontId="23" fillId="46" borderId="21" xfId="0" applyFont="1" applyFill="1" applyBorder="1" applyNumberFormat="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pplyNumberFormat="1">
      <alignment vertical="center"/>
    </xf>
    <xf numFmtId="0" fontId="58" fillId="0" borderId="0" xfId="0" applyFont="1" applyNumberFormat="1">
      <alignment vertical="center"/>
    </xf>
    <xf numFmtId="0" fontId="23" fillId="0" borderId="0" xfId="0" applyFont="1" applyNumberFormat="1">
      <alignment vertical="center"/>
    </xf>
    <xf numFmtId="0" fontId="57" fillId="0" borderId="0" xfId="0" applyFont="1" applyNumberFormat="1">
      <alignment vertical="center"/>
    </xf>
    <xf numFmtId="0" fontId="23" fillId="46" borderId="40" xfId="0" applyFont="1" applyFill="1" applyBorder="1" applyNumberFormat="1">
      <alignment horizontal="left" vertical="center" wrapText="1" indent="2"/>
    </xf>
    <xf numFmtId="0" fontId="23" fillId="46" borderId="27" xfId="0" applyFont="1" applyFill="1" applyBorder="1" applyNumberFormat="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pplyNumberFormat="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pplyNumberFormat="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pplyNumberFormat="1">
      <alignment vertical="center"/>
    </xf>
    <xf numFmtId="0" fontId="23" fillId="0" borderId="0" xfId="0" applyFont="1" applyNumberFormat="1">
      <alignment vertical="center"/>
    </xf>
    <xf numFmtId="0" fontId="58" fillId="0" borderId="0" xfId="0" applyFont="1" applyNumberFormat="1">
      <alignment vertical="center"/>
    </xf>
    <xf numFmtId="0" fontId="52" fillId="0" borderId="0" xfId="0" applyFont="1" applyNumberFormat="1">
      <alignment vertical="center"/>
    </xf>
    <xf numFmtId="0" fontId="59" fillId="0" borderId="0" xfId="0" applyFont="1" applyNumberFormat="1">
      <alignment vertical="center"/>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7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117" fillId="0" borderId="0" xfId="0" applyFont="1" applyNumberFormat="1">
      <alignment vertical="center"/>
    </xf>
    <xf numFmtId="0" fontId="23" fillId="0" borderId="32" xfId="0" applyFont="1" applyBorder="1" applyNumberFormat="1">
      <alignment horizontal="left" vertical="center" indent="1"/>
    </xf>
    <xf numFmtId="0" fontId="75" fillId="0" borderId="0" xfId="0" applyFont="1" applyNumberFormat="1">
      <alignment vertical="center"/>
    </xf>
    <xf numFmtId="0" fontId="58" fillId="0" borderId="0" xfId="0" applyFont="1" applyNumberFormat="1">
      <alignment vertical="center"/>
    </xf>
    <xf numFmtId="0" fontId="81" fillId="0" borderId="28" xfId="0" applyFont="1" applyBorder="1" applyNumberFormat="1">
      <alignment horizontal="left" vertical="center" wrapText="1" indent="1"/>
    </xf>
    <xf numFmtId="0" fontId="81" fillId="0" borderId="40" xfId="0" applyFont="1" applyBorder="1" applyNumberFormat="1">
      <alignment horizontal="left" vertical="center" wrapText="1" indent="1"/>
    </xf>
    <xf numFmtId="0" fontId="81" fillId="0" borderId="26" xfId="0" applyFont="1" applyBorder="1" applyNumberFormat="1">
      <alignment horizontal="left" vertical="center" wrapText="1" indent="1"/>
    </xf>
    <xf numFmtId="0" fontId="75" fillId="0" borderId="0" xfId="0" applyFont="1" applyNumberFormat="1">
      <alignment vertical="center"/>
    </xf>
    <xf numFmtId="0" fontId="23" fillId="0" borderId="0" xfId="0" applyFont="1" applyNumberFormat="1">
      <alignment vertical="center"/>
    </xf>
    <xf numFmtId="0" fontId="37" fillId="0" borderId="0" xfId="0" applyFont="1" applyNumberFormat="1">
      <alignment vertical="center"/>
    </xf>
    <xf numFmtId="0" fontId="52" fillId="0" borderId="0" xfId="0" applyFont="1" applyNumberFormat="1">
      <alignment vertical="center"/>
    </xf>
    <xf numFmtId="0" fontId="23" fillId="0" borderId="18" xfId="0" applyFont="1" applyBorder="1" applyNumberFormat="1">
      <alignment horizontal="center" vertical="center" wrapText="1"/>
    </xf>
    <xf numFmtId="0" fontId="23" fillId="0" borderId="17" xfId="0" applyFont="1" applyBorder="1" applyNumberFormat="1">
      <alignment horizontal="center" vertical="center" wrapText="1"/>
    </xf>
    <xf numFmtId="0" fontId="0" fillId="0" borderId="16" xfId="0" applyFont="1" applyBorder="1" applyNumberFormat="1">
      <alignment horizontal="center" vertical="center" wrapText="1"/>
    </xf>
    <xf numFmtId="0" fontId="57" fillId="0" borderId="0" xfId="0" applyFont="1" applyNumberFormat="1">
      <alignment vertical="center"/>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58" fillId="0" borderId="0" xfId="0" applyFont="1" applyNumberForma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pplyNumberFormat="1">
      <alignment horizontal="center" vertical="center" wrapText="1"/>
    </xf>
    <xf numFmtId="0" fontId="58" fillId="0" borderId="16" xfId="0" applyFont="1" applyBorder="1" applyNumberFormat="1">
      <alignment horizontal="center" vertical="center"/>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6" xfId="0" applyFont="1" applyBorder="1" applyNumberFormat="1">
      <alignment horizontal="center" vertical="top"/>
    </xf>
    <xf numFmtId="0" fontId="23" fillId="0" borderId="16" xfId="0" applyFont="1" applyBorder="1" applyNumberFormat="1">
      <alignment horizontal="left" vertical="top" wrapText="1"/>
    </xf>
    <xf numFmtId="0" fontId="23" fillId="46" borderId="21" xfId="0" applyFont="1" applyFill="1" applyBorder="1" applyNumberFormat="1">
      <alignment horizontal="center" vertical="top" wrapText="1"/>
    </xf>
    <xf numFmtId="0" fontId="23" fillId="46" borderId="16" xfId="0" applyFont="1" applyFill="1" applyBorder="1" applyNumberFormat="1">
      <alignment horizontal="left" vertical="top" wrapText="1"/>
    </xf>
    <xf numFmtId="0" fontId="0" fillId="0" borderId="41" xfId="0" applyFont="1" applyBorder="1" applyNumberFormat="1">
      <alignment horizontal="center" vertical="center"/>
    </xf>
    <xf numFmtId="0" fontId="0" fillId="0" borderId="23" xfId="0" applyFont="1" applyBorder="1" applyNumberFormat="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pplyNumberFormat="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pplyNumberFormat="1">
      <alignment horizontal="left" vertical="center" indent="1"/>
    </xf>
    <xf numFmtId="0" fontId="58" fillId="0" borderId="0" xfId="0" applyFont="1" applyNumberFormat="1">
      <alignment horizontal="left" vertical="center" indent="1"/>
    </xf>
    <xf numFmtId="0" fontId="0" fillId="0" borderId="0" xfId="0" applyFont="1" applyNumberFormat="1">
      <alignment vertical="center"/>
    </xf>
    <xf numFmtId="0" fontId="23" fillId="46" borderId="40" xfId="0" applyFont="1" applyFill="1" applyBorder="1" applyNumberFormat="1">
      <alignment horizontal="center" vertical="top" wrapText="1"/>
    </xf>
    <xf numFmtId="0" fontId="0" fillId="0" borderId="26" xfId="0" applyFont="1" applyBorder="1" applyNumberFormat="1">
      <alignment horizontal="center" vertical="center"/>
    </xf>
    <xf numFmtId="0" fontId="0" fillId="0" borderId="0" xfId="0" applyFont="1" applyNumberForma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51" fillId="0" borderId="0" xfId="0" applyFont="1" applyNumberFormat="1">
      <alignment horizontal="left" vertical="center"/>
    </xf>
    <xf numFmtId="0" fontId="51" fillId="0" borderId="28" xfId="0" applyFont="1" applyBorder="1" applyNumberFormat="1">
      <alignment horizontal="left" vertical="center"/>
    </xf>
    <xf numFmtId="0" fontId="23" fillId="0" borderId="0" xfId="0" applyFont="1" applyNumberFormat="1">
      <alignment vertical="center"/>
    </xf>
    <xf numFmtId="0" fontId="0" fillId="0" borderId="0" xfId="0" applyFont="1" applyNumberForma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pplyNumberFormat="1">
      <alignment horizontal="center" vertical="top" wrapText="1"/>
    </xf>
    <xf numFmtId="49" fontId="0" fillId="46" borderId="16" xfId="0" applyFont="1" applyFill="1" applyBorder="1" applyNumberFormat="1">
      <alignment horizontal="left" vertical="top"/>
    </xf>
    <xf numFmtId="0" fontId="51" fillId="0" borderId="31" xfId="0" applyFont="1" applyBorder="1" applyNumberFormat="1">
      <alignment horizontal="left" vertical="center"/>
    </xf>
    <xf numFmtId="0" fontId="51" fillId="0" borderId="32" xfId="0" applyFont="1" applyBorder="1" applyNumberFormat="1">
      <alignment horizontal="left" vertical="center"/>
    </xf>
    <xf numFmtId="0" fontId="0" fillId="0" borderId="32" xfId="0" applyFont="1" applyBorder="1" applyNumberFormat="1">
      <alignment vertical="center"/>
    </xf>
    <xf numFmtId="0" fontId="51" fillId="0" borderId="34" xfId="0" applyFont="1" applyBorder="1" applyNumberFormat="1">
      <alignment horizontal="left" vertical="center"/>
    </xf>
    <xf numFmtId="0" fontId="0" fillId="0" borderId="0" xfId="0" applyFont="1" applyNumberFormat="1">
      <alignment vertical="center"/>
    </xf>
    <xf numFmtId="49" fontId="58"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21" xfId="0" applyFont="1" applyBorder="1" applyNumberFormat="1">
      <alignment horizontal="center" vertical="top"/>
    </xf>
    <xf numFmtId="0" fontId="23" fillId="0" borderId="21" xfId="0" applyFont="1" applyBorder="1" applyNumberFormat="1">
      <alignment horizontal="left" vertical="top" wrapText="1"/>
    </xf>
    <xf numFmtId="0" fontId="23" fillId="46" borderId="21" xfId="0" applyFont="1" applyFill="1" applyBorder="1" applyNumberFormat="1">
      <alignment horizontal="left" vertical="top" wrapText="1"/>
    </xf>
    <xf numFmtId="0" fontId="0" fillId="0" borderId="40" xfId="0" applyFont="1" applyBorder="1" applyNumberFormat="1">
      <alignment horizontal="center" vertical="top"/>
    </xf>
    <xf numFmtId="0" fontId="23" fillId="0" borderId="40" xfId="0" applyFont="1" applyBorder="1" applyNumberFormat="1">
      <alignment horizontal="left" vertical="top" wrapText="1"/>
    </xf>
    <xf numFmtId="0" fontId="23" fillId="46" borderId="40" xfId="0" applyFont="1" applyFill="1" applyBorder="1" applyNumberFormat="1">
      <alignment horizontal="left" vertical="top" wrapText="1"/>
    </xf>
    <xf numFmtId="0" fontId="0" fillId="0" borderId="27" xfId="0" applyFont="1" applyBorder="1" applyNumberFormat="1">
      <alignment horizontal="center" vertical="top"/>
    </xf>
    <xf numFmtId="0" fontId="23" fillId="0" borderId="27" xfId="0" applyFont="1" applyBorder="1" applyNumberFormat="1">
      <alignment horizontal="left" vertical="top" wrapText="1"/>
    </xf>
    <xf numFmtId="0" fontId="23" fillId="46" borderId="27" xfId="0" applyFont="1" applyFill="1" applyBorder="1" applyNumberFormat="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vertical="center"/>
    </xf>
    <xf numFmtId="0" fontId="58"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pplyNumberFormat="1">
      <alignment vertical="center" wrapText="1"/>
    </xf>
    <xf numFmtId="0" fontId="23" fillId="0" borderId="0" xfId="0" applyFont="1" applyNumberFormat="1">
      <alignment vertical="center" wrapText="1"/>
    </xf>
    <xf numFmtId="0" fontId="48" fillId="0" borderId="0" xfId="0" applyFont="1" applyNumberFormat="1">
      <alignment horizontal="center" vertical="center" wrapText="1"/>
    </xf>
    <xf numFmtId="0" fontId="22" fillId="0" borderId="23" xfId="0" applyFont="1" applyBorder="1" applyNumberFormat="1">
      <alignment horizontal="left" vertical="center" wrapText="1" indent="1"/>
    </xf>
    <xf numFmtId="0" fontId="22" fillId="0" borderId="0" xfId="0" applyFont="1" applyNumberFormat="1">
      <alignment horizontal="left" vertical="center" wrapText="1" indent="1"/>
    </xf>
    <xf numFmtId="0" fontId="53" fillId="0" borderId="0" xfId="0" applyFont="1" applyNumberFormat="1">
      <alignment vertical="center"/>
    </xf>
    <xf numFmtId="0" fontId="122" fillId="0" borderId="0" xfId="0" applyFont="1" applyNumberFormat="1">
      <alignment vertical="center" wrapText="1"/>
    </xf>
    <xf numFmtId="0" fontId="123" fillId="0" borderId="0" xfId="0" applyFont="1" applyNumberFormat="1">
      <alignment vertical="center" wrapText="1"/>
    </xf>
    <xf numFmtId="0" fontId="53" fillId="0" borderId="0" xfId="0" applyFont="1" applyNumberFormat="1">
      <alignment vertical="center" wrapText="1"/>
    </xf>
    <xf numFmtId="0" fontId="43" fillId="0" borderId="0" xfId="0" applyFont="1" applyNumberFormat="1">
      <alignment vertical="center" wrapText="1"/>
    </xf>
    <xf numFmtId="0" fontId="23" fillId="0" borderId="0" xfId="0" applyFont="1" applyNumberFormat="1">
      <alignment vertical="center" wrapText="1"/>
    </xf>
    <xf numFmtId="0" fontId="22" fillId="0" borderId="32" xfId="0" applyFont="1" applyBorder="1" applyNumberFormat="1">
      <alignment horizontal="left" vertical="center" wrapText="1" indent="1"/>
    </xf>
    <xf numFmtId="0" fontId="23" fillId="0" borderId="4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40"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28"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40"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41" xfId="0" applyFont="1" applyBorder="1" applyNumberFormat="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pplyNumberFormat="1">
      <alignment horizontal="left" vertical="center" wrapText="1"/>
    </xf>
    <xf numFmtId="0" fontId="23" fillId="0" borderId="16"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pplyNumberFormat="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pplyNumberFormat="1">
      <alignment horizontal="center" vertical="center"/>
    </xf>
    <xf numFmtId="0" fontId="23"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51" fillId="0" borderId="0" xfId="0" applyFont="1" applyNumberFormat="1">
      <alignment horizontal="left" vertical="center"/>
    </xf>
    <xf numFmtId="0" fontId="51" fillId="0" borderId="0" xfId="0" applyFont="1" applyNumberFormat="1">
      <alignment horizontal="left" vertical="center"/>
    </xf>
    <xf numFmtId="0" fontId="51" fillId="0" borderId="28" xfId="0" applyFont="1" applyBorder="1" applyNumberFormat="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pplyNumberFormat="1">
      <alignment vertical="center"/>
    </xf>
    <xf numFmtId="0" fontId="51" fillId="0" borderId="26" xfId="0" applyFont="1" applyBorder="1" applyNumberFormat="1">
      <alignment horizontal="left" vertical="center"/>
    </xf>
    <xf numFmtId="49" fontId="23" fillId="0" borderId="21" xfId="0" applyFont="1" applyBorder="1" applyNumberFormat="1">
      <alignment horizontal="center" vertical="center"/>
    </xf>
    <xf numFmtId="0" fontId="23" fillId="0" borderId="21" xfId="0" applyFont="1" applyBorder="1" applyNumberFormat="1">
      <alignment horizontal="left" vertical="center" wrapText="1"/>
    </xf>
    <xf numFmtId="0" fontId="23" fillId="0" borderId="41" xfId="0" applyFont="1" applyBorder="1" applyNumberFormat="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pplyNumberFormat="1">
      <alignment horizontal="left" vertical="center"/>
    </xf>
    <xf numFmtId="0" fontId="51" fillId="0" borderId="34" xfId="0" applyFont="1" applyBorder="1" applyNumberFormat="1">
      <alignment horizontal="left" vertical="center"/>
    </xf>
    <xf numFmtId="0" fontId="23" fillId="0" borderId="0" xfId="0" applyFont="1" applyNumberFormat="1">
      <alignment horizontal="left" vertical="center" wrapText="1"/>
    </xf>
    <xf numFmtId="0" fontId="23" fillId="0" borderId="18" xfId="0" applyFont="1" applyBorder="1" applyNumberFormat="1">
      <alignment horizontal="left" vertical="center" wrapText="1"/>
    </xf>
    <xf numFmtId="0" fontId="23" fillId="38" borderId="0" xfId="0" applyFont="1" applyFill="1" applyNumberFormat="1"/>
    <xf numFmtId="0" fontId="69" fillId="38" borderId="0" xfId="0" applyFont="1" applyFill="1" applyNumberFormat="1"/>
    <xf numFmtId="0" fontId="58" fillId="38" borderId="0" xfId="0" applyFont="1" applyFill="1" applyNumberFormat="1"/>
    <xf numFmtId="0" fontId="69" fillId="38" borderId="0" xfId="0" applyFont="1" applyFill="1" applyNumberFormat="1">
      <alignment horizontal="center"/>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98" fillId="0" borderId="0" xfId="0" applyFont="1" applyNumberFormat="1">
      <alignment vertical="center"/>
    </xf>
    <xf numFmtId="0" fontId="23" fillId="0" borderId="32" xfId="0" applyFont="1" applyBorder="1" applyNumberFormat="1">
      <alignment horizontal="left" vertical="center" wrapText="1" indent="1"/>
    </xf>
    <xf numFmtId="0" fontId="97" fillId="0" borderId="0" xfId="0" applyFont="1" applyNumberFormat="1">
      <alignment vertical="center"/>
    </xf>
    <xf numFmtId="0" fontId="78" fillId="38" borderId="0" xfId="0" applyFont="1" applyFill="1" applyNumberFormat="1">
      <alignment horizontal="right" vertical="center"/>
    </xf>
    <xf numFmtId="0" fontId="23" fillId="38" borderId="0" xfId="0" applyFont="1" applyFill="1" applyNumberFormat="1">
      <alignment vertical="center" wrapText="1"/>
    </xf>
    <xf numFmtId="0" fontId="58" fillId="38" borderId="0" xfId="0" applyFont="1" applyFill="1" applyNumberFormat="1">
      <alignment vertical="center" wrapText="1"/>
    </xf>
    <xf numFmtId="0" fontId="23" fillId="38" borderId="0" xfId="0" applyFont="1" applyFill="1" applyNumberFormat="1">
      <alignment horizontal="center" vertical="center" wrapText="1"/>
    </xf>
    <xf numFmtId="0" fontId="101" fillId="38" borderId="0" xfId="0" applyFont="1" applyFill="1" applyNumberFormat="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47" fillId="38" borderId="0" xfId="0" applyFont="1" applyFill="1" applyNumberFormat="1">
      <alignment horizontal="center" vertical="center"/>
    </xf>
    <xf numFmtId="49" fontId="58" fillId="0" borderId="16" xfId="0" applyFont="1" applyBorder="1" applyNumberFormat="1">
      <alignment horizontal="center" vertical="center"/>
    </xf>
    <xf numFmtId="0" fontId="58" fillId="0" borderId="16" xfId="0" applyFont="1" applyBorder="1" applyNumberFormat="1">
      <alignment vertical="center" wrapText="1"/>
    </xf>
    <xf numFmtId="0" fontId="58" fillId="0" borderId="16" xfId="0" applyFont="1" applyBorder="1" applyNumberFormat="1">
      <alignment horizontal="left" vertical="center" wrapText="1"/>
    </xf>
    <xf numFmtId="0" fontId="73" fillId="38" borderId="0" xfId="0" applyFont="1" applyFill="1" applyNumberFormat="1"/>
    <xf numFmtId="49" fontId="0" fillId="38" borderId="16" xfId="0" applyFont="1" applyFill="1" applyBorder="1" applyNumberFormat="1">
      <alignment horizontal="center" vertical="center"/>
    </xf>
    <xf numFmtId="0" fontId="0" fillId="38" borderId="16" xfId="0" applyFont="1" applyFill="1" applyBorder="1" applyNumberFormat="1">
      <alignment vertical="center" wrapText="1"/>
    </xf>
    <xf numFmtId="0" fontId="0" fillId="0" borderId="16" xfId="0" applyFont="1" applyBorder="1" applyNumberFormat="1">
      <alignment horizontal="center" vertical="center" wrapText="1"/>
    </xf>
    <xf numFmtId="0" fontId="23" fillId="38" borderId="16" xfId="0" applyFont="1" applyFill="1" applyBorder="1" applyNumberFormat="1">
      <alignment vertical="center" wrapText="1"/>
    </xf>
    <xf numFmtId="0" fontId="0" fillId="38" borderId="16" xfId="0" applyFont="1" applyFill="1" applyBorder="1" applyNumberFormat="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pplyNumberFormat="1">
      <alignment horizontal="left" vertical="center" wrapText="1" indent="1"/>
    </xf>
    <xf numFmtId="0" fontId="23" fillId="38" borderId="0" xfId="0" applyFont="1" applyFill="1" applyNumberFormat="1">
      <alignment horizontal="center" vertical="center" wrapText="1"/>
    </xf>
    <xf numFmtId="0" fontId="23" fillId="38" borderId="28" xfId="0" applyFont="1" applyFill="1" applyBorder="1" applyNumberFormat="1">
      <alignment horizontal="center" vertical="center" wrapText="1"/>
    </xf>
    <xf numFmtId="0" fontId="0" fillId="38" borderId="16" xfId="0" applyFont="1" applyFill="1" applyBorder="1" applyNumberFormat="1">
      <alignment horizontal="center" vertical="center"/>
    </xf>
    <xf numFmtId="0" fontId="98" fillId="0" borderId="0" xfId="0" applyFont="1" applyNumberFormat="1">
      <alignment vertical="center" wrapText="1"/>
    </xf>
    <xf numFmtId="0" fontId="0" fillId="38" borderId="16" xfId="0" applyFont="1" applyFill="1" applyBorder="1" applyNumberFormat="1">
      <alignment horizontal="left" vertical="center" wrapText="1" indent="2"/>
    </xf>
    <xf numFmtId="49" fontId="0" fillId="0" borderId="16" xfId="0" applyFont="1" applyBorder="1" applyNumberFormat="1">
      <alignment horizontal="left" vertical="center" wrapText="1"/>
    </xf>
    <xf numFmtId="49" fontId="58" fillId="38" borderId="16" xfId="0" applyFont="1" applyFill="1" applyBorder="1" applyNumberFormat="1">
      <alignment horizontal="center" vertical="center"/>
    </xf>
    <xf numFmtId="0" fontId="58" fillId="38" borderId="16" xfId="0" applyFont="1" applyFill="1" applyBorder="1" applyNumberFormat="1">
      <alignment vertical="center" wrapText="1"/>
    </xf>
    <xf numFmtId="0" fontId="58" fillId="0" borderId="16" xfId="0" applyFont="1" applyBorder="1" applyNumberFormat="1">
      <alignment horizontal="center" vertical="center" wrapText="1"/>
    </xf>
    <xf numFmtId="0" fontId="58" fillId="38" borderId="16" xfId="0" applyFont="1" applyFill="1" applyBorder="1" applyNumberFormat="1">
      <alignment horizontal="left" vertical="center" wrapText="1" indent="1"/>
    </xf>
    <xf numFmtId="0" fontId="58" fillId="38" borderId="16" xfId="0" applyFont="1" applyFill="1" applyBorder="1" applyNumberFormat="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pplyNumberFormat="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pplyNumberFormat="1">
      <alignment horizontal="left" vertical="center" wrapText="1"/>
    </xf>
    <xf numFmtId="0" fontId="23" fillId="38" borderId="21" xfId="0" applyFont="1" applyFill="1" applyBorder="1" applyNumberFormat="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pplyNumberFormat="1">
      <alignment horizontal="left" vertical="top" wrapText="1"/>
    </xf>
    <xf numFmtId="0" fontId="48" fillId="38" borderId="0" xfId="0" applyFont="1" applyFill="1" applyNumberFormat="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pplyNumberFormat="1">
      <alignment horizontal="center"/>
    </xf>
    <xf numFmtId="0" fontId="78" fillId="44" borderId="17" xfId="0" applyFont="1" applyFill="1" applyBorder="1" applyNumberFormat="1">
      <alignment horizontal="left" vertical="center"/>
    </xf>
    <xf numFmtId="0" fontId="23" fillId="38" borderId="27" xfId="0" applyFont="1" applyFill="1" applyBorder="1" applyNumberFormat="1">
      <alignment horizontal="left" vertical="top" wrapText="1"/>
    </xf>
    <xf numFmtId="0" fontId="61" fillId="38" borderId="0" xfId="0" applyFont="1" applyFill="1" applyNumberFormat="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pplyNumberFormat="1">
      <alignment vertical="center" wrapText="1"/>
    </xf>
    <xf numFmtId="49" fontId="23" fillId="46" borderId="16" xfId="0" applyFont="1" applyFill="1" applyBorder="1" applyNumberFormat="1">
      <alignment horizontal="left" vertical="center" wrapText="1"/>
    </xf>
    <xf numFmtId="0" fontId="0" fillId="38" borderId="18" xfId="0" applyFont="1" applyFill="1" applyBorder="1" applyNumberFormat="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pplyNumberFormat="1">
      <alignment vertical="top" wrapText="1"/>
    </xf>
    <xf numFmtId="0" fontId="78" fillId="44" borderId="19" xfId="0" applyFont="1" applyFill="1" applyBorder="1" applyNumberFormat="1">
      <alignment horizontal="left" vertical="center"/>
    </xf>
    <xf numFmtId="49" fontId="23" fillId="38" borderId="0" xfId="0" applyFont="1" applyFill="1" applyNumberFormat="1">
      <alignment horizontal="center" vertical="center" wrapText="1"/>
    </xf>
    <xf numFmtId="0" fontId="0" fillId="38" borderId="18" xfId="0" applyFont="1" applyFill="1" applyBorder="1" applyNumberFormat="1">
      <alignment horizontal="left" vertical="center" wrapText="1"/>
    </xf>
    <xf numFmtId="0" fontId="0" fillId="38" borderId="27" xfId="0" applyFont="1" applyFill="1" applyBorder="1" applyNumberFormat="1">
      <alignment vertical="center" wrapText="1"/>
    </xf>
    <xf numFmtId="0" fontId="84" fillId="38" borderId="0" xfId="0" applyFont="1" applyFill="1" applyNumberFormat="1"/>
    <xf numFmtId="0" fontId="23" fillId="0" borderId="0" xfId="0" applyFont="1" applyNumberFormat="1">
      <alignment vertical="top" wrapText="1"/>
    </xf>
    <xf numFmtId="0" fontId="58" fillId="0" borderId="0" xfId="0" applyFont="1" applyNumberFormat="1">
      <alignment vertical="center" wrapText="1"/>
    </xf>
    <xf numFmtId="0" fontId="56" fillId="0" borderId="0" xfId="0" applyFont="1" applyNumberFormat="1">
      <alignment horizontal="right" vertical="top" wrapText="1"/>
    </xf>
    <xf numFmtId="0" fontId="56" fillId="0" borderId="0" xfId="0" applyFont="1" applyNumberFormat="1">
      <alignment horizontal="left" vertical="top" wrapText="1" indent="1"/>
    </xf>
    <xf numFmtId="0" fontId="56" fillId="0" borderId="0" xfId="0" applyFont="1" applyNumberFormat="1">
      <alignment vertical="center" wrapText="1"/>
    </xf>
    <xf numFmtId="0" fontId="83" fillId="38" borderId="0" xfId="0" applyFont="1" applyFill="1" applyNumberFormat="1">
      <alignment horizontal="center"/>
    </xf>
    <xf numFmtId="0" fontId="83" fillId="38" borderId="0" xfId="0" applyFont="1" applyFill="1" applyNumberFormat="1"/>
    <xf numFmtId="0" fontId="85" fillId="38" borderId="0" xfId="0" applyFont="1" applyFill="1" applyNumberFormat="1">
      <alignment horizontal="right" vertical="center"/>
    </xf>
    <xf numFmtId="0" fontId="86" fillId="38" borderId="0" xfId="0" applyFont="1" applyFill="1" applyNumberFormat="1">
      <alignment vertical="center"/>
    </xf>
    <xf numFmtId="0" fontId="85" fillId="38" borderId="0" xfId="0" applyFont="1" applyFill="1" applyNumberFormat="1">
      <alignment horizontal="right" vertical="top"/>
    </xf>
    <xf numFmtId="0" fontId="86" fillId="38" borderId="0" xfId="0" applyFont="1" applyFill="1" applyNumberFormat="1">
      <alignment vertical="center" wrapText="1"/>
    </xf>
    <xf numFmtId="0" fontId="0" fillId="38" borderId="0" xfId="0" applyFont="1" applyFill="1" applyNumberFormat="1"/>
    <xf numFmtId="0" fontId="0" fillId="38" borderId="0" xfId="0" applyFont="1" applyFill="1" applyNumberFormat="1">
      <alignment horizontal="center"/>
    </xf>
    <xf numFmtId="0" fontId="57" fillId="0" borderId="0" xfId="0" applyFont="1" applyNumberFormat="1">
      <alignment horizontal="center" vertical="center" wrapText="1"/>
    </xf>
    <xf numFmtId="0" fontId="96" fillId="0" borderId="0" xfId="0" applyFont="1" applyNumberFormat="1">
      <alignment vertical="center" wrapText="1"/>
    </xf>
    <xf numFmtId="0" fontId="96" fillId="38" borderId="0" xfId="0" applyFont="1" applyFill="1" applyNumberFormat="1">
      <alignment horizontal="center" vertical="center" wrapText="1"/>
    </xf>
    <xf numFmtId="0" fontId="96" fillId="38" borderId="0" xfId="0" applyFont="1" applyFill="1" applyNumberFormat="1">
      <alignment horizontal="right" vertical="center" wrapText="1"/>
    </xf>
    <xf numFmtId="0" fontId="48" fillId="38" borderId="0" xfId="0" applyFont="1" applyFill="1" applyNumberFormat="1">
      <alignment horizontal="center" vertical="center" wrapText="1"/>
    </xf>
    <xf numFmtId="0" fontId="22" fillId="0" borderId="0" xfId="0" applyFont="1" applyNumberFormat="1">
      <alignment horizontal="left" vertical="center" wrapText="1" indent="3"/>
    </xf>
    <xf numFmtId="0" fontId="72" fillId="0" borderId="0" xfId="0" applyFont="1" applyNumberFormat="1">
      <alignment horizontal="center" vertical="center" wrapText="1"/>
    </xf>
    <xf numFmtId="0" fontId="72" fillId="0" borderId="0" xfId="0" applyFont="1" applyNumberFormat="1">
      <alignment vertical="center" wrapText="1"/>
    </xf>
    <xf numFmtId="0" fontId="43" fillId="0" borderId="0" xfId="0" applyFont="1" applyNumberFormat="1">
      <alignment vertical="center" wrapText="1"/>
    </xf>
    <xf numFmtId="0" fontId="48" fillId="38" borderId="0" xfId="0" applyFont="1" applyFill="1" applyNumberFormat="1">
      <alignment horizontal="center" vertical="center"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68" fillId="0" borderId="0" xfId="0" applyFont="1" applyNumberFormat="1">
      <alignment vertical="center" wrapText="1"/>
    </xf>
    <xf numFmtId="0" fontId="66" fillId="0" borderId="0" xfId="0" applyFont="1" applyNumberFormat="1">
      <alignment vertical="center" wrapText="1"/>
    </xf>
    <xf numFmtId="0" fontId="87" fillId="38" borderId="0" xfId="0" applyFont="1" applyFill="1" applyNumberFormat="1">
      <alignment horizontal="center" vertical="center" wrapText="1"/>
    </xf>
    <xf numFmtId="0" fontId="68" fillId="0" borderId="0" xfId="0" applyFont="1" applyNumberFormat="1">
      <alignment horizontal="left" vertical="center" wrapText="1" indent="1"/>
    </xf>
    <xf numFmtId="0" fontId="23" fillId="0" borderId="0" xfId="0" applyFont="1" applyNumberFormat="1">
      <alignment horizontal="right" vertical="center"/>
    </xf>
    <xf numFmtId="0" fontId="58" fillId="0" borderId="0" xfId="0" applyFont="1" applyNumberFormat="1">
      <alignment vertical="center" wrapText="1"/>
    </xf>
    <xf numFmtId="0" fontId="0" fillId="0" borderId="18"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41"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34" xfId="0" applyFont="1" applyBorder="1" applyNumberFormat="1">
      <alignment horizontal="center" vertical="center" wrapText="1"/>
    </xf>
    <xf numFmtId="0" fontId="0" fillId="0" borderId="34"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7" xfId="0" applyFont="1" applyBorder="1" applyNumberFormat="1">
      <alignment horizontal="center" vertical="center" wrapText="1"/>
    </xf>
    <xf numFmtId="0" fontId="47" fillId="38" borderId="0" xfId="0" applyFont="1" applyFill="1" applyNumberFormat="1">
      <alignment horizontal="center" vertical="center" wrapText="1"/>
    </xf>
    <xf numFmtId="49" fontId="47" fillId="38" borderId="0" xfId="0" applyFont="1" applyFill="1" applyNumberFormat="1">
      <alignment horizontal="center" vertical="center" wrapText="1"/>
    </xf>
    <xf numFmtId="0" fontId="23" fillId="0" borderId="0" xfId="0" applyFont="1" applyNumberFormat="1">
      <alignment vertical="center" wrapText="1"/>
    </xf>
    <xf numFmtId="0" fontId="88" fillId="38" borderId="0" xfId="0" applyFont="1" applyFill="1" applyNumberFormat="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pplyNumberFormat="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pplyNumberFormat="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pplyNumberFormat="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pplyNumberFormat="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pplyNumberFormat="1">
      <alignment horizontal="left" vertical="top" wrapText="1"/>
    </xf>
    <xf numFmtId="0" fontId="43" fillId="0" borderId="0" xfId="0" applyFont="1" applyNumberFormat="1">
      <alignment vertical="center" wrapText="1"/>
    </xf>
    <xf numFmtId="0" fontId="48" fillId="0" borderId="0" xfId="0" applyFont="1" applyNumberFormat="1">
      <alignment horizontal="center" vertical="center" wrapText="1"/>
    </xf>
    <xf numFmtId="0" fontId="23" fillId="0" borderId="0" xfId="0" applyFont="1" applyNumberFormat="1">
      <alignment vertical="center" wrapText="1"/>
    </xf>
    <xf numFmtId="0" fontId="53" fillId="0" borderId="0" xfId="0" applyFont="1" applyNumberFormat="1">
      <alignment vertical="center" wrapText="1"/>
    </xf>
    <xf numFmtId="0" fontId="23" fillId="0" borderId="0" xfId="0" applyFont="1" applyNumberFormat="1">
      <alignment vertical="center" wrapText="1"/>
    </xf>
    <xf numFmtId="0" fontId="48" fillId="38" borderId="0" xfId="0" applyFont="1" applyFill="1" applyNumberFormat="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pplyNumberFormat="1">
      <alignment horizontal="left" vertical="center" wrapText="1"/>
    </xf>
    <xf numFmtId="0" fontId="48" fillId="38"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pplyNumberFormat="1">
      <alignment vertical="center" wrapText="1"/>
    </xf>
    <xf numFmtId="0" fontId="58" fillId="0" borderId="0" xfId="0" applyFont="1" applyNumberFormat="1">
      <alignment vertical="center"/>
    </xf>
    <xf numFmtId="49" fontId="0" fillId="0" borderId="31" xfId="0" applyFont="1" applyBorder="1" applyNumberFormat="1">
      <alignment horizontal="center" vertical="center" wrapText="1"/>
    </xf>
    <xf numFmtId="0" fontId="23" fillId="46" borderId="32" xfId="0" applyFont="1" applyFill="1" applyBorder="1" applyNumberFormat="1">
      <alignment horizontal="left" vertical="center" wrapText="1"/>
    </xf>
    <xf numFmtId="0" fontId="96" fillId="0" borderId="0" xfId="0" applyFont="1" applyNumberFormat="1">
      <alignment vertical="center" wrapText="1"/>
    </xf>
    <xf numFmtId="0" fontId="58" fillId="0" borderId="0" xfId="0" applyFont="1" applyNumberFormat="1">
      <alignment vertical="center" wrapText="1"/>
    </xf>
    <xf numFmtId="0" fontId="48" fillId="38" borderId="0" xfId="0" applyFont="1" applyFill="1" applyNumberFormat="1">
      <alignment horizontal="center" vertical="center" wrapText="1"/>
    </xf>
    <xf numFmtId="0" fontId="72" fillId="0" borderId="0" xfId="0" applyFont="1" applyNumberFormat="1">
      <alignment vertical="center" wrapText="1"/>
    </xf>
    <xf numFmtId="0" fontId="68" fillId="0" borderId="0" xfId="0" applyFont="1" applyNumberFormat="1">
      <alignment vertical="center" wrapText="1"/>
    </xf>
    <xf numFmtId="0" fontId="66" fillId="0" borderId="0" xfId="0" applyFont="1" applyNumberFormat="1">
      <alignment vertical="center" wrapText="1"/>
    </xf>
    <xf numFmtId="0" fontId="23" fillId="0" borderId="4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4" xfId="0" applyFont="1" applyBorder="1" applyNumberFormat="1">
      <alignment horizontal="center" vertical="center" wrapText="1"/>
    </xf>
    <xf numFmtId="0" fontId="23" fillId="0" borderId="27" xfId="0" applyFont="1" applyBorder="1" applyNumberFormat="1">
      <alignment horizontal="center" vertical="center" wrapText="1"/>
    </xf>
    <xf numFmtId="0" fontId="23" fillId="0" borderId="0" xfId="0" applyFont="1" applyNumberFormat="1">
      <alignment vertical="center" wrapText="1"/>
    </xf>
    <xf numFmtId="0" fontId="48" fillId="38"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0" fontId="23" fillId="0" borderId="21" xfId="0" applyFont="1" applyBorder="1" applyNumberFormat="1">
      <alignment horizontal="left" vertical="top" wrapText="1"/>
    </xf>
    <xf numFmtId="0" fontId="23" fillId="0" borderId="40" xfId="0" applyFont="1" applyBorder="1" applyNumberFormat="1">
      <alignment horizontal="left" vertical="top" wrapText="1"/>
    </xf>
    <xf numFmtId="0" fontId="23" fillId="0" borderId="27" xfId="0" applyFont="1" applyBorder="1" applyNumberFormat="1">
      <alignment horizontal="left" vertical="top" wrapText="1"/>
    </xf>
    <xf numFmtId="0" fontId="43" fillId="0" borderId="0" xfId="0" applyFont="1" applyNumberFormat="1">
      <alignment vertical="center" wrapText="1"/>
    </xf>
    <xf numFmtId="0" fontId="68" fillId="38" borderId="0" xfId="0" applyFont="1" applyFill="1" applyNumberFormat="1">
      <alignment vertical="center" wrapText="1"/>
    </xf>
    <xf numFmtId="0" fontId="68" fillId="38" borderId="0" xfId="0" applyFont="1" applyFill="1" applyNumberFormat="1">
      <alignment horizontal="right" vertical="center"/>
    </xf>
    <xf numFmtId="0" fontId="68" fillId="38" borderId="0" xfId="0" applyFont="1" applyFill="1" applyNumberFormat="1">
      <alignment horizontal="right" vertical="center" wrapText="1"/>
    </xf>
    <xf numFmtId="0" fontId="22" fillId="0" borderId="0" xfId="0" applyFont="1" applyNumberFormat="1">
      <alignment horizontal="center" vertical="center" wrapText="1"/>
    </xf>
    <xf numFmtId="4" fontId="68" fillId="0" borderId="0" xfId="0" applyFont="1" applyNumberFormat="1">
      <alignment horizontal="right" vertical="center" wrapText="1"/>
    </xf>
    <xf numFmtId="0" fontId="0"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48" fillId="38" borderId="0" xfId="0" applyFont="1" applyFill="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pplyNumberFormat="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pplyNumberFormat="1">
      <alignment horizontal="left" vertical="top" wrapText="1"/>
    </xf>
    <xf numFmtId="0" fontId="58" fillId="0" borderId="0" xfId="0" applyFont="1" applyNumberFormat="1">
      <alignment horizontal="left" vertical="center" wrapText="1"/>
    </xf>
    <xf numFmtId="49" fontId="58" fillId="0" borderId="0" xfId="0" applyFont="1" applyNumberFormat="1">
      <alignment horizontal="left" vertical="center" wrapText="1"/>
    </xf>
    <xf numFmtId="0" fontId="48" fillId="38" borderId="0" xfId="0" applyFont="1" applyFill="1" applyNumberFormat="1">
      <alignment vertical="top" wrapText="1"/>
    </xf>
    <xf numFmtId="0" fontId="58" fillId="38" borderId="27" xfId="0" applyFont="1" applyFill="1" applyBorder="1" applyNumberFormat="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87" fillId="0" borderId="0" xfId="0" applyFont="1" applyNumberFormat="1">
      <alignment horizontal="center" vertical="center" wrapText="1"/>
    </xf>
    <xf numFmtId="0" fontId="56" fillId="0" borderId="0" xfId="0" applyFont="1" applyNumberFormat="1">
      <alignment vertical="top" wrapText="1"/>
    </xf>
    <xf numFmtId="0" fontId="23" fillId="0" borderId="0" xfId="0" applyFont="1" applyNumberFormat="1">
      <alignment horizontal="right" vertical="top" wrapText="1"/>
    </xf>
    <xf numFmtId="0" fontId="56" fillId="0" borderId="0" xfId="0" applyFont="1" applyNumberForma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pplyNumberFormat="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pplyNumberFormat="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pplyNumberFormat="1">
      <alignment horizontal="center" vertical="top" wrapText="1"/>
    </xf>
    <xf numFmtId="0" fontId="103" fillId="35" borderId="16" xfId="0" applyFont="1" applyFill="1" applyBorder="1" applyNumberFormat="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pplyNumberFormat="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pplyNumberFormat="1">
      <alignment horizontal="center" vertical="center" wrapText="1"/>
    </xf>
    <xf numFmtId="0" fontId="103" fillId="35" borderId="16" xfId="0" applyFont="1" applyFill="1" applyBorder="1" applyNumberFormat="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pplyNumberFormat="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pplyNumberFormat="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pplyNumberFormat="1">
      <alignment vertical="top" wrapText="1"/>
    </xf>
    <xf numFmtId="49" fontId="99" fillId="0" borderId="16" xfId="0" applyFont="1" applyBorder="1" applyNumberFormat="1">
      <alignment horizontal="left" vertical="top" wrapText="1"/>
    </xf>
    <xf numFmtId="0" fontId="99" fillId="0" borderId="18" xfId="0" applyFont="1" applyBorder="1" applyNumberFormat="1">
      <alignment horizontal="center" vertical="center" wrapText="1"/>
    </xf>
    <xf numFmtId="0" fontId="99" fillId="0" borderId="18" xfId="0" applyFont="1" applyBorder="1" applyNumberFormat="1">
      <alignment horizontal="center" vertical="center"/>
    </xf>
    <xf numFmtId="49" fontId="99" fillId="0" borderId="16" xfId="0" applyFont="1" applyBorder="1" applyNumberFormat="1">
      <alignment horizontal="center" vertical="center" wrapText="1"/>
    </xf>
    <xf numFmtId="0" fontId="99" fillId="0" borderId="16" xfId="0" applyFont="1" applyBorder="1" applyNumberFormat="1">
      <alignment vertical="center" wrapText="1"/>
    </xf>
    <xf numFmtId="49" fontId="103" fillId="0" borderId="18" xfId="0" applyFont="1" applyBorder="1" applyNumberFormat="1">
      <alignment horizontal="left" vertical="top" wrapText="1"/>
    </xf>
    <xf numFmtId="0" fontId="99" fillId="0" borderId="16" xfId="0" applyFont="1" applyBorder="1" applyNumberFormat="1">
      <alignment horizontal="center" vertical="center" wrapText="1"/>
    </xf>
    <xf numFmtId="0" fontId="99" fillId="0" borderId="21" xfId="0" applyFont="1" applyBorder="1" applyNumberFormat="1">
      <alignment vertical="center" wrapText="1"/>
    </xf>
    <xf numFmtId="0" fontId="99" fillId="0" borderId="27" xfId="0" applyFont="1" applyBorder="1" applyNumberFormat="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pplyNumberFormat="1">
      <alignment horizontal="center" vertical="center" wrapText="1"/>
    </xf>
    <xf numFmtId="49" fontId="103" fillId="0" borderId="40" xfId="0" applyFont="1" applyBorder="1" applyNumberFormat="1">
      <alignment horizontal="left" vertical="top" wrapText="1"/>
    </xf>
    <xf numFmtId="0" fontId="103" fillId="0" borderId="40" xfId="0" applyFont="1" applyBorder="1" applyNumberFormat="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pplyNumberForma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pplyNumberFormat="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0" fontId="0" fillId="0" borderId="18" xfId="0" applyFont="1" applyBorder="1" applyNumberFormat="1">
      <alignment vertical="center"/>
    </xf>
    <xf numFmtId="0" fontId="0" fillId="0" borderId="18" xfId="0" applyFont="1" applyBorder="1" applyNumberFormat="1">
      <alignment vertical="center"/>
    </xf>
    <xf numFmtId="0" fontId="23" fillId="0" borderId="18" xfId="0" applyFont="1" applyBorder="1" applyNumberFormat="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pplyNumberFormat="1">
      <alignment vertical="center"/>
    </xf>
    <xf numFmtId="0" fontId="0" fillId="0" borderId="16" xfId="0" applyFont="1" applyBorder="1" applyNumberFormat="1">
      <alignment horizontal="right" vertical="top"/>
    </xf>
    <xf numFmtId="0" fontId="0" fillId="0" borderId="16" xfId="0" applyFont="1" applyBorder="1" applyNumberFormat="1">
      <alignment vertical="top"/>
    </xf>
    <xf numFmtId="0" fontId="23" fillId="0" borderId="17" xfId="0" applyFont="1" applyBorder="1" applyNumberFormat="1">
      <alignment vertical="center"/>
    </xf>
    <xf numFmtId="49" fontId="23" fillId="0" borderId="16" xfId="0" applyFont="1" applyBorder="1" applyNumberFormat="1">
      <alignment vertical="center"/>
    </xf>
    <xf numFmtId="0" fontId="0" fillId="0" borderId="0" xfId="0" applyFont="1" applyNumberFormat="1">
      <alignment vertical="top"/>
    </xf>
    <xf numFmtId="0" fontId="23" fillId="0" borderId="16" xfId="0" applyFont="1" applyBorder="1" applyNumberFormat="1">
      <alignment vertical="top"/>
    </xf>
    <xf numFmtId="0" fontId="0" fillId="53" borderId="0" xfId="0" applyFont="1" applyFill="1" applyNumberFormat="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pplyNumberFormat="1">
      <alignment vertical="center"/>
    </xf>
    <xf numFmtId="0" fontId="0" fillId="53"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3" fillId="0" borderId="18" xfId="0" applyFont="1" applyBorder="1" applyNumberFormat="1">
      <alignment vertical="top"/>
    </xf>
    <xf numFmtId="0" fontId="0" fillId="53" borderId="0" xfId="0" applyFont="1" applyFill="1" applyNumberFormat="1">
      <alignment horizontal="right" vertical="center"/>
    </xf>
    <xf numFmtId="0" fontId="0" fillId="0" borderId="0" xfId="0" applyFont="1" applyNumberFormat="1">
      <alignment horizontal="left" vertical="center"/>
    </xf>
    <xf numFmtId="0" fontId="0" fillId="53" borderId="0" xfId="0" applyFont="1" applyFill="1" applyNumberFormat="1">
      <alignment horizontal="right" vertical="center"/>
    </xf>
    <xf numFmtId="0" fontId="0" fillId="53" borderId="0" xfId="0" applyFont="1" applyFill="1" applyNumberFormat="1">
      <alignment horizontal="left" vertical="center"/>
    </xf>
    <xf numFmtId="0" fontId="62" fillId="53" borderId="0" xfId="0" applyFont="1" applyFill="1" applyNumberFormat="1">
      <alignment horizontal="left" vertical="center"/>
    </xf>
    <xf numFmtId="0" fontId="0" fillId="0" borderId="0" xfId="0" applyFont="1" applyNumberFormat="1">
      <alignment vertical="center"/>
    </xf>
    <xf numFmtId="0" fontId="23" fillId="0" borderId="0" xfId="0" applyFont="1" applyNumberFormat="1">
      <alignment vertical="top"/>
    </xf>
    <xf numFmtId="0" fontId="62" fillId="0" borderId="0" xfId="0" applyFont="1" applyNumberForma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pplyNumberFormat="1">
      <alignment horizontal="left" vertical="center"/>
    </xf>
    <xf numFmtId="0" fontId="62" fillId="53" borderId="0" xfId="0" applyFont="1" applyFill="1" applyNumberFormat="1">
      <alignment horizontal="left" vertical="center"/>
    </xf>
    <xf numFmtId="49" fontId="23" fillId="0" borderId="21" xfId="0" applyFont="1" applyBorder="1" applyNumberFormat="1">
      <alignment horizontal="right" vertical="top"/>
    </xf>
    <xf numFmtId="0" fontId="0" fillId="0" borderId="21" xfId="0" applyFont="1" applyBorder="1" applyNumberFormat="1">
      <alignment vertical="top"/>
    </xf>
    <xf numFmtId="0" fontId="23" fillId="0" borderId="21" xfId="0" applyFont="1" applyBorder="1" applyNumberFormat="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pplyNumberFormat="1">
      <alignment horizontal="left" vertical="center"/>
    </xf>
    <xf numFmtId="0" fontId="0" fillId="53" borderId="15" xfId="0" applyFont="1" applyFill="1" applyBorder="1" applyNumberFormat="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pplyNumberFormat="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pplyNumberFormat="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10" fillId="0" borderId="50" xfId="0" applyFont="1" applyBorder="1" applyNumberFormat="1">
      <alignment horizontal="center" vertical="center"/>
    </xf>
    <xf numFmtId="0" fontId="0" fillId="0" borderId="50" xfId="0" applyFont="1" applyBorder="1" applyNumberFormat="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pplyNumberFormat="1">
      <alignment vertical="top"/>
    </xf>
    <xf numFmtId="0" fontId="0" fillId="35" borderId="16" xfId="0" applyFont="1" applyFill="1" applyBorder="1" applyNumberFormat="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pplyNumberFormat="1">
      <alignment horizontal="center" vertical="top"/>
    </xf>
    <xf numFmtId="0" fontId="23" fillId="42" borderId="31" xfId="0" applyFont="1" applyFill="1" applyBorder="1" applyNumberFormat="1">
      <alignment horizontal="left" vertical="top"/>
    </xf>
    <xf numFmtId="0" fontId="0" fillId="0" borderId="36" xfId="0" applyFont="1" applyBorder="1" applyNumberFormat="1">
      <alignment horizontal="center" vertical="center"/>
    </xf>
    <xf numFmtId="0" fontId="0" fillId="0" borderId="38" xfId="0" applyFont="1" applyBorder="1" applyNumberFormat="1">
      <alignment horizontal="center" vertical="center"/>
    </xf>
    <xf numFmtId="0" fontId="23" fillId="0" borderId="16" xfId="0" applyFont="1" applyBorder="1" applyNumberFormat="1">
      <alignment horizontal="left" vertical="top"/>
    </xf>
    <xf numFmtId="49" fontId="23" fillId="0" borderId="0" xfId="0" applyFont="1" applyNumberFormat="1">
      <alignment horizontal="left" vertical="top"/>
    </xf>
    <xf numFmtId="0" fontId="0" fillId="0" borderId="35" xfId="0" applyFont="1" applyBorder="1" applyNumberFormat="1">
      <alignment horizontal="center" vertical="center"/>
    </xf>
    <xf numFmtId="0" fontId="0" fillId="0" borderId="37" xfId="0" applyFont="1" applyBorder="1" applyNumberFormat="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top"/>
    </xf>
    <xf numFmtId="49" fontId="0" fillId="43" borderId="0" xfId="0" applyFont="1" applyFill="1" applyNumberFormat="1">
      <alignment vertical="top"/>
    </xf>
    <xf numFmtId="0" fontId="23" fillId="0" borderId="0" xfId="0" applyFont="1" applyNumberFormat="1"/>
    <xf numFmtId="0" fontId="48" fillId="38" borderId="0" xfId="0" applyFont="1" applyFill="1" applyNumberFormat="1">
      <alignment horizontal="center" vertical="center" wrapText="1"/>
    </xf>
    <xf numFmtId="0"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pplyNumberFormat="1">
      <alignment horizontal="center"/>
    </xf>
    <xf numFmtId="49" fontId="23" fillId="34"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0" fontId="58" fillId="0" borderId="16" xfId="0" applyFont="1" applyBorder="1" applyNumberFormat="1">
      <alignment horizontal="center" vertical="center"/>
    </xf>
    <xf numFmtId="0" fontId="23" fillId="0" borderId="27" xfId="0" applyFont="1" applyBorder="1" applyNumberFormat="1">
      <alignment horizontal="center" vertical="center" wrapText="1"/>
    </xf>
    <xf numFmtId="0" fontId="57" fillId="0" borderId="27" xfId="0" applyFont="1" applyBorder="1" applyNumberFormat="1">
      <alignment horizontal="center" vertical="center" wrapTex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pplyNumberFormat="1">
      <alignment horizontal="center" vertical="center" wrapText="1"/>
    </xf>
    <xf numFmtId="0" fontId="23" fillId="46" borderId="16" xfId="0" applyFont="1" applyFill="1" applyBorder="1" applyNumberFormat="1">
      <alignment horizontal="center" vertical="center" wrapText="1"/>
    </xf>
    <xf numFmtId="14" fontId="89" fillId="0" borderId="21" xfId="0" applyFont="1" applyBorder="1" applyNumberFormat="1">
      <alignment horizontal="center" vertical="center" wrapText="1"/>
    </xf>
    <xf numFmtId="0" fontId="83" fillId="0" borderId="16" xfId="0" applyFont="1" applyBorder="1" applyNumberFormat="1">
      <alignment horizontal="left" vertical="center" wrapText="1" indent="1"/>
    </xf>
    <xf numFmtId="0" fontId="89"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0" fontId="82" fillId="0" borderId="0" xfId="0" applyFont="1" applyNumberFormat="1">
      <alignment vertical="center"/>
    </xf>
    <xf numFmtId="14" fontId="89" fillId="0" borderId="40" xfId="0" applyFont="1" applyBorder="1" applyNumberFormat="1">
      <alignment horizontal="center" vertical="center" wrapText="1"/>
    </xf>
    <xf numFmtId="0" fontId="83" fillId="0" borderId="16" xfId="0" applyFont="1" applyBorder="1" applyNumberFormat="1">
      <alignment horizontal="left" vertical="top" indent="1"/>
    </xf>
    <xf numFmtId="49" fontId="0" fillId="0" borderId="16" xfId="0" applyFont="1" applyBorder="1" applyNumberFormat="1">
      <alignment vertical="top"/>
    </xf>
    <xf numFmtId="0" fontId="47" fillId="0" borderId="16" xfId="0" applyFont="1" applyBorder="1" applyNumberFormat="1">
      <alignment horizontal="center" vertical="center" wrapText="1"/>
    </xf>
    <xf numFmtId="0" fontId="23" fillId="46" borderId="16" xfId="0" applyFont="1" applyFill="1" applyBorder="1" applyNumberFormat="1">
      <alignment horizontal="left" vertical="center" wrapText="1" indent="1"/>
    </xf>
    <xf numFmtId="0" fontId="47" fillId="0" borderId="16" xfId="0" applyFont="1" applyBorder="1" applyNumberFormat="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pplyNumberFormat="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0" fontId="23" fillId="38" borderId="18" xfId="0" applyFont="1" applyFill="1" applyBorder="1" applyNumberFormat="1">
      <alignment horizontal="center" vertical="center" wrapText="1"/>
    </xf>
    <xf numFmtId="0" fontId="58" fillId="38" borderId="16" xfId="0" applyFont="1" applyFill="1" applyBorder="1" applyNumberFormat="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170"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pplyNumberForma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pplyNumberFormat="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pplyNumberFormat="1">
      <alignment horizontal="left" vertical="center" wrapText="1" indent="2"/>
      <protection locked="0"/>
    </xf>
    <xf numFmtId="49" fontId="57" fillId="0" borderId="0" xfId="0" applyFont="1" applyNumberFormat="1">
      <alignment horizontal="center" vertical="center" wrapText="1"/>
    </xf>
    <xf numFmtId="0" fontId="57" fillId="0" borderId="0" xfId="0" applyFont="1" applyNumberFormat="1">
      <alignment vertical="center" wrapText="1"/>
    </xf>
    <xf numFmtId="0" fontId="48" fillId="0" borderId="28" xfId="0" applyFont="1" applyBorder="1" applyNumberFormat="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pplyNumberFormat="1">
      <alignment horizontal="left" vertical="top" wrapText="1" indent="1"/>
    </xf>
    <xf numFmtId="49" fontId="23" fillId="46" borderId="21" xfId="0" applyFont="1" applyFill="1" applyBorder="1" applyNumberFormat="1">
      <alignment horizontal="center" vertical="top" wrapText="1"/>
    </xf>
    <xf numFmtId="170" fontId="0" fillId="45" borderId="16" xfId="0" applyFont="1" applyFill="1" applyBorder="1" applyNumberFormat="1">
      <alignment horizontal="center" vertical="top" wrapText="1"/>
      <protection locked="0"/>
    </xf>
    <xf numFmtId="170"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pplyNumberFormat="1">
      <alignment horizontal="center" vertical="top" wrapText="1"/>
    </xf>
    <xf numFmtId="0" fontId="23" fillId="34" borderId="16" xfId="0" applyFont="1" applyFill="1" applyBorder="1" applyNumberFormat="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pplyNumberFormat="1">
      <alignment horizontal="center" vertical="center" wrapText="1"/>
    </xf>
    <xf numFmtId="0" fontId="23" fillId="0" borderId="16" xfId="0" applyFont="1" applyBorder="1" applyNumberFormat="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pplyNumberFormat="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pplyNumberFormat="1">
      <alignment vertical="center" wrapText="1"/>
    </xf>
    <xf numFmtId="0" fontId="23" fillId="44" borderId="19" xfId="0" applyFont="1" applyFill="1" applyBorder="1" applyNumberFormat="1">
      <alignment vertical="center" wrapText="1"/>
    </xf>
    <xf numFmtId="49" fontId="51" fillId="44" borderId="17" xfId="0" applyFont="1" applyFill="1" applyBorder="1" applyNumberFormat="1">
      <alignment horizontal="left" vertical="center" indent="1"/>
    </xf>
    <xf numFmtId="0" fontId="48" fillId="0" borderId="28" xfId="0" applyFont="1" applyBorder="1" applyNumberFormat="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pplyNumberFormat="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pplyNumberFormat="1">
      <alignment horizontal="center" vertical="top" wrapText="1"/>
    </xf>
    <xf numFmtId="0" fontId="23" fillId="34" borderId="40" xfId="0" applyFont="1" applyFill="1" applyBorder="1" applyNumberFormat="1">
      <alignment horizontal="left" vertical="top" wrapText="1"/>
      <protection locked="0"/>
    </xf>
    <xf numFmtId="0" fontId="23" fillId="0" borderId="40" xfId="0" applyFont="1" applyBorder="1" applyNumberFormat="1">
      <alignment horizontal="center" vertical="center" wrapText="1"/>
    </xf>
    <xf numFmtId="0" fontId="23" fillId="0" borderId="16" xfId="0" applyFont="1" applyBorder="1" applyNumberFormat="1">
      <alignment horizontal="center" vertical="center" wrapText="1"/>
    </xf>
    <xf numFmtId="0" fontId="58" fillId="0" borderId="0" xfId="0" applyFont="1" applyNumberFormat="1">
      <alignment vertical="center" wrapText="1"/>
    </xf>
    <xf numFmtId="49" fontId="58" fillId="0" borderId="0" xfId="0" applyFont="1" applyNumberFormat="1">
      <alignment horizontal="center" vertical="center" wrapText="1"/>
    </xf>
    <xf numFmtId="0" fontId="23" fillId="38" borderId="0" xfId="0" applyFont="1" applyFill="1" applyNumberFormat="1">
      <alignment vertical="center" wrapText="1"/>
    </xf>
    <xf numFmtId="0" fontId="111" fillId="0" borderId="52" xfId="0" applyFont="1" applyBorder="1" applyNumberFormat="1">
      <alignment horizontal="left" vertical="center" indent="1"/>
    </xf>
    <xf numFmtId="0" fontId="111" fillId="0" borderId="53" xfId="0" applyFont="1" applyBorder="1" applyNumberFormat="1">
      <alignment horizontal="left" vertical="center" indent="1"/>
    </xf>
    <xf numFmtId="0" fontId="0" fillId="0" borderId="53" xfId="0" applyFont="1" applyBorder="1" applyNumberFormat="1">
      <alignment horizontal="left" vertical="center" wrapText="1"/>
    </xf>
    <xf numFmtId="0" fontId="23" fillId="0" borderId="53" xfId="0" applyFont="1" applyBorder="1" applyNumberFormat="1">
      <alignment vertical="center" wrapText="1"/>
    </xf>
    <xf numFmtId="0" fontId="23" fillId="0" borderId="58" xfId="0" applyFont="1" applyBorder="1" applyNumberFormat="1">
      <alignment vertical="center" wrapText="1"/>
    </xf>
    <xf numFmtId="0" fontId="23" fillId="0" borderId="59" xfId="0" applyFont="1" applyBorder="1" applyNumberFormat="1">
      <alignment vertical="center" wrapText="1"/>
    </xf>
    <xf numFmtId="0" fontId="23" fillId="0" borderId="42" xfId="0" applyFont="1" applyBorder="1" applyNumberFormat="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pplyNumberFormat="1">
      <alignment vertical="center" wrapText="1"/>
    </xf>
    <xf numFmtId="49" fontId="114" fillId="0" borderId="17" xfId="0" applyFont="1" applyBorder="1" applyNumberFormat="1">
      <alignment horizontal="center" vertical="center" wrapText="1"/>
    </xf>
    <xf numFmtId="0" fontId="56" fillId="0" borderId="16" xfId="0" applyFont="1" applyBorder="1" applyNumberFormat="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pplyNumberFormat="1">
      <alignment horizontal="center" vertical="center"/>
    </xf>
    <xf numFmtId="0" fontId="135" fillId="46" borderId="16" xfId="0" applyFont="1" applyFill="1" applyBorder="1" applyNumberFormat="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pplyNumberFormat="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pplyNumberFormat="1">
      <alignment vertical="center" wrapText="1"/>
    </xf>
    <xf numFmtId="0" fontId="23" fillId="44" borderId="55" xfId="0" applyFont="1" applyFill="1" applyBorder="1" applyNumberFormat="1">
      <alignment vertical="center" wrapText="1"/>
    </xf>
    <xf numFmtId="0" fontId="23" fillId="44" borderId="57" xfId="0" applyFont="1" applyFill="1" applyBorder="1" applyNumberFormat="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pplyNumberFormat="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pplyNumberFormat="1">
      <alignment horizontal="left" vertical="center" indent="1"/>
    </xf>
    <xf numFmtId="49" fontId="23" fillId="0" borderId="60" xfId="0" applyFont="1" applyBorder="1" applyNumberFormat="1">
      <alignment horizontal="center" vertical="center"/>
    </xf>
    <xf numFmtId="0" fontId="23" fillId="0" borderId="60" xfId="0" applyFont="1" applyBorder="1" applyNumberFormat="1">
      <alignment horizontal="right" vertical="center"/>
    </xf>
    <xf numFmtId="0" fontId="23" fillId="0" borderId="60" xfId="0" applyFont="1" applyBorder="1" applyNumberFormat="1">
      <alignment horizontal="center" vertical="center"/>
    </xf>
    <xf numFmtId="0" fontId="23" fillId="0" borderId="19" xfId="0" applyFont="1" applyBorder="1" applyNumberFormat="1">
      <alignment horizontal="right" vertical="center"/>
    </xf>
    <xf numFmtId="0" fontId="23" fillId="0" borderId="17" xfId="0" applyFont="1" applyBorder="1" applyNumberFormat="1">
      <alignment horizontal="right" vertical="center"/>
    </xf>
    <xf numFmtId="0" fontId="23" fillId="0" borderId="16" xfId="0" applyFont="1" applyBorder="1" applyNumberFormat="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pplyNumberFormat="1">
      <alignment horizontal="center" vertical="center"/>
    </xf>
    <xf numFmtId="0" fontId="131" fillId="46" borderId="16" xfId="0" applyFont="1" applyFill="1" applyBorder="1" applyNumberFormat="1">
      <alignment horizontal="left" vertical="center" wrapText="1" indent="1"/>
    </xf>
    <xf numFmtId="0" fontId="131" fillId="45" borderId="16" xfId="0" applyFont="1" applyFill="1" applyBorder="1" applyNumberFormat="1">
      <alignment horizontal="left" vertical="center" wrapText="1" indent="1"/>
      <protection locked="0"/>
    </xf>
    <xf numFmtId="0" fontId="23" fillId="34" borderId="16" xfId="0" applyFont="1" applyFill="1" applyBorder="1" applyNumberFormat="1">
      <alignment horizontal="left" vertical="center" indent="1"/>
      <protection locked="0"/>
    </xf>
    <xf numFmtId="0" fontId="23" fillId="35" borderId="16" xfId="0" applyFont="1" applyFill="1" applyBorder="1" applyNumberFormat="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pplyNumberFormat="1">
      <alignment horizontal="right" vertical="center" wrapText="1" indent="1"/>
    </xf>
    <xf numFmtId="0" fontId="0" fillId="0" borderId="19"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42" borderId="16" xfId="0" applyFont="1" applyFill="1" applyBorder="1" applyNumberFormat="1">
      <alignment horizontal="left" vertical="center" wrapText="1" indent="1"/>
    </xf>
    <xf numFmtId="0" fontId="23" fillId="0" borderId="17" xfId="0" applyFont="1" applyBorder="1" applyNumberFormat="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pplyNumberFormat="1">
      <alignment horizontal="center" vertical="top"/>
    </xf>
    <xf numFmtId="49" fontId="57" fillId="0" borderId="0" xfId="0" applyFont="1" applyNumberFormat="1">
      <alignment vertical="top"/>
    </xf>
    <xf numFmtId="0" fontId="57" fillId="0" borderId="0" xfId="0" applyFont="1" applyNumberFormat="1">
      <alignment vertical="top"/>
    </xf>
    <xf numFmtId="0" fontId="82" fillId="0" borderId="0" xfId="0" applyFont="1" applyNumberFormat="1">
      <alignment vertical="top"/>
    </xf>
    <xf numFmtId="0" fontId="95" fillId="0" borderId="0" xfId="0" applyFont="1" applyNumberFormat="1">
      <alignment vertical="top"/>
    </xf>
    <xf numFmtId="49" fontId="23" fillId="0" borderId="40" xfId="0" applyFont="1" applyBorder="1" applyNumberFormat="1">
      <alignment horizontal="center" vertical="center" wrapText="1"/>
    </xf>
    <xf numFmtId="0" fontId="57" fillId="0" borderId="0" xfId="0" applyFont="1" applyNumberFormat="1">
      <alignment horizontal="center" vertical="center" wrapText="1"/>
    </xf>
    <xf numFmtId="0" fontId="23" fillId="0" borderId="27" xfId="0" applyFont="1" applyBorder="1" applyNumberFormat="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pplyNumberFormat="1">
      <alignment horizontal="left" vertical="center" wrapText="1"/>
    </xf>
    <xf numFmtId="49" fontId="58" fillId="0" borderId="26" xfId="0" applyFont="1" applyBorder="1" applyNumberFormat="1">
      <alignment vertical="top"/>
    </xf>
    <xf numFmtId="0" fontId="58" fillId="0" borderId="0" xfId="0" applyFont="1" applyNumberFormat="1">
      <alignment horizontal="center" vertical="center" wrapText="1"/>
    </xf>
    <xf numFmtId="0" fontId="58" fillId="0" borderId="0" xfId="0" applyFont="1" applyNumberFormat="1">
      <alignment horizontal="center" vertical="center" wrapText="1"/>
    </xf>
    <xf numFmtId="0" fontId="58" fillId="0" borderId="16" xfId="0" applyFont="1" applyBorder="1" applyNumberFormat="1">
      <alignment horizontal="left" vertical="center" wrapText="1"/>
    </xf>
    <xf numFmtId="0" fontId="58" fillId="0" borderId="16" xfId="0" applyFont="1" applyBorder="1" applyNumberFormat="1">
      <alignment vertical="center" wrapText="1"/>
    </xf>
    <xf numFmtId="0" fontId="58" fillId="0" borderId="26" xfId="0" applyFont="1" applyBorder="1" applyNumberFormat="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pplyNumberFormat="1">
      <alignment horizontal="left" vertical="center" indent="1"/>
    </xf>
    <xf numFmtId="0" fontId="57" fillId="0" borderId="0" xfId="0" applyFont="1" applyNumberFormat="1">
      <alignment horizontal="center" vertical="top"/>
    </xf>
    <xf numFmtId="49" fontId="23" fillId="0" borderId="27" xfId="0" applyFont="1" applyBorder="1" applyNumberFormat="1">
      <alignment horizontal="center" vertical="center" wrapText="1"/>
    </xf>
    <xf numFmtId="0" fontId="23" fillId="0" borderId="16" xfId="0" applyFont="1" applyBorder="1" applyNumberFormat="1">
      <alignment horizontal="left" vertical="center" wrapText="1"/>
    </xf>
    <xf numFmtId="0" fontId="58" fillId="0" borderId="0" xfId="0" applyFont="1" applyNumberFormat="1">
      <alignment horizontal="center" vertical="center" wrapText="1"/>
    </xf>
    <xf numFmtId="0" fontId="58" fillId="0" borderId="27" xfId="0" applyFont="1" applyBorder="1" applyNumberFormat="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pplyNumberFormat="1">
      <alignment horizontal="left" vertical="center" wrapText="1"/>
    </xf>
    <xf numFmtId="0" fontId="58" fillId="0" borderId="0" xfId="0" applyFont="1" applyNumberForma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pplyNumberFormat="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pplyNumberFormat="1">
      <alignment vertical="center" wrapText="1"/>
    </xf>
    <xf numFmtId="49" fontId="0" fillId="0" borderId="17" xfId="0" applyFont="1" applyBorder="1" applyNumberFormat="1">
      <alignment horizontal="center" vertical="center" wrapText="1"/>
    </xf>
    <xf numFmtId="0" fontId="0" fillId="0" borderId="16" xfId="0" applyFont="1" applyBorder="1" applyNumberFormat="1">
      <alignment horizontal="left" vertical="center" wrapText="1"/>
    </xf>
    <xf numFmtId="49" fontId="0" fillId="0" borderId="16" xfId="0" applyFont="1" applyBorder="1" applyNumberFormat="1">
      <alignment horizontal="center" vertical="center"/>
    </xf>
    <xf numFmtId="0" fontId="0" fillId="0" borderId="16" xfId="0" applyFont="1" applyBorder="1" applyNumberFormat="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pplyNumberFormat="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pplyNumberFormat="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pplyNumberFormat="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pplyNumberForma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pplyNumberFormat="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pplyNumberFormat="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pplyNumberFormat="1">
      <alignment horizontal="left" vertical="center"/>
    </xf>
    <xf numFmtId="0" fontId="51" fillId="44" borderId="19" xfId="0" applyFont="1" applyFill="1" applyBorder="1" applyNumberFormat="1">
      <alignment horizontal="left" vertical="center"/>
    </xf>
    <xf numFmtId="0" fontId="51" fillId="44" borderId="17" xfId="0" applyFont="1" applyFill="1" applyBorder="1" applyNumberFormat="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pplyNumberFormat="1">
      <alignment vertical="center"/>
    </xf>
    <xf numFmtId="49" fontId="0" fillId="0" borderId="40" xfId="0" applyFont="1" applyBorder="1" applyNumberFormat="1">
      <alignment horizontal="left" vertical="top"/>
    </xf>
    <xf numFmtId="0" fontId="23" fillId="46" borderId="40" xfId="0" applyFont="1" applyFill="1" applyBorder="1" applyNumberFormat="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pplyNumberFormat="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pplyNumberFormat="1">
      <alignment horizontal="center" vertical="top" wrapText="1"/>
    </xf>
    <xf numFmtId="0" fontId="51" fillId="34" borderId="40" xfId="0" applyFont="1" applyFill="1" applyBorder="1" applyNumberFormat="1">
      <alignment horizontal="left" vertical="center"/>
      <protection locked="0"/>
    </xf>
    <xf numFmtId="0" fontId="51" fillId="45" borderId="40" xfId="0" applyFont="1" applyFill="1" applyBorder="1" applyNumberFormat="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pplyNumberFormat="1">
      <alignment horizontal="left" vertical="center"/>
    </xf>
    <xf numFmtId="0" fontId="58" fillId="0" borderId="19" xfId="0" applyFont="1" applyBorder="1" applyNumberFormat="1">
      <alignment horizontal="left" vertical="center"/>
    </xf>
    <xf numFmtId="0" fontId="51" fillId="44" borderId="34" xfId="0" applyFont="1" applyFill="1" applyBorder="1" applyNumberFormat="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pplyNumberFormat="1">
      <alignment vertical="center"/>
    </xf>
    <xf numFmtId="0" fontId="0" fillId="0" borderId="16" xfId="0" applyFont="1" applyBorder="1" applyNumberFormat="1">
      <alignment horizontal="center" vertical="center"/>
    </xf>
    <xf numFmtId="0" fontId="23" fillId="0" borderId="16" xfId="0" applyFont="1" applyBorder="1" applyNumberFormat="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pplyNumberForma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pplyNumberFormat="1">
      <alignment horizontal="center" vertical="center" wrapText="1"/>
    </xf>
    <xf numFmtId="0" fontId="23" fillId="0" borderId="40" xfId="0" applyFont="1" applyBorder="1" applyNumberFormat="1">
      <alignment horizontal="center" vertical="center" wrapText="1"/>
    </xf>
    <xf numFmtId="49" fontId="23" fillId="0" borderId="40" xfId="0" applyFont="1" applyBorder="1" applyNumberFormat="1">
      <alignment vertical="center" wrapText="1"/>
    </xf>
    <xf numFmtId="0" fontId="23" fillId="0" borderId="28" xfId="0" applyFont="1" applyBorder="1" applyNumberFormat="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pplyNumberFormat="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pplyNumberFormat="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pplyNumberFormat="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pplyNumberFormat="1">
      <alignment horizontal="left" vertical="center" wrapText="1"/>
    </xf>
    <xf numFmtId="0" fontId="51" fillId="0" borderId="27" xfId="0" applyFont="1" applyBorder="1" applyNumberFormat="1">
      <alignment horizontal="left" vertical="center"/>
    </xf>
    <xf numFmtId="0" fontId="51" fillId="44" borderId="18" xfId="0" applyFont="1" applyFill="1" applyBorder="1" applyNumberFormat="1">
      <alignment horizontal="left" vertical="center"/>
    </xf>
    <xf numFmtId="0" fontId="51" fillId="44" borderId="19" xfId="0" applyFont="1" applyFill="1" applyBorder="1" applyNumberFormat="1">
      <alignment horizontal="left" vertical="center"/>
    </xf>
    <xf numFmtId="0" fontId="51" fillId="44" borderId="17" xfId="0" applyFont="1" applyFill="1" applyBorder="1" applyNumberFormat="1">
      <alignment horizontal="left" vertical="center"/>
    </xf>
    <xf numFmtId="49" fontId="23" fillId="0" borderId="40" xfId="0" applyFont="1" applyBorder="1" applyNumberFormat="1">
      <alignment horizontal="center" vertical="center" wrapText="1"/>
    </xf>
    <xf numFmtId="0" fontId="51" fillId="44" borderId="41" xfId="0" applyFont="1" applyFill="1" applyBorder="1" applyNumberFormat="1">
      <alignment horizontal="left" vertical="center"/>
    </xf>
    <xf numFmtId="0" fontId="51" fillId="44" borderId="23" xfId="0" applyFont="1" applyFill="1" applyBorder="1" applyNumberFormat="1">
      <alignment horizontal="left" vertical="center"/>
    </xf>
    <xf numFmtId="0" fontId="51" fillId="44" borderId="24" xfId="0" applyFont="1" applyFill="1" applyBorder="1" applyNumberFormat="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pplyNumberFormat="1">
      <alignment vertical="center"/>
    </xf>
    <xf numFmtId="0" fontId="51" fillId="0" borderId="40" xfId="0" applyFont="1" applyBorder="1" applyNumberFormat="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0" fontId="23" fillId="0" borderId="0" xfId="0" applyFont="1" applyNumberFormat="1">
      <alignment horizontal="left" vertical="center" wrapText="1" indent="2"/>
    </xf>
    <xf numFmtId="0" fontId="50" fillId="38" borderId="0" xfId="0" applyFont="1" applyFill="1" applyNumberFormat="1">
      <alignment vertical="center" wrapText="1"/>
    </xf>
    <xf numFmtId="0" fontId="23" fillId="38" borderId="0" xfId="0" applyFont="1" applyFill="1" applyNumberFormat="1">
      <alignment vertical="center" wrapText="1"/>
    </xf>
    <xf numFmtId="0" fontId="23" fillId="38" borderId="0" xfId="0" applyFont="1" applyFill="1" applyNumberFormat="1">
      <alignment horizontal="right"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49" fontId="23" fillId="0" borderId="0" xfId="0" applyFont="1" applyNumberFormat="1">
      <alignment vertical="center"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23" fillId="38" borderId="0" xfId="0" applyFont="1" applyFill="1" applyNumberFormat="1">
      <alignment horizontal="center" vertical="center" wrapText="1"/>
    </xf>
    <xf numFmtId="0" fontId="23" fillId="38" borderId="0" xfId="0" applyFont="1" applyFill="1" applyNumberFormat="1">
      <alignment horizontal="right" vertical="center"/>
    </xf>
    <xf numFmtId="49" fontId="23" fillId="0" borderId="0" xfId="0" applyFont="1" applyNumberFormat="1">
      <alignment vertical="center" wrapText="1"/>
    </xf>
    <xf numFmtId="0" fontId="23" fillId="38" borderId="0" xfId="0" applyFont="1" applyFill="1" applyNumberFormat="1">
      <alignment vertical="center" wrapText="1"/>
    </xf>
    <xf numFmtId="0" fontId="23" fillId="38" borderId="0" xfId="0" applyFont="1" applyFill="1" applyNumberFormat="1">
      <alignment horizontal="center" vertical="center" wrapText="1"/>
    </xf>
    <xf numFmtId="0" fontId="23" fillId="38" borderId="16" xfId="0" applyFont="1" applyFill="1" applyBorder="1" applyNumberFormat="1">
      <alignment horizontal="center" vertical="center"/>
    </xf>
    <xf numFmtId="0" fontId="23" fillId="38" borderId="16" xfId="0" applyFont="1" applyFill="1" applyBorder="1" applyNumberFormat="1">
      <alignment horizontal="center" vertical="center" wrapText="1"/>
    </xf>
    <xf numFmtId="0" fontId="0" fillId="0" borderId="16" xfId="0" applyFont="1" applyBorder="1" applyNumberFormat="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pplyNumberFormat="1">
      <alignment vertical="center" wrapText="1"/>
    </xf>
    <xf numFmtId="0" fontId="0" fillId="0" borderId="16" xfId="0" applyFont="1" applyBorder="1" applyNumberFormat="1">
      <alignment horizontal="center" vertical="center" wrapText="1"/>
    </xf>
    <xf numFmtId="0" fontId="23" fillId="0" borderId="16" xfId="0" applyFont="1" applyBorder="1" applyNumberFormat="1">
      <alignment vertical="center" wrapText="1"/>
    </xf>
    <xf numFmtId="0" fontId="0" fillId="0" borderId="16" xfId="0" applyFont="1" applyBorder="1" applyNumberFormat="1">
      <alignment horizontal="left" vertical="center" wrapText="1" indent="1"/>
    </xf>
    <xf numFmtId="0" fontId="134" fillId="45" borderId="16" xfId="0" applyFont="1" applyFill="1" applyBorder="1" applyNumberFormat="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pplyNumberFormat="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pplyNumberFormat="1">
      <alignment vertical="center" wrapText="1"/>
    </xf>
    <xf numFmtId="49" fontId="30" fillId="45" borderId="18" xfId="0" applyFont="1" applyFill="1" applyBorder="1" applyNumberFormat="1">
      <alignment horizontal="left" vertical="center" wrapText="1"/>
      <protection locked="0"/>
    </xf>
    <xf numFmtId="0" fontId="23" fillId="0" borderId="0" xfId="0" applyFont="1" applyNumberFormat="1">
      <alignment vertical="center" wrapText="1"/>
    </xf>
    <xf numFmtId="0" fontId="57" fillId="0" borderId="0" xfId="0" applyFont="1" applyNumberFormat="1">
      <alignment vertical="center" wrapText="1"/>
    </xf>
    <xf numFmtId="0" fontId="50" fillId="38" borderId="0" xfId="0" applyFont="1" applyFill="1" applyNumberFormat="1">
      <alignment vertical="center" wrapText="1"/>
    </xf>
    <xf numFmtId="49" fontId="55" fillId="44" borderId="19" xfId="0" applyFont="1" applyFill="1" applyBorder="1" applyNumberFormat="1">
      <alignment horizontal="center" vertical="top"/>
    </xf>
    <xf numFmtId="0" fontId="58" fillId="0" borderId="0" xfId="0" applyFont="1" applyNumberFormat="1">
      <alignment vertical="center"/>
    </xf>
    <xf numFmtId="0" fontId="0" fillId="0" borderId="16" xfId="0" applyFont="1" applyBorder="1" applyNumberFormat="1">
      <alignment horizontal="left" vertical="center" wrapText="1" indent="1"/>
    </xf>
    <xf numFmtId="0" fontId="0" fillId="38" borderId="16" xfId="0" applyFont="1" applyFill="1" applyBorder="1" applyNumberFormat="1">
      <alignment horizontal="center" vertical="center" wrapText="1"/>
    </xf>
    <xf numFmtId="0" fontId="0" fillId="0" borderId="16" xfId="0" applyFont="1" applyBorder="1" applyNumberFormat="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pplyNumberFormat="1">
      <alignment horizontal="left" vertical="center" wrapText="1" indent="2"/>
    </xf>
    <xf numFmtId="49" fontId="79" fillId="0" borderId="18" xfId="0" applyFont="1" applyBorder="1" applyNumberFormat="1">
      <alignment horizontal="left" vertical="center" wrapText="1"/>
    </xf>
    <xf numFmtId="0" fontId="23" fillId="0" borderId="21" xfId="0" applyFont="1" applyBorder="1" applyNumberFormat="1">
      <alignment vertical="top" wrapText="1"/>
    </xf>
    <xf numFmtId="0" fontId="80" fillId="0" borderId="0" xfId="0" applyFont="1" applyNumberFormat="1">
      <alignment vertical="center" wrapText="1"/>
    </xf>
    <xf numFmtId="49" fontId="51" fillId="44" borderId="19" xfId="0" applyFont="1" applyFill="1" applyBorder="1" applyNumberFormat="1">
      <alignment horizontal="left" vertical="center" indent="1"/>
    </xf>
    <xf numFmtId="0" fontId="23" fillId="0" borderId="27" xfId="0" applyFont="1" applyBorder="1" applyNumberFormat="1">
      <alignment vertical="top" wrapText="1"/>
    </xf>
    <xf numFmtId="49" fontId="0" fillId="38" borderId="16" xfId="0" applyFont="1" applyFill="1" applyBorder="1" applyNumberFormat="1">
      <alignment horizontal="center" vertical="center" wrapText="1"/>
    </xf>
    <xf numFmtId="0" fontId="0" fillId="0" borderId="16" xfId="0" applyFont="1" applyBorder="1" applyNumberFormat="1">
      <alignment horizontal="center" vertical="center" wrapText="1"/>
    </xf>
    <xf numFmtId="0" fontId="23" fillId="0" borderId="16" xfId="0" applyFont="1" applyBorder="1" applyNumberFormat="1">
      <alignment vertical="center" wrapText="1"/>
    </xf>
    <xf numFmtId="0" fontId="0" fillId="0" borderId="16" xfId="0" applyFont="1" applyBorder="1" applyNumberFormat="1">
      <alignment horizontal="left" vertical="center" wrapText="1" indent="1"/>
    </xf>
    <xf numFmtId="0" fontId="23" fillId="0" borderId="0" xfId="0" applyFont="1" applyNumberFormat="1">
      <alignment vertical="top"/>
    </xf>
    <xf numFmtId="0" fontId="23" fillId="0" borderId="0" xfId="0" applyFont="1" applyNumberFormat="1">
      <alignment vertical="top" wrapText="1"/>
    </xf>
    <xf numFmtId="0" fontId="23" fillId="0" borderId="0" xfId="0" applyFont="1" applyNumberFormat="1">
      <alignment vertical="center"/>
    </xf>
    <xf numFmtId="49" fontId="23" fillId="0" borderId="0" xfId="0" applyFont="1" applyNumberFormat="1">
      <alignment vertical="center" wrapText="1"/>
    </xf>
    <xf numFmtId="0" fontId="50" fillId="0" borderId="0" xfId="0" applyFont="1" applyNumberFormat="1">
      <alignment vertical="center" wrapText="1"/>
    </xf>
    <xf numFmtId="0" fontId="23" fillId="0" borderId="0" xfId="0" applyFont="1" applyNumberFormat="1">
      <alignment vertical="center" wrapText="1"/>
    </xf>
    <xf numFmtId="0" fontId="57" fillId="0" borderId="0" xfId="0" applyFont="1" applyNumberFormat="1">
      <alignment horizontal="left" vertical="center" indent="1"/>
    </xf>
    <xf numFmtId="0" fontId="57" fillId="0" borderId="16" xfId="0" applyFont="1" applyBorder="1" applyNumberFormat="1">
      <alignment horizontal="center" vertical="center"/>
    </xf>
    <xf numFmtId="0" fontId="57" fillId="0" borderId="0" xfId="0" applyFont="1" applyNumberFormat="1">
      <alignment horizontal="center" vertical="center"/>
    </xf>
    <xf numFmtId="0" fontId="57"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pplyNumberFormat="1">
      <alignment horizontal="left" vertical="center" wrapText="1"/>
    </xf>
    <xf numFmtId="0" fontId="23" fillId="0" borderId="16" xfId="0" applyFont="1" applyBorder="1" applyNumberFormat="1">
      <alignment vertical="center" wrapText="1"/>
    </xf>
    <xf numFmtId="0" fontId="23" fillId="0" borderId="16" xfId="0" applyFont="1" applyBorder="1" applyNumberFormat="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pplyNumberFormat="1">
      <alignment vertical="top" wrapText="1"/>
    </xf>
    <xf numFmtId="0" fontId="57" fillId="0" borderId="18" xfId="0" applyFont="1" applyBorder="1" applyNumberFormat="1">
      <alignment horizontal="center" vertical="center"/>
    </xf>
    <xf numFmtId="0" fontId="23" fillId="0" borderId="0" xfId="0" applyFont="1" applyNumberFormat="1">
      <alignment horizontal="center" vertical="center" wrapText="1"/>
    </xf>
    <xf numFmtId="0" fontId="53" fillId="38" borderId="0" xfId="0" applyFont="1" applyFill="1" applyNumberFormat="1">
      <alignment horizontal="center" vertical="center" wrapText="1"/>
    </xf>
    <xf numFmtId="0" fontId="23" fillId="0" borderId="28" xfId="0" applyFont="1" applyBorder="1" applyNumberFormat="1">
      <alignment vertical="center" wrapText="1"/>
    </xf>
    <xf numFmtId="0" fontId="23" fillId="38" borderId="16" xfId="0" applyFont="1" applyFill="1" applyBorder="1" applyNumberFormat="1">
      <alignment horizontal="left" vertical="center" wrapText="1" indent="1"/>
    </xf>
    <xf numFmtId="0" fontId="48" fillId="0" borderId="0" xfId="0" applyFont="1" applyNumberFormat="1">
      <alignment vertical="center" wrapText="1"/>
    </xf>
    <xf numFmtId="0" fontId="23" fillId="38" borderId="16" xfId="0" applyFont="1" applyFill="1" applyBorder="1" applyNumberFormat="1">
      <alignment horizontal="left" vertical="center" wrapText="1" indent="2"/>
    </xf>
    <xf numFmtId="0" fontId="23" fillId="38" borderId="16" xfId="0" applyFont="1" applyFill="1" applyBorder="1" applyNumberFormat="1">
      <alignment horizontal="left" vertical="center" wrapText="1" indent="3"/>
    </xf>
    <xf numFmtId="0" fontId="57" fillId="0" borderId="16" xfId="0" applyFont="1" applyBorder="1" applyNumberFormat="1">
      <alignment horizontal="center" vertical="center" wrapText="1"/>
    </xf>
    <xf numFmtId="0" fontId="57" fillId="0" borderId="0" xfId="0" applyFont="1" applyNumberFormat="1">
      <alignment vertical="center" wrapText="1"/>
    </xf>
    <xf numFmtId="0" fontId="58" fillId="0" borderId="0" xfId="0" applyFont="1" applyNumberFormat="1">
      <alignment horizontal="center" vertical="center" wrapText="1"/>
    </xf>
    <xf numFmtId="0" fontId="58" fillId="0" borderId="0" xfId="0" applyFont="1" applyNumberFormat="1">
      <alignment horizontal="center" vertical="center" wrapText="1"/>
    </xf>
    <xf numFmtId="0" fontId="58" fillId="0" borderId="28" xfId="0" applyFont="1" applyBorder="1" applyNumberFormat="1">
      <alignment horizontal="center" vertical="center" wrapText="1"/>
    </xf>
    <xf numFmtId="0" fontId="23" fillId="38" borderId="16" xfId="0" applyFont="1" applyFill="1" applyBorder="1" applyNumberFormat="1">
      <alignment horizontal="left" vertical="center" wrapText="1" indent="4"/>
    </xf>
    <xf numFmtId="0" fontId="23" fillId="46" borderId="18" xfId="0" applyFont="1" applyFill="1" applyBorder="1" applyNumberFormat="1">
      <alignment horizontal="left" vertical="center" wrapText="1"/>
    </xf>
    <xf numFmtId="0" fontId="23" fillId="46" borderId="19" xfId="0" applyFont="1" applyFill="1" applyBorder="1" applyNumberFormat="1">
      <alignment horizontal="left" vertical="center" wrapText="1"/>
    </xf>
    <xf numFmtId="0" fontId="23" fillId="46" borderId="17" xfId="0" applyFont="1" applyFill="1" applyBorder="1" applyNumberFormat="1">
      <alignment horizontal="left" vertical="center" wrapText="1"/>
    </xf>
    <xf numFmtId="0" fontId="57" fillId="0" borderId="18" xfId="0" applyFont="1" applyBorder="1" applyNumberFormat="1">
      <alignment horizontal="center" vertical="center" wrapText="1"/>
    </xf>
    <xf numFmtId="0" fontId="57" fillId="0" borderId="16" xfId="0" applyFont="1" applyBorder="1" applyNumberFormat="1">
      <alignment horizontal="center" vertical="center" wrapText="1"/>
    </xf>
    <xf numFmtId="0" fontId="57" fillId="0" borderId="0" xfId="0" applyFont="1" applyNumberFormat="1">
      <alignment vertical="center" wrapText="1"/>
    </xf>
    <xf numFmtId="0" fontId="58" fillId="0" borderId="28" xfId="0" applyFont="1" applyBorder="1" applyNumberFormat="1">
      <alignment vertical="center" wrapText="1"/>
    </xf>
    <xf numFmtId="0" fontId="23" fillId="38" borderId="16" xfId="0" applyFont="1" applyFill="1" applyBorder="1" applyNumberFormat="1">
      <alignment horizontal="left" vertical="center" wrapText="1" indent="5"/>
    </xf>
    <xf numFmtId="0" fontId="57" fillId="0" borderId="18" xfId="0" applyFont="1" applyBorder="1" applyNumberFormat="1">
      <alignment horizontal="center" vertical="center" wrapText="1"/>
    </xf>
    <xf numFmtId="0" fontId="23" fillId="46" borderId="16" xfId="0" applyFont="1" applyFill="1" applyBorder="1" applyNumberFormat="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165" fontId="131" fillId="34" borderId="16" xfId="0" applyFont="1" applyFill="1" applyBorder="1" applyNumberFormat="1">
      <alignment horizontal="right" vertical="center" wrapText="1"/>
      <protection locked="0"/>
    </xf>
    <xf numFmtId="170" fontId="0" fillId="45" borderId="16" xfId="0" applyFont="1" applyFill="1" applyBorder="1" applyNumberFormat="1">
      <alignment horizontal="center" vertical="center" wrapText="1"/>
      <protection locked="0"/>
    </xf>
    <xf numFmtId="0" fontId="56" fillId="0" borderId="21" xfId="0" applyFont="1" applyBorder="1" applyNumberFormat="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pplyNumberFormat="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pplyNumberFormat="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pplyNumberFormat="1">
      <alignment vertical="center" wrapText="1"/>
    </xf>
    <xf numFmtId="0" fontId="58" fillId="0" borderId="0" xfId="0" applyFont="1" applyNumberFormat="1">
      <alignment horizontal="left" vertical="center" indent="1"/>
    </xf>
    <xf numFmtId="0" fontId="58" fillId="0" borderId="0" xfId="0" applyFont="1" applyNumberFormat="1">
      <alignment horizontal="center" vertical="center"/>
    </xf>
    <xf numFmtId="0" fontId="58" fillId="0" borderId="0" xfId="0" applyFont="1" applyNumberForma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165" fontId="132" fillId="0" borderId="16" xfId="0" applyFont="1" applyBorder="1" applyNumberFormat="1">
      <alignment horizontal="right" vertical="center" wrapText="1"/>
    </xf>
    <xf numFmtId="170"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pplyNumberForma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pplyNumberFormat="1">
      <alignment vertical="center" wrapText="1"/>
    </xf>
    <xf numFmtId="0" fontId="57" fillId="0" borderId="0" xfId="0" applyFont="1" applyNumberFormat="1">
      <alignment horizontal="left" vertical="center" wrapText="1"/>
    </xf>
    <xf numFmtId="0" fontId="23" fillId="38" borderId="0" xfId="0" applyFont="1" applyFill="1" applyNumberFormat="1">
      <alignment horizontal="left" vertical="center" wrapText="1"/>
    </xf>
    <xf numFmtId="0" fontId="22" fillId="0" borderId="23" xfId="0" applyFont="1" applyBorder="1" applyNumberFormat="1">
      <alignment horizontal="left" vertical="center" wrapText="1" indent="1"/>
    </xf>
    <xf numFmtId="0" fontId="22" fillId="0" borderId="0" xfId="0" applyFont="1" applyNumberFormat="1">
      <alignment vertical="center" wrapText="1"/>
    </xf>
    <xf numFmtId="0" fontId="22" fillId="0" borderId="32" xfId="0" applyFont="1" applyBorder="1" applyNumberFormat="1">
      <alignment horizontal="left" vertical="center" wrapText="1" indent="1"/>
    </xf>
    <xf numFmtId="0" fontId="36" fillId="38" borderId="0" xfId="0" applyFont="1" applyFill="1" applyNumberFormat="1">
      <alignment horizontal="center" vertical="center" wrapText="1"/>
    </xf>
    <xf numFmtId="0" fontId="0" fillId="0" borderId="0" xfId="0" applyFont="1" applyNumberFormat="1">
      <alignment vertical="center"/>
    </xf>
    <xf numFmtId="0" fontId="57" fillId="0" borderId="0" xfId="0" applyFont="1" applyNumberFormat="1">
      <alignment vertical="center"/>
    </xf>
    <xf numFmtId="0" fontId="57" fillId="0" borderId="0" xfId="0" applyFont="1" applyNumberFormat="1">
      <alignment horizontal="center" vertical="center"/>
    </xf>
    <xf numFmtId="0" fontId="0" fillId="38" borderId="16" xfId="0" applyFont="1" applyFill="1" applyBorder="1" applyNumberFormat="1">
      <alignment horizontal="right" vertical="center" wrapText="1" indent="1"/>
    </xf>
    <xf numFmtId="0" fontId="0" fillId="0" borderId="19" xfId="0" applyFont="1" applyBorder="1" applyNumberFormat="1">
      <alignment vertical="center"/>
    </xf>
    <xf numFmtId="0" fontId="23" fillId="42" borderId="16" xfId="0" applyFont="1" applyFill="1" applyBorder="1" applyNumberFormat="1">
      <alignment horizontal="left" vertical="center" wrapText="1" indent="1"/>
    </xf>
    <xf numFmtId="0" fontId="23" fillId="0" borderId="0" xfId="0" applyFont="1" applyNumberFormat="1">
      <alignment vertical="center" wrapText="1"/>
    </xf>
    <xf numFmtId="0" fontId="76" fillId="0" borderId="0" xfId="0" applyFont="1" applyNumberFormat="1">
      <alignment vertical="center"/>
    </xf>
    <xf numFmtId="0" fontId="58" fillId="0" borderId="0" xfId="0" applyFont="1" applyNumberFormat="1">
      <alignment vertical="center"/>
    </xf>
    <xf numFmtId="49" fontId="23" fillId="0" borderId="0" xfId="0" applyFont="1" applyNumberFormat="1">
      <alignment vertical="center" wrapText="1"/>
    </xf>
    <xf numFmtId="0" fontId="23" fillId="0" borderId="0" xfId="0" applyFont="1" applyNumberFormat="1">
      <alignment horizontal="right" vertical="center" wrapText="1"/>
    </xf>
    <xf numFmtId="0" fontId="58" fillId="0" borderId="0" xfId="0" applyFont="1" applyNumberFormat="1">
      <alignment vertical="center" wrapText="1"/>
    </xf>
    <xf numFmtId="0" fontId="23" fillId="38" borderId="32" xfId="0" applyFont="1" applyFill="1" applyBorder="1" applyNumberFormat="1">
      <alignment vertical="center" wrapText="1"/>
    </xf>
    <xf numFmtId="0" fontId="48" fillId="0" borderId="32" xfId="0" applyFont="1" applyBorder="1" applyNumberFormat="1">
      <alignment horizontal="center" vertical="center" wrapText="1"/>
    </xf>
    <xf numFmtId="0" fontId="23" fillId="38" borderId="16" xfId="0" applyFont="1" applyFill="1" applyBorder="1" applyNumberFormat="1">
      <alignment horizontal="left" vertical="center" wrapText="1"/>
    </xf>
    <xf numFmtId="0" fontId="23" fillId="0" borderId="21" xfId="0" applyFont="1" applyBorder="1" applyNumberFormat="1">
      <alignment vertical="center" wrapText="1"/>
    </xf>
    <xf numFmtId="0" fontId="0" fillId="38" borderId="18" xfId="0" applyFont="1" applyFill="1" applyBorder="1" applyNumberFormat="1">
      <alignment horizontal="center" vertical="center" wrapText="1"/>
    </xf>
    <xf numFmtId="0" fontId="0" fillId="38" borderId="19" xfId="0" applyFont="1" applyFill="1" applyBorder="1" applyNumberFormat="1">
      <alignment horizontal="center" vertical="center" wrapText="1"/>
    </xf>
    <xf numFmtId="0" fontId="0" fillId="38" borderId="17" xfId="0" applyFont="1" applyFill="1" applyBorder="1" applyNumberFormat="1">
      <alignment horizontal="center" vertical="center" wrapText="1"/>
    </xf>
    <xf numFmtId="0" fontId="23" fillId="38" borderId="21" xfId="0" applyFont="1" applyFill="1" applyBorder="1" applyNumberFormat="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pplyNumberFormat="1">
      <alignment vertical="center" wrapText="1"/>
    </xf>
    <xf numFmtId="0" fontId="23" fillId="0" borderId="21" xfId="0" applyFont="1" applyBorder="1" applyNumberFormat="1">
      <alignment horizontal="center" vertical="center" wrapText="1"/>
    </xf>
    <xf numFmtId="0" fontId="57" fillId="0" borderId="2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0" fontId="23" fillId="38" borderId="40" xfId="0" applyFont="1" applyFill="1" applyBorder="1" applyNumberFormat="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pplyNumberFormat="1">
      <alignment vertical="center" wrapText="1"/>
    </xf>
    <xf numFmtId="0" fontId="23" fillId="0" borderId="27" xfId="0" applyFont="1" applyBorder="1" applyNumberFormat="1">
      <alignment horizontal="center" vertical="center" wrapText="1"/>
    </xf>
    <xf numFmtId="0" fontId="57" fillId="0" borderId="27"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7" xfId="0" applyFont="1" applyBorder="1" applyNumberFormat="1">
      <alignment horizontal="center" vertical="center" wrapText="1"/>
    </xf>
    <xf numFmtId="0" fontId="23" fillId="38" borderId="27" xfId="0" applyFont="1" applyFill="1" applyBorder="1" applyNumberFormat="1">
      <alignment horizontal="center" vertical="center" wrapText="1"/>
    </xf>
    <xf numFmtId="0" fontId="0" fillId="0" borderId="16" xfId="0" applyFont="1" applyBorder="1" applyNumberFormat="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pplyNumberFormat="1">
      <alignment vertical="center" wrapText="1"/>
    </xf>
    <xf numFmtId="0" fontId="116" fillId="38" borderId="0" xfId="0" applyFont="1" applyFill="1" applyNumberFormat="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170"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pplyNumberFormat="1">
      <alignment horizontal="center" vertical="center"/>
    </xf>
    <xf numFmtId="49" fontId="58" fillId="0" borderId="0" xfId="0" applyFont="1" applyNumberFormat="1">
      <alignment vertical="top"/>
    </xf>
    <xf numFmtId="49" fontId="116" fillId="0" borderId="0" xfId="0" applyFont="1" applyNumberFormat="1">
      <alignment vertical="top"/>
    </xf>
    <xf numFmtId="0" fontId="23" fillId="0" borderId="0" xfId="0" applyFont="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50" fillId="0" borderId="0" xfId="0" applyFont="1" applyNumberFormat="1">
      <alignment vertical="center" wrapText="1"/>
    </xf>
    <xf numFmtId="0" fontId="23" fillId="0" borderId="0" xfId="0" applyFont="1" applyNumberFormat="1">
      <alignment horizontal="left"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23" fillId="0" borderId="0" xfId="0" applyFont="1" applyNumberFormat="1">
      <alignment horizontal="right"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165" fontId="131" fillId="0" borderId="16" xfId="0" applyFont="1" applyBorder="1" applyNumberFormat="1">
      <alignment horizontal="right" vertical="center" wrapText="1"/>
    </xf>
    <xf numFmtId="0" fontId="0" fillId="38" borderId="23" xfId="0" applyFont="1" applyFill="1" applyBorder="1" applyNumberFormat="1">
      <alignment horizontal="center" vertical="center" wrapText="1"/>
    </xf>
    <xf numFmtId="0" fontId="58" fillId="0" borderId="21" xfId="0" applyFont="1" applyBorder="1" applyNumberFormat="1">
      <alignment horizontal="center" vertical="center" wrapText="1"/>
    </xf>
    <xf numFmtId="0" fontId="23" fillId="0" borderId="41" xfId="0" applyFont="1" applyBorder="1" applyNumberFormat="1">
      <alignment horizontal="center" vertical="center" wrapText="1"/>
    </xf>
    <xf numFmtId="0" fontId="58" fillId="0" borderId="16" xfId="0" applyFont="1" applyBorder="1" applyNumberFormat="1">
      <alignment vertical="center" wrapText="1"/>
    </xf>
    <xf numFmtId="0" fontId="58" fillId="0" borderId="27" xfId="0" applyFont="1" applyBorder="1" applyNumberFormat="1">
      <alignment horizontal="center" vertical="center" wrapText="1"/>
    </xf>
    <xf numFmtId="0" fontId="23" fillId="0" borderId="31" xfId="0" applyFont="1" applyBorder="1" applyNumberFormat="1">
      <alignment horizontal="center" vertical="center" wrapText="1"/>
    </xf>
    <xf numFmtId="0" fontId="58" fillId="0" borderId="16" xfId="0" applyFont="1" applyBorder="1" applyNumberFormat="1">
      <alignment horizontal="center" vertical="center" wrapText="1"/>
    </xf>
    <xf numFmtId="0" fontId="0" fillId="0" borderId="17" xfId="0" applyFont="1" applyBorder="1" applyNumberFormat="1">
      <alignment horizontal="center" vertical="center" wrapText="1"/>
    </xf>
    <xf numFmtId="0" fontId="88" fillId="38" borderId="0" xfId="0" applyFont="1" applyFill="1" applyNumberFormat="1">
      <alignment horizontal="center" vertical="center" wrapText="1"/>
    </xf>
    <xf numFmtId="0" fontId="58" fillId="0" borderId="16" xfId="0" applyFont="1" applyBorder="1" applyNumberFormat="1">
      <alignment horizontal="left" vertical="center" wrapText="1" indent="4"/>
    </xf>
    <xf numFmtId="0" fontId="58" fillId="0" borderId="16" xfId="0" applyFont="1" applyBorder="1" applyNumberFormat="1">
      <alignment horizontal="left" vertical="center" wrapText="1" indent="6"/>
    </xf>
    <xf numFmtId="0" fontId="58" fillId="0" borderId="18" xfId="0" applyFont="1" applyBorder="1" applyNumberFormat="1">
      <alignment horizontal="left" vertical="center" wrapText="1"/>
    </xf>
    <xf numFmtId="0" fontId="58" fillId="0" borderId="19" xfId="0" applyFont="1" applyBorder="1" applyNumberFormat="1">
      <alignment horizontal="left" vertical="center" wrapText="1"/>
    </xf>
    <xf numFmtId="0" fontId="58" fillId="0" borderId="17" xfId="0" applyFont="1" applyBorder="1" applyNumberFormat="1">
      <alignment horizontal="left" vertical="center" wrapText="1"/>
    </xf>
    <xf numFmtId="0" fontId="58" fillId="0" borderId="16" xfId="0" applyFont="1" applyBorder="1" applyNumberFormat="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pplyNumberFormat="1">
      <alignment horizontal="left" vertical="top" wrapText="1"/>
    </xf>
    <xf numFmtId="0" fontId="23" fillId="0" borderId="16" xfId="0" applyFont="1" applyBorder="1" applyNumberFormat="1">
      <alignment horizontal="center" vertical="center"/>
    </xf>
    <xf numFmtId="0" fontId="23" fillId="0" borderId="0" xfId="0" applyFont="1" applyNumberFormat="1">
      <alignment horizontal="center" vertical="center"/>
    </xf>
    <xf numFmtId="0" fontId="23" fillId="0" borderId="0" xfId="0" applyFont="1" applyNumberFormat="1">
      <alignment horizontal="left" vertical="center" wrapText="1"/>
    </xf>
    <xf numFmtId="0" fontId="23" fillId="0" borderId="18" xfId="0" applyFont="1" applyBorder="1" applyNumberFormat="1">
      <alignment horizontal="center" vertical="center"/>
    </xf>
    <xf numFmtId="0" fontId="23" fillId="0" borderId="16" xfId="0" applyFont="1" applyBorder="1" applyNumberFormat="1">
      <alignment horizontal="center" vertical="center" wrapText="1"/>
    </xf>
    <xf numFmtId="0" fontId="23" fillId="46" borderId="23" xfId="0" applyFont="1" applyFill="1" applyBorder="1" applyNumberFormat="1">
      <alignment horizontal="left" vertical="center" wrapText="1"/>
    </xf>
    <xf numFmtId="0" fontId="23" fillId="46" borderId="24" xfId="0" applyFont="1" applyFill="1" applyBorder="1" applyNumberFormat="1">
      <alignment horizontal="left" vertical="center" wrapText="1"/>
    </xf>
    <xf numFmtId="0" fontId="23" fillId="0" borderId="18" xfId="0" applyFont="1" applyBorder="1" applyNumberFormat="1">
      <alignment horizontal="center" vertical="center" wrapText="1"/>
    </xf>
    <xf numFmtId="0" fontId="23" fillId="0" borderId="0" xfId="0" applyFont="1" applyNumberFormat="1">
      <alignment horizontal="center" vertical="center" wrapText="1"/>
    </xf>
    <xf numFmtId="165"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pplyNumberFormat="1">
      <alignment vertical="top" wrapText="1"/>
    </xf>
    <xf numFmtId="0" fontId="23" fillId="34" borderId="16" xfId="0" applyFont="1" applyFill="1" applyBorder="1" applyNumberFormat="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pplyNumberFormat="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pplyNumberFormat="1">
      <alignment horizontal="left" vertical="center" indent="1"/>
    </xf>
    <xf numFmtId="0" fontId="81" fillId="0" borderId="0" xfId="0" applyFont="1" applyNumberFormat="1">
      <alignment horizontal="center" vertical="center"/>
    </xf>
    <xf numFmtId="0" fontId="81" fillId="0" borderId="0" xfId="0" applyFont="1" applyNumberFormat="1">
      <alignment horizontal="left" vertical="center" wrapText="1"/>
    </xf>
    <xf numFmtId="0" fontId="81" fillId="0" borderId="0" xfId="0" applyFont="1" applyNumberFormat="1">
      <alignment vertical="center" wrapText="1"/>
    </xf>
    <xf numFmtId="49" fontId="81" fillId="0" borderId="0" xfId="0" applyFont="1" applyNumberFormat="1">
      <alignment horizontal="left" vertical="center"/>
    </xf>
    <xf numFmtId="0" fontId="23" fillId="0" borderId="0" xfId="0" applyFont="1" applyNumberFormat="1">
      <alignment horizontal="center" vertical="center" wrapText="1"/>
    </xf>
    <xf numFmtId="49" fontId="23" fillId="0" borderId="16" xfId="0" applyFont="1" applyBorder="1" applyNumberFormat="1">
      <alignment vertical="center" wrapText="1"/>
    </xf>
    <xf numFmtId="0" fontId="23" fillId="0" borderId="0" xfId="0" applyFont="1" applyNumberFormat="1">
      <alignment vertical="center"/>
    </xf>
    <xf numFmtId="0" fontId="23" fillId="0" borderId="0" xfId="0" applyFont="1" applyNumberFormat="1">
      <alignment horizontal="center" vertical="center"/>
    </xf>
    <xf numFmtId="0" fontId="23" fillId="0" borderId="16"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23"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4" xfId="0" applyFont="1" applyBorder="1" applyNumberFormat="1">
      <alignment horizontal="center" vertical="center" wrapText="1"/>
    </xf>
    <xf numFmtId="0" fontId="0" fillId="0" borderId="40"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41"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34" xfId="0" applyFont="1" applyBorder="1" applyNumberFormat="1">
      <alignment horizontal="center" vertical="center" wrapText="1"/>
    </xf>
    <xf numFmtId="0" fontId="23" fillId="0" borderId="16" xfId="0" applyFont="1" applyBorder="1" applyNumberFormat="1">
      <alignment horizontal="center" vertical="center"/>
    </xf>
    <xf numFmtId="0" fontId="81" fillId="0" borderId="0" xfId="0" applyFont="1" applyNumberFormat="1">
      <alignment horizontal="left" vertical="center" indent="1"/>
    </xf>
    <xf numFmtId="0" fontId="23" fillId="0" borderId="18" xfId="0" applyFont="1" applyBorder="1" applyNumberFormat="1">
      <alignment horizontal="center" vertical="center"/>
    </xf>
    <xf numFmtId="0" fontId="81" fillId="0" borderId="0" xfId="0" applyFont="1" applyNumberFormat="1">
      <alignment horizontal="center" vertical="center"/>
    </xf>
    <xf numFmtId="49" fontId="57" fillId="0" borderId="0" xfId="0" applyFont="1" applyNumberFormat="1">
      <alignment vertical="center" wrapText="1"/>
    </xf>
    <xf numFmtId="0" fontId="57" fillId="0" borderId="0" xfId="0" applyFont="1" applyNumberFormat="1">
      <alignment horizontal="center" vertical="center" wrapText="1"/>
    </xf>
    <xf numFmtId="0" fontId="64" fillId="38" borderId="0" xfId="0" applyFont="1" applyFill="1" applyNumberFormat="1">
      <alignment horizontal="center" vertical="center" wrapText="1"/>
    </xf>
    <xf numFmtId="0" fontId="64" fillId="0" borderId="0" xfId="0" applyFont="1" applyNumberFormat="1">
      <alignment vertical="center" wrapText="1"/>
    </xf>
    <xf numFmtId="0" fontId="58" fillId="0" borderId="16" xfId="0" applyFont="1" applyBorder="1" applyNumberFormat="1">
      <alignment horizontal="left" vertical="center" wrapText="1" indent="5"/>
    </xf>
    <xf numFmtId="0" fontId="58" fillId="0" borderId="28" xfId="0" applyFont="1" applyBorder="1" applyNumberFormat="1">
      <alignment horizontal="center" vertical="top" wrapText="1"/>
    </xf>
    <xf numFmtId="0" fontId="23" fillId="38" borderId="21" xfId="0" applyFont="1" applyFill="1" applyBorder="1" applyNumberFormat="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pplyNumberFormat="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pplyNumberFormat="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pplyNumberFormat="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pplyNumberFormat="1">
      <alignment horizontal="left" vertical="center" wrapText="1"/>
    </xf>
    <xf numFmtId="49" fontId="23" fillId="45" borderId="40" xfId="0" applyFont="1" applyFill="1" applyBorder="1" applyNumberFormat="1">
      <alignment horizontal="left" vertical="center" wrapText="1" indent="6"/>
      <protection locked="0"/>
    </xf>
    <xf numFmtId="165"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165"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pplyNumberFormat="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pplyNumberForma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pplyNumberFormat="1">
      <alignment horizontal="left" vertical="center" wrapText="1" indent="4"/>
    </xf>
    <xf numFmtId="0" fontId="58" fillId="0" borderId="28" xfId="0" applyFont="1" applyBorder="1" applyNumberFormat="1">
      <alignment horizontal="left" vertical="center" wrapText="1" indent="1"/>
    </xf>
    <xf numFmtId="4" fontId="133" fillId="0" borderId="16" xfId="0" applyFont="1" applyBorder="1" applyNumberFormat="1">
      <alignment horizontal="right" vertical="center" wrapText="1"/>
    </xf>
    <xf numFmtId="165" fontId="133" fillId="0" borderId="16" xfId="0" applyFont="1" applyBorder="1" applyNumberFormat="1">
      <alignment horizontal="right" vertical="center" wrapText="1"/>
    </xf>
    <xf numFmtId="170"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pplyNumberFormat="1">
      <alignment horizontal="left" vertical="center"/>
    </xf>
    <xf numFmtId="49" fontId="57" fillId="0" borderId="0" xfId="0" applyFont="1" applyNumberFormat="1">
      <alignment horizontal="left" vertical="center"/>
    </xf>
    <xf numFmtId="0" fontId="57" fillId="0" borderId="0" xfId="0" applyFont="1" applyNumberFormat="1">
      <alignment horizontal="left" vertical="center"/>
    </xf>
    <xf numFmtId="0" fontId="77" fillId="0" borderId="0" xfId="0" applyFont="1" applyNumberFormat="1">
      <alignment horizontal="left" vertical="center"/>
    </xf>
    <xf numFmtId="0" fontId="58" fillId="0" borderId="0" xfId="0" applyFont="1" applyNumberFormat="1">
      <alignment horizontal="left" vertical="center"/>
    </xf>
    <xf numFmtId="0" fontId="77" fillId="38" borderId="0" xfId="0" applyFont="1" applyFill="1" applyNumberFormat="1">
      <alignment vertical="center" wrapText="1"/>
    </xf>
    <xf numFmtId="0" fontId="0" fillId="38" borderId="41" xfId="0" applyFont="1" applyFill="1" applyBorder="1" applyNumberFormat="1">
      <alignment horizontal="center" vertical="center" wrapText="1"/>
    </xf>
    <xf numFmtId="0" fontId="0" fillId="38" borderId="24" xfId="0" applyFont="1" applyFill="1" applyBorder="1" applyNumberFormat="1">
      <alignment horizontal="center" vertical="center" wrapText="1"/>
    </xf>
    <xf numFmtId="0" fontId="0" fillId="38" borderId="26" xfId="0" applyFont="1" applyFill="1" applyBorder="1" applyNumberFormat="1">
      <alignment horizontal="center" vertical="center" wrapText="1"/>
    </xf>
    <xf numFmtId="0" fontId="0" fillId="38" borderId="0" xfId="0" applyFont="1" applyFill="1" applyNumberFormat="1">
      <alignment horizontal="center" vertical="center" wrapText="1"/>
    </xf>
    <xf numFmtId="0" fontId="0" fillId="38" borderId="28"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0" fillId="38" borderId="31" xfId="0" applyFont="1" applyFill="1" applyBorder="1" applyNumberFormat="1">
      <alignment horizontal="center" vertical="center" wrapText="1"/>
    </xf>
    <xf numFmtId="0" fontId="0" fillId="38" borderId="32" xfId="0" applyFont="1" applyFill="1" applyBorder="1" applyNumberFormat="1">
      <alignment horizontal="center" vertical="center" wrapText="1"/>
    </xf>
    <xf numFmtId="0" fontId="0" fillId="38" borderId="34" xfId="0" applyFont="1" applyFill="1" applyBorder="1" applyNumberFormat="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pplyNumberFormat="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pplyNumberFormat="1">
      <alignment horizontal="left" vertical="top" wrapText="1"/>
    </xf>
    <xf numFmtId="0" fontId="0" fillId="0" borderId="0" xfId="0" applyFont="1" applyNumberFormat="1">
      <alignment horizontal="left" vertical="center"/>
    </xf>
    <xf numFmtId="0" fontId="0" fillId="38" borderId="16" xfId="0" applyFont="1" applyFill="1" applyBorder="1" applyNumberFormat="1">
      <alignment horizontal="right" vertical="center" wrapText="1" indent="1"/>
    </xf>
    <xf numFmtId="0" fontId="0" fillId="0" borderId="18" xfId="0" applyFont="1" applyBorder="1" applyNumberFormat="1">
      <alignment vertical="center"/>
    </xf>
    <xf numFmtId="0" fontId="23" fillId="0" borderId="0" xfId="0" applyFont="1" applyNumberFormat="1">
      <alignment horizontal="left" vertical="center" wrapText="1"/>
    </xf>
    <xf numFmtId="0" fontId="23" fillId="0" borderId="0" xfId="0" applyFont="1" applyNumberFormat="1">
      <alignment horizontal="right" vertical="center" wrapText="1"/>
    </xf>
    <xf numFmtId="0" fontId="23" fillId="0" borderId="0" xfId="0" applyFont="1" applyNumberFormat="1">
      <alignment horizontal="right"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4" fontId="131" fillId="42" borderId="16" xfId="0" applyFont="1" applyFill="1" applyBorder="1" applyNumberFormat="1">
      <alignment horizontal="left" vertical="center" wrapText="1"/>
    </xf>
    <xf numFmtId="0" fontId="23" fillId="0" borderId="0" xfId="0" applyFont="1" applyNumberFormat="1">
      <alignment horizontal="center" vertical="center" wrapText="1"/>
    </xf>
    <xf numFmtId="0" fontId="57" fillId="0" borderId="0" xfId="0" applyFont="1" applyNumberFormat="1">
      <alignment horizontal="center" vertical="center" wrapText="1"/>
    </xf>
    <xf numFmtId="0" fontId="58" fillId="0" borderId="0" xfId="0" applyFont="1" applyNumberFormat="1">
      <alignment horizontal="center" vertical="center" wrapText="1"/>
    </xf>
    <xf numFmtId="0" fontId="23" fillId="46" borderId="16" xfId="0" applyFont="1" applyFill="1" applyBorder="1" applyNumberFormat="1">
      <alignment horizontal="left" vertical="center" wrapText="1"/>
      <protection locked="0"/>
    </xf>
    <xf numFmtId="0" fontId="57" fillId="0" borderId="0" xfId="0" applyFont="1" applyNumberFormat="1">
      <alignment horizontal="center" vertical="center" wrapText="1"/>
    </xf>
    <xf numFmtId="0" fontId="23" fillId="46" borderId="18" xfId="0" applyFont="1" applyFill="1" applyBorder="1" applyNumberFormat="1">
      <alignment horizontal="left" vertical="center" wrapText="1"/>
      <protection locked="0"/>
    </xf>
    <xf numFmtId="0" fontId="23" fillId="46" borderId="19" xfId="0" applyFont="1" applyFill="1" applyBorder="1" applyNumberFormat="1">
      <alignment horizontal="left" vertical="center" wrapText="1"/>
      <protection locked="0"/>
    </xf>
    <xf numFmtId="0" fontId="23" fillId="46" borderId="17" xfId="0" applyFont="1" applyFill="1" applyBorder="1" applyNumberFormat="1">
      <alignment horizontal="left" vertical="center" wrapText="1"/>
      <protection locked="0"/>
    </xf>
    <xf numFmtId="0" fontId="23" fillId="46" borderId="16" xfId="0" applyFont="1" applyFill="1" applyBorder="1" applyNumberFormat="1">
      <alignment horizontal="left" vertical="center" wrapText="1" indent="6"/>
      <protection locked="0"/>
    </xf>
    <xf numFmtId="170"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pplyNumberFormat="1">
      <alignment horizontal="left" vertical="top" wrapText="1"/>
    </xf>
    <xf numFmtId="49" fontId="23" fillId="0" borderId="0" xfId="0" applyFont="1" applyNumberFormat="1">
      <alignment vertical="center" wrapText="1"/>
    </xf>
    <xf numFmtId="0" fontId="23" fillId="0" borderId="0" xfId="0" applyFont="1" applyNumberFormat="1">
      <alignment horizontal="center" vertical="center" wrapText="1"/>
    </xf>
    <xf numFmtId="0" fontId="23" fillId="0" borderId="0" xfId="0" applyFont="1" applyNumberForma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pplyNumberFormat="1">
      <alignment horizontal="left" vertical="center" wrapText="1" indent="1"/>
    </xf>
    <xf numFmtId="0" fontId="22" fillId="0" borderId="0" xfId="0" applyFont="1" applyNumberFormat="1">
      <alignment horizontal="center" vertical="center" wrapText="1"/>
    </xf>
    <xf numFmtId="0" fontId="0" fillId="0" borderId="0" xfId="0" applyFont="1" applyNumberFormat="1">
      <alignment horizontal="center" vertical="center"/>
    </xf>
    <xf numFmtId="0" fontId="23" fillId="42" borderId="18" xfId="0" applyFont="1" applyFill="1" applyBorder="1" applyNumberFormat="1">
      <alignment horizontal="left" vertical="center" wrapText="1" indent="1"/>
    </xf>
    <xf numFmtId="0" fontId="23" fillId="42" borderId="19" xfId="0" applyFont="1" applyFill="1" applyBorder="1" applyNumberFormat="1">
      <alignment horizontal="left" vertical="center" wrapText="1" indent="1"/>
    </xf>
    <xf numFmtId="0" fontId="23" fillId="42" borderId="17" xfId="0" applyFont="1" applyFill="1" applyBorder="1" applyNumberFormat="1">
      <alignment horizontal="left" vertical="center" wrapText="1" indent="1"/>
    </xf>
    <xf numFmtId="0" fontId="80" fillId="0" borderId="0" xfId="0" applyFont="1" applyNumberFormat="1">
      <alignment horizontal="left" vertical="center" wrapText="1"/>
    </xf>
    <xf numFmtId="0" fontId="58" fillId="0" borderId="0" xfId="0" applyFont="1" applyNumberFormat="1">
      <alignment vertical="center"/>
    </xf>
    <xf numFmtId="0" fontId="0" fillId="0" borderId="0" xfId="0" applyFont="1" applyNumberFormat="1">
      <alignment horizontal="right" vertical="center" wrapText="1" indent="1"/>
    </xf>
    <xf numFmtId="0" fontId="23" fillId="0" borderId="0" xfId="0" applyFont="1" applyNumberFormat="1">
      <alignment horizontal="left" vertical="center" wrapText="1" indent="1"/>
    </xf>
    <xf numFmtId="0" fontId="90" fillId="0" borderId="0" xfId="0" applyFont="1" applyNumberFormat="1">
      <alignment vertical="center" wrapText="1"/>
    </xf>
    <xf numFmtId="0" fontId="90"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47" fillId="38" borderId="0" xfId="0" applyFont="1" applyFill="1" applyNumberFormat="1">
      <alignment horizontal="center" vertical="center" wrapText="1"/>
    </xf>
    <xf numFmtId="0" fontId="47" fillId="38" borderId="0" xfId="0" applyFont="1" applyFill="1" applyNumberFormat="1">
      <alignment horizontal="center" vertical="center" wrapText="1"/>
    </xf>
    <xf numFmtId="49" fontId="58" fillId="0" borderId="0" xfId="0" applyFont="1" applyNumberFormat="1">
      <alignment vertical="center" wrapText="1"/>
    </xf>
    <xf numFmtId="0" fontId="23" fillId="0" borderId="16" xfId="0" applyFont="1" applyBorder="1" applyNumberFormat="1">
      <alignment vertical="center" wrapText="1"/>
    </xf>
    <xf numFmtId="0" fontId="23" fillId="42" borderId="16" xfId="0" applyFont="1" applyFill="1" applyBorder="1" applyNumberFormat="1">
      <alignment horizontal="left" vertical="center" wrapText="1"/>
    </xf>
    <xf numFmtId="49" fontId="58" fillId="0" borderId="0" xfId="0" applyFont="1" applyNumberFormat="1">
      <alignment vertical="center"/>
    </xf>
    <xf numFmtId="0" fontId="43" fillId="0" borderId="0" xfId="0" applyFont="1" applyNumberFormat="1">
      <alignment horizontal="center" vertical="center" wrapText="1"/>
    </xf>
    <xf numFmtId="0" fontId="48" fillId="38" borderId="0" xfId="0" applyFont="1" applyFill="1" applyNumberFormat="1">
      <alignment horizontal="center" vertical="center" wrapText="1"/>
    </xf>
    <xf numFmtId="0" fontId="43" fillId="0" borderId="0" xfId="0" applyFont="1" applyNumberFormat="1">
      <alignment vertical="center" wrapText="1"/>
    </xf>
    <xf numFmtId="0" fontId="48" fillId="38" borderId="0" xfId="0" applyFont="1" applyFill="1" applyNumberFormat="1">
      <alignment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165"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pplyNumberFormat="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pplyNumberFormat="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pplyNumberFormat="1">
      <alignment vertical="top" wrapText="1"/>
    </xf>
    <xf numFmtId="0" fontId="58" fillId="0" borderId="0" xfId="0" applyFont="1" applyNumberFormat="1">
      <alignment vertical="top" wrapText="1"/>
    </xf>
    <xf numFmtId="0" fontId="23" fillId="0" borderId="0" xfId="0" applyFont="1" applyNumberFormat="1">
      <alignment vertical="top" wrapText="1"/>
    </xf>
    <xf numFmtId="49" fontId="0"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pplyNumberFormat="1">
      <alignment horizontal="left" vertical="center" wrapText="1" indent="1"/>
      <protection locked="0"/>
    </xf>
    <xf numFmtId="0" fontId="134" fillId="0" borderId="16" xfId="0" applyFont="1" applyBorder="1" applyNumberFormat="1">
      <alignment horizontal="left" vertical="center" wrapText="1" indent="1"/>
    </xf>
    <xf numFmtId="0" fontId="134" fillId="45" borderId="16" xfId="0" applyFont="1" applyFill="1" applyBorder="1" applyNumberFormat="1">
      <alignment horizontal="left" vertical="center" wrapText="1"/>
      <protection locked="0"/>
    </xf>
    <xf numFmtId="0" fontId="134" fillId="0" borderId="16" xfId="0" applyFont="1" applyBorder="1" applyNumberFormat="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pplyNumberFormat="1">
      <alignment horizontal="left" vertical="center" wrapText="1"/>
    </xf>
    <xf numFmtId="0" fontId="23" fillId="0" borderId="16" xfId="0" applyFont="1" applyBorder="1" applyNumberFormat="1">
      <alignment vertical="top" wrapText="1"/>
    </xf>
    <xf numFmtId="170" fontId="0" fillId="45" borderId="16" xfId="0" applyFont="1" applyFill="1" applyBorder="1" applyNumberFormat="1">
      <alignment horizontal="left" vertical="center" wrapText="1"/>
      <protection locked="0"/>
    </xf>
    <xf numFmtId="0" fontId="23" fillId="0" borderId="16" xfId="0" applyFont="1" applyBorder="1" applyNumberFormat="1">
      <alignment horizontal="left" vertical="top" wrapText="1"/>
    </xf>
    <xf numFmtId="0" fontId="0" fillId="0" borderId="16" xfId="0" applyFont="1" applyBorder="1" applyNumberFormat="1">
      <alignment horizontal="left" vertical="center" wrapText="1"/>
    </xf>
    <xf numFmtId="0" fontId="23" fillId="0" borderId="16" xfId="0" applyFont="1" applyBorder="1" applyNumberFormat="1">
      <alignment horizontal="left" vertical="center" wrapText="1"/>
    </xf>
    <xf numFmtId="0" fontId="0" fillId="0" borderId="16" xfId="0" applyFont="1" applyBorder="1" applyNumberFormat="1">
      <alignment horizontal="left" vertical="center" wrapText="1"/>
    </xf>
    <xf numFmtId="0" fontId="23" fillId="0" borderId="16" xfId="0" applyFont="1" applyBorder="1" applyNumberFormat="1">
      <alignment vertical="top" wrapText="1"/>
    </xf>
    <xf numFmtId="49" fontId="51" fillId="44" borderId="19" xfId="0" applyFont="1" applyFill="1" applyBorder="1" applyNumberFormat="1">
      <alignment horizontal="left" vertical="center" indent="2"/>
    </xf>
    <xf numFmtId="0" fontId="0" fillId="0" borderId="16" xfId="0" applyFont="1" applyBorder="1" applyNumberFormat="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pplyNumberFormat="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pplyNumberForma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pplyNumberFormat="1">
      <alignment vertical="center" wrapText="1"/>
    </xf>
    <xf numFmtId="0" fontId="72" fillId="0" borderId="0" xfId="0" applyFont="1" applyNumberFormat="1">
      <alignment vertical="center" wrapText="1"/>
    </xf>
    <xf numFmtId="0" fontId="23" fillId="38" borderId="16" xfId="0" applyFont="1" applyFill="1" applyBorder="1" applyNumberFormat="1">
      <alignment horizontal="center" vertical="center" wrapText="1"/>
    </xf>
    <xf numFmtId="0" fontId="0" fillId="0" borderId="16" xfId="0" applyFont="1" applyBorder="1" applyNumberFormat="1">
      <alignment horizontal="left" vertical="center" wrapText="1"/>
    </xf>
    <xf numFmtId="0" fontId="48" fillId="38" borderId="0" xfId="0" applyFont="1" applyFill="1" applyNumberFormat="1">
      <alignment horizontal="center" vertical="center" wrapText="1"/>
    </xf>
    <xf numFmtId="49" fontId="51" fillId="44" borderId="19" xfId="0" applyFont="1" applyFill="1" applyBorder="1" applyNumberFormat="1">
      <alignment horizontal="left" vertical="center"/>
    </xf>
    <xf numFmtId="0" fontId="23" fillId="0" borderId="23" xfId="0" applyFont="1" applyBorder="1" applyNumberFormat="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pplyNumberFormat="1">
      <alignment horizontal="left" vertical="top" wrapText="1"/>
    </xf>
    <xf numFmtId="0" fontId="23" fillId="0" borderId="0" xfId="0" applyFont="1" applyNumberFormat="1">
      <alignment horizontal="left" vertical="top" wrapText="1"/>
    </xf>
    <xf numFmtId="49" fontId="23" fillId="0" borderId="0" xfId="0" applyFont="1" applyNumberFormat="1">
      <alignment vertical="center" wrapText="1"/>
    </xf>
    <xf numFmtId="0" fontId="57" fillId="0" borderId="0" xfId="0" applyFont="1" applyNumberFormat="1">
      <alignment horizontal="center"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pplyNumberFormat="1">
      <alignment vertical="center" wrapText="1"/>
    </xf>
    <xf numFmtId="0" fontId="91" fillId="0" borderId="0" xfId="0" applyFont="1" applyNumberFormat="1">
      <alignment vertical="center" wrapText="1"/>
    </xf>
    <xf numFmtId="0" fontId="23" fillId="0" borderId="18" xfId="0" applyFont="1" applyBorder="1" applyNumberFormat="1">
      <alignment vertical="center" wrapText="1"/>
    </xf>
    <xf numFmtId="0" fontId="23" fillId="0" borderId="19" xfId="0" applyFont="1" applyBorder="1" applyNumberFormat="1">
      <alignment horizontal="right" vertical="center" wrapText="1" indent="1"/>
    </xf>
    <xf numFmtId="0" fontId="23" fillId="0" borderId="17" xfId="0" applyFont="1" applyBorder="1" applyNumberFormat="1">
      <alignment horizontal="right" vertical="center" wrapText="1" indent="1"/>
    </xf>
    <xf numFmtId="0" fontId="23" fillId="42" borderId="18" xfId="0" applyFont="1" applyFill="1" applyBorder="1" applyNumberFormat="1">
      <alignment horizontal="left" vertical="top" wrapText="1" indent="1"/>
    </xf>
    <xf numFmtId="0" fontId="23" fillId="42" borderId="17" xfId="0" applyFont="1" applyFill="1" applyBorder="1" applyNumberFormat="1">
      <alignment horizontal="left" vertical="top" wrapText="1" indent="1"/>
    </xf>
    <xf numFmtId="0" fontId="23" fillId="0" borderId="40" xfId="0" applyFont="1" applyBorder="1" applyNumberFormat="1">
      <alignment horizontal="center" vertical="center" wrapText="1"/>
    </xf>
    <xf numFmtId="0" fontId="23" fillId="0" borderId="18" xfId="0" applyFont="1" applyBorder="1" applyNumberFormat="1">
      <alignment horizontal="right" vertical="center" wrapText="1"/>
    </xf>
    <xf numFmtId="0" fontId="23" fillId="0" borderId="19" xfId="0" applyFont="1" applyBorder="1" applyNumberFormat="1">
      <alignment horizontal="right" vertical="center"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0" fontId="47"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left" vertical="center" wrapText="1"/>
    </xf>
    <xf numFmtId="3" fontId="23" fillId="0" borderId="18" xfId="0" applyFont="1" applyBorder="1" applyNumberFormat="1">
      <alignment vertical="center" wrapText="1"/>
    </xf>
    <xf numFmtId="0" fontId="23" fillId="0" borderId="16" xfId="0" applyFont="1" applyBorder="1" applyNumberFormat="1">
      <alignment horizontal="left" vertical="center" wrapText="1"/>
    </xf>
    <xf numFmtId="0" fontId="23" fillId="0" borderId="16"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0" fontId="23" fillId="0" borderId="16" xfId="0" applyFont="1" applyBorder="1" applyNumberFormat="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pplyNumberFormat="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pplyNumberFormat="1">
      <alignment vertical="center" wrapText="1"/>
    </xf>
    <xf numFmtId="0" fontId="47" fillId="0" borderId="0" xfId="0" applyFont="1" applyNumberFormat="1">
      <alignment horizontal="center" vertical="center" wrapText="1"/>
    </xf>
    <xf numFmtId="49" fontId="23" fillId="45" borderId="16" xfId="0" applyFont="1" applyFill="1" applyBorder="1" applyNumberFormat="1">
      <alignment horizontal="left" vertical="center" wrapText="1"/>
      <protection locked="0"/>
    </xf>
    <xf numFmtId="0" fontId="23" fillId="0" borderId="16" xfId="0" applyFont="1" applyBorder="1" applyNumberFormat="1">
      <alignment horizontal="center" vertical="center" wrapText="1"/>
    </xf>
    <xf numFmtId="0" fontId="23" fillId="0" borderId="23"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0" borderId="0" xfId="0" applyFont="1" applyNumberFormat="1">
      <alignment horizontal="left" vertical="center" wrapText="1"/>
    </xf>
    <xf numFmtId="0" fontId="23" fillId="42" borderId="18" xfId="0" applyFont="1" applyFill="1" applyBorder="1" applyNumberFormat="1">
      <alignment horizontal="left" vertical="top" wrapText="1" inden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pplyNumberFormat="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pplyNumberFormat="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pplyNumberFormat="1">
      <alignment horizontal="left" vertical="top" wrapText="1"/>
    </xf>
    <xf numFmtId="0" fontId="23" fillId="0" borderId="27" xfId="0" applyFont="1" applyBorder="1" applyNumberFormat="1">
      <alignment horizontal="left" vertical="top" wrapText="1"/>
    </xf>
    <xf numFmtId="49" fontId="23" fillId="0" borderId="0" xfId="0" applyFont="1" applyNumberFormat="1">
      <alignment vertical="center" wrapText="1"/>
    </xf>
    <xf numFmtId="0" fontId="48" fillId="0" borderId="28" xfId="0" applyFont="1" applyBorder="1" applyNumberFormat="1">
      <alignment horizontal="center" vertical="center" wrapText="1"/>
    </xf>
    <xf numFmtId="0" fontId="0" fillId="0" borderId="18" xfId="0" applyFont="1" applyBorder="1" applyNumberFormat="1">
      <alignment horizontal="center" vertical="center"/>
    </xf>
    <xf numFmtId="49" fontId="0" fillId="0" borderId="16" xfId="0" applyFont="1" applyBorder="1" applyNumberFormat="1">
      <alignment horizontal="left" vertical="center" wrapText="1" indent="1"/>
    </xf>
    <xf numFmtId="0" fontId="23" fillId="0" borderId="17" xfId="0" applyFont="1" applyBorder="1" applyNumberFormat="1">
      <alignment horizontal="center" vertical="center" wrapText="1"/>
    </xf>
    <xf numFmtId="49" fontId="30" fillId="34" borderId="16" xfId="0" applyFont="1" applyFill="1" applyBorder="1" applyNumberFormat="1">
      <alignment horizontal="left" vertical="center" wrapText="1"/>
      <protection locked="0"/>
    </xf>
    <xf numFmtId="170"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pplyNumberFormat="1">
      <alignment horizontal="center" vertical="center" wrapText="1"/>
    </xf>
    <xf numFmtId="0" fontId="23" fillId="0" borderId="17" xfId="0" applyFont="1" applyBorder="1" applyNumberFormat="1">
      <alignment horizontal="right" vertical="center" wrapText="1" indent="1"/>
    </xf>
    <xf numFmtId="0" fontId="23" fillId="0" borderId="18" xfId="0" applyFont="1" applyBorder="1" applyNumberFormat="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pplyNumberFormat="1">
      <alignment horizontal="center" vertical="center" wrapText="1"/>
    </xf>
    <xf numFmtId="0" fontId="57" fillId="44" borderId="17" xfId="0" applyFont="1" applyFill="1" applyBorder="1" applyNumberFormat="1">
      <alignment vertical="center" wrapText="1"/>
    </xf>
    <xf numFmtId="0" fontId="23" fillId="0" borderId="17" xfId="0" applyFont="1" applyBorder="1" applyNumberFormat="1">
      <alignment horizontal="center" vertical="center" wrapText="1"/>
    </xf>
    <xf numFmtId="0" fontId="23" fillId="44" borderId="23" xfId="0" applyFont="1" applyFill="1" applyBorder="1" applyNumberFormat="1">
      <alignment vertical="center" wrapText="1"/>
    </xf>
    <xf numFmtId="0" fontId="23" fillId="0" borderId="19" xfId="0" applyFont="1" applyBorder="1" applyNumberFormat="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44" borderId="32" xfId="0" applyFont="1" applyFill="1" applyBorder="1" applyNumberFormat="1">
      <alignment vertical="center" wrapText="1"/>
    </xf>
    <xf numFmtId="0" fontId="23" fillId="0" borderId="0" xfId="0" applyFont="1" applyNumberFormat="1">
      <alignment horizontal="left" vertical="center" wrapText="1" indent="1"/>
    </xf>
    <xf numFmtId="0" fontId="22" fillId="0" borderId="0" xfId="0" applyFont="1" applyNumberFormat="1">
      <alignment vertical="center" wrapText="1"/>
    </xf>
    <xf numFmtId="0" fontId="0" fillId="38" borderId="18" xfId="0" applyFont="1" applyFill="1" applyBorder="1" applyNumberFormat="1">
      <alignment horizontal="right" vertical="center" wrapText="1" indent="1"/>
    </xf>
    <xf numFmtId="0" fontId="80" fillId="0" borderId="0" xfId="0" applyFont="1" applyNumberFormat="1">
      <alignment vertical="center" wrapText="1"/>
    </xf>
    <xf numFmtId="0" fontId="0" fillId="0" borderId="21" xfId="0" applyFont="1" applyBorder="1" applyNumberFormat="1">
      <alignment horizontal="center" vertical="center" wrapText="1"/>
    </xf>
    <xf numFmtId="0" fontId="23" fillId="38" borderId="18" xfId="0" applyFont="1" applyFill="1" applyBorder="1" applyNumberFormat="1">
      <alignment horizontal="center" vertical="center" wrapText="1"/>
    </xf>
    <xf numFmtId="0" fontId="23" fillId="38" borderId="19" xfId="0" applyFont="1" applyFill="1" applyBorder="1" applyNumberFormat="1">
      <alignment horizontal="center" vertical="center" wrapText="1"/>
    </xf>
    <xf numFmtId="0" fontId="23" fillId="38" borderId="17" xfId="0" applyFont="1" applyFill="1" applyBorder="1" applyNumberFormat="1">
      <alignment horizontal="center" vertical="center" wrapText="1"/>
    </xf>
    <xf numFmtId="0" fontId="0" fillId="0" borderId="27"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7" xfId="0" applyFont="1" applyBorder="1" applyNumberFormat="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pplyNumberFormat="1">
      <alignment horizontal="left" vertical="center" wrapText="1"/>
    </xf>
    <xf numFmtId="0" fontId="0" fillId="0" borderId="40" xfId="0" applyFont="1" applyBorder="1" applyNumberFormat="1">
      <alignment horizontal="left" vertical="center" wrapText="1"/>
    </xf>
    <xf numFmtId="0" fontId="0" fillId="0" borderId="27" xfId="0" applyFont="1" applyBorder="1" applyNumberFormat="1">
      <alignment horizontal="left" vertical="center" wrapText="1"/>
    </xf>
    <xf numFmtId="0" fontId="23" fillId="0" borderId="27" xfId="0" applyFont="1" applyBorder="1" applyNumberFormat="1">
      <alignment horizontal="left" vertical="center" wrapText="1"/>
    </xf>
    <xf numFmtId="0" fontId="50" fillId="38" borderId="28" xfId="0" applyFont="1" applyFill="1" applyBorder="1" applyNumberFormat="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pplyNumberFormat="1">
      <alignment horizontal="left" vertical="center" wrapText="1" indent="1"/>
    </xf>
    <xf numFmtId="0" fontId="0" fillId="42" borderId="16" xfId="0" applyFont="1" applyFill="1" applyBorder="1" applyNumberFormat="1">
      <alignment horizontal="left" vertical="center" wrapText="1" indent="1"/>
    </xf>
    <xf numFmtId="170" fontId="0" fillId="45" borderId="17" xfId="0" applyFont="1" applyFill="1" applyBorder="1" applyNumberFormat="1">
      <alignment horizontal="left" vertical="center" wrapText="1"/>
      <protection locked="0"/>
    </xf>
    <xf numFmtId="0" fontId="23" fillId="44" borderId="31" xfId="0" applyFont="1" applyFill="1" applyBorder="1" applyNumberFormat="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pplyNumberFormat="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pplyNumberFormat="1">
      <alignment horizontal="right" vertical="top"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0" fontId="23" fillId="34" borderId="18" xfId="0" applyFont="1" applyFill="1" applyBorder="1" applyNumberFormat="1">
      <alignment horizontal="left" vertical="center" wrapText="1"/>
      <protection locked="0"/>
    </xf>
    <xf numFmtId="0" fontId="23" fillId="34" borderId="19" xfId="0" applyFont="1" applyFill="1" applyBorder="1" applyNumberFormat="1">
      <alignment horizontal="left" vertical="center" wrapText="1"/>
      <protection locked="0"/>
    </xf>
    <xf numFmtId="0" fontId="23" fillId="34" borderId="17" xfId="0" applyFont="1" applyFill="1" applyBorder="1" applyNumberFormat="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pplyNumberFormat="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pplyNumberFormat="1">
      <alignment horizontal="center" vertical="center"/>
    </xf>
    <xf numFmtId="0" fontId="57" fillId="0" borderId="0" xfId="0" applyFont="1" applyNumberFormat="1">
      <alignment horizontal="center" vertical="center" wrapText="1"/>
    </xf>
    <xf numFmtId="0" fontId="119" fillId="0" borderId="0" xfId="0" applyFont="1" applyNumberFormat="1">
      <alignment vertical="center" wrapText="1"/>
    </xf>
    <xf numFmtId="0" fontId="23" fillId="0" borderId="0" xfId="0" applyFont="1" applyNumberFormat="1">
      <alignment horizontal="right" vertical="center" wrapText="1"/>
    </xf>
    <xf numFmtId="0" fontId="23" fillId="0" borderId="21" xfId="0" applyFont="1" applyBorder="1" applyNumberFormat="1">
      <alignment horizontal="center"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58" fillId="0" borderId="0" xfId="0" applyFont="1" applyNumberFormat="1">
      <alignment horizontal="center" vertical="center"/>
    </xf>
    <xf numFmtId="0" fontId="57" fillId="0" borderId="0" xfId="0" applyFont="1" applyNumberFormat="1">
      <alignment horizontal="center" vertical="center" wrapText="1"/>
    </xf>
    <xf numFmtId="0" fontId="23" fillId="0" borderId="0" xfId="0" applyFont="1" applyNumberFormat="1">
      <alignment horizontal="right" vertical="center" wrapText="1"/>
    </xf>
    <xf numFmtId="0" fontId="23" fillId="0" borderId="21" xfId="0" applyFont="1" applyBorder="1" applyNumberFormat="1">
      <alignment horizontal="center"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49" fontId="23" fillId="0" borderId="0" xfId="0" applyFont="1" applyNumberFormat="1">
      <alignment vertical="center" wrapText="1"/>
    </xf>
    <xf numFmtId="0" fontId="23" fillId="38" borderId="16" xfId="0" applyFont="1" applyFill="1" applyBorder="1" applyNumberFormat="1">
      <alignment horizontal="left" vertical="center" wrapText="1"/>
    </xf>
    <xf numFmtId="0" fontId="120" fillId="0" borderId="0" xfId="0" applyFont="1" applyNumberFormat="1">
      <alignment vertical="center" wrapText="1"/>
    </xf>
    <xf numFmtId="0" fontId="120" fillId="38" borderId="0" xfId="0" applyFont="1" applyFill="1" applyNumberFormat="1">
      <alignment horizontal="center" vertical="center" wrapText="1"/>
    </xf>
    <xf numFmtId="0" fontId="58" fillId="38" borderId="16" xfId="0" applyFont="1" applyFill="1" applyBorder="1" applyNumberFormat="1">
      <alignment horizontal="left" vertical="center" wrapText="1" indent="3"/>
    </xf>
    <xf numFmtId="0" fontId="58" fillId="0" borderId="0" xfId="0" applyFont="1" applyNumberForma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pplyNumberFormat="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pplyNumberFormat="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pplyNumberFormat="1">
      <alignment horizontal="center" vertical="center"/>
    </xf>
    <xf numFmtId="0" fontId="58" fillId="0" borderId="0" xfId="0" applyFont="1" applyNumberFormat="1">
      <alignment horizontal="left" vertical="center" wrapText="1" indent="1"/>
    </xf>
    <xf numFmtId="0" fontId="23" fillId="38" borderId="16" xfId="0" applyFont="1" applyFill="1" applyBorder="1" applyNumberFormat="1">
      <alignment horizontal="center" vertical="center" wrapText="1"/>
    </xf>
    <xf numFmtId="0" fontId="58" fillId="0" borderId="23" xfId="0" applyFont="1" applyBorder="1" applyNumberFormat="1">
      <alignment horizontal="left" vertical="center" wrapText="1"/>
    </xf>
    <xf numFmtId="0" fontId="23" fillId="0" borderId="0" xfId="0" applyFont="1" applyNumberFormat="1">
      <alignment horizontal="left" vertical="top" wrapText="1"/>
    </xf>
    <xf numFmtId="0" fontId="5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33" xfId="0" applyFont="1" applyBorder="1" applyNumberFormat="1">
      <alignment horizontal="center" vertical="center" wrapText="1"/>
    </xf>
    <xf numFmtId="0" fontId="23" fillId="45" borderId="16" xfId="0" applyFont="1" applyFill="1" applyBorder="1" applyNumberFormat="1">
      <alignment horizontal="left" vertical="center" wrapText="1" indent="2"/>
      <protection locked="0"/>
    </xf>
    <xf numFmtId="0" fontId="23" fillId="0" borderId="16" xfId="0" applyFont="1" applyBorder="1" applyNumberFormat="1">
      <alignment horizontal="center" vertical="center" wrapText="1"/>
    </xf>
    <xf numFmtId="0" fontId="92" fillId="0" borderId="0" xfId="0" applyFont="1" applyNumberFormat="1">
      <alignment vertical="center" wrapText="1"/>
    </xf>
    <xf numFmtId="0" fontId="58" fillId="0" borderId="33" xfId="0" applyFont="1" applyBorder="1" applyNumberFormat="1">
      <alignment horizontal="center" vertical="center" wrapText="1"/>
    </xf>
    <xf numFmtId="0" fontId="58" fillId="0" borderId="16" xfId="0" applyFont="1" applyBorder="1" applyNumberFormat="1">
      <alignment horizontal="left" vertical="center" wrapText="1" indent="2"/>
    </xf>
    <xf numFmtId="0" fontId="58" fillId="0" borderId="16" xfId="0" applyFont="1" applyBorder="1" applyNumberFormat="1">
      <alignment horizontal="center" vertical="center" wrapText="1"/>
    </xf>
    <xf numFmtId="0" fontId="58" fillId="0" borderId="16" xfId="0" applyFont="1" applyBorder="1" applyNumberFormat="1">
      <alignment vertical="center" wrapText="1"/>
    </xf>
    <xf numFmtId="0" fontId="23" fillId="0" borderId="16" xfId="0" applyFont="1" applyBorder="1" applyNumberFormat="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pplyNumberFormat="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pplyNumberFormat="1">
      <alignment horizontal="center" vertical="center" wrapText="1"/>
    </xf>
    <xf numFmtId="0" fontId="23" fillId="0" borderId="17" xfId="0" applyFont="1" applyBorder="1" applyNumberFormat="1">
      <alignment vertical="top" wrapText="1"/>
    </xf>
    <xf numFmtId="0" fontId="62" fillId="0" borderId="0" xfId="0" applyFont="1" applyNumberFormat="1">
      <alignment vertical="center" wrapText="1"/>
    </xf>
    <xf numFmtId="0" fontId="23" fillId="0" borderId="17" xfId="0" applyFont="1" applyBorder="1" applyNumberFormat="1">
      <alignment horizontal="center" vertical="center" wrapText="1"/>
    </xf>
    <xf numFmtId="169" fontId="23" fillId="34" borderId="16" xfId="0" applyFont="1" applyFill="1" applyBorder="1" applyNumberFormat="1">
      <alignment horizontal="right" vertical="center" wrapText="1"/>
      <protection locked="0"/>
    </xf>
    <xf numFmtId="0" fontId="23" fillId="0" borderId="24" xfId="0" applyFont="1" applyBorder="1" applyNumberFormat="1">
      <alignment vertical="center" wrapText="1"/>
    </xf>
    <xf numFmtId="0" fontId="22" fillId="0" borderId="0" xfId="0" applyFont="1" applyNumberFormat="1">
      <alignment vertical="center" wrapText="1"/>
    </xf>
    <xf numFmtId="0" fontId="23" fillId="0" borderId="0" xfId="0" applyFont="1" applyNumberFormat="1">
      <alignment horizontal="left" vertical="center" wrapText="1" indent="3"/>
    </xf>
    <xf numFmtId="0" fontId="58" fillId="0" borderId="0" xfId="0" applyFont="1" applyNumberFormat="1">
      <alignment vertical="center" wrapText="1"/>
    </xf>
    <xf numFmtId="0" fontId="105" fillId="38" borderId="0" xfId="0" applyFont="1" applyFill="1" applyNumberFormat="1">
      <alignment horizontal="right" vertical="center"/>
    </xf>
    <xf numFmtId="0" fontId="23" fillId="42" borderId="18" xfId="0" applyFont="1" applyFill="1" applyBorder="1" applyNumberFormat="1">
      <alignment horizontal="left" vertical="top"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16" xfId="0" applyFont="1" applyBorder="1" applyNumberFormat="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pplyNumberFormat="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pplyNumberFormat="1">
      <alignment vertical="center" wrapText="1"/>
    </xf>
    <xf numFmtId="0" fontId="81" fillId="0" borderId="0" xfId="0" applyFont="1" applyNumberForma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pplyNumberFormat="1">
      <alignment horizontal="left" vertical="center" wrapText="1" indent="2"/>
    </xf>
    <xf numFmtId="0" fontId="81" fillId="0" borderId="16" xfId="0" applyFont="1" applyBorder="1" applyNumberFormat="1">
      <alignment horizontal="center" vertical="center" wrapText="1"/>
    </xf>
    <xf numFmtId="0" fontId="81" fillId="0" borderId="16" xfId="0" applyFont="1" applyBorder="1" applyNumberFormat="1">
      <alignment vertical="center" wrapText="1"/>
    </xf>
    <xf numFmtId="0" fontId="93" fillId="0" borderId="0" xfId="0" applyFont="1" applyNumberFormat="1">
      <alignment vertical="center" wrapText="1"/>
    </xf>
    <xf numFmtId="0" fontId="71" fillId="0" borderId="0" xfId="0" applyFont="1" applyNumberFormat="1">
      <alignment vertical="center" wrapText="1"/>
    </xf>
    <xf numFmtId="0" fontId="81" fillId="0" borderId="33" xfId="0" applyFont="1" applyBorder="1" applyNumberFormat="1">
      <alignment horizontal="center" vertical="center" wrapText="1"/>
    </xf>
    <xf numFmtId="0" fontId="81" fillId="0" borderId="16" xfId="0" applyFont="1" applyBorder="1" applyNumberFormat="1">
      <alignment horizontal="left" vertical="center" wrapText="1" indent="3"/>
    </xf>
    <xf numFmtId="4" fontId="81" fillId="0" borderId="16" xfId="0" applyFont="1" applyBorder="1" applyNumberFormat="1">
      <alignment horizontal="right" vertical="center" wrapText="1"/>
    </xf>
    <xf numFmtId="0" fontId="48" fillId="0" borderId="0" xfId="0" applyFont="1" applyNumberFormat="1">
      <alignment horizontal="center" vertical="center" wrapText="1"/>
    </xf>
    <xf numFmtId="49" fontId="23" fillId="44" borderId="18" xfId="0" applyFont="1" applyFill="1" applyBorder="1" applyNumberFormat="1">
      <alignment vertical="center" wrapText="1"/>
    </xf>
    <xf numFmtId="0" fontId="23" fillId="0" borderId="16" xfId="0" applyFont="1" applyBorder="1" applyNumberFormat="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169" fontId="23" fillId="45" borderId="16" xfId="0" applyFont="1" applyFill="1" applyBorder="1" applyNumberFormat="1">
      <alignment horizontal="right" vertical="center" wrapText="1"/>
      <protection locked="0"/>
    </xf>
    <xf numFmtId="49" fontId="99" fillId="0" borderId="0" xfId="0" applyFont="1" applyNumberFormat="1">
      <alignment horizontal="left" vertical="center" wrapText="1"/>
    </xf>
    <xf numFmtId="0" fontId="58" fillId="0" borderId="0" xfId="0" applyFont="1" applyNumberFormat="1">
      <alignment horizontal="left" vertical="center" wrapText="1"/>
    </xf>
    <xf numFmtId="0" fontId="62" fillId="0" borderId="0" xfId="0" applyFont="1" applyNumberFormat="1">
      <alignment horizontal="left" vertical="center" wrapText="1"/>
    </xf>
    <xf numFmtId="0" fontId="43" fillId="0" borderId="0" xfId="0" applyFont="1" applyNumberForma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pplyNumberFormat="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pplyNumberFormat="1">
      <alignment horizontal="left" vertical="center" wrapText="1" indent="3"/>
    </xf>
    <xf numFmtId="49" fontId="58" fillId="0" borderId="16" xfId="0" applyFont="1" applyBorder="1" applyNumberFormat="1">
      <alignment vertical="center" wrapText="1"/>
    </xf>
    <xf numFmtId="0" fontId="58" fillId="0" borderId="21" xfId="0" applyFont="1" applyBorder="1" applyNumberFormat="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pplyNumberFormat="1">
      <alignment vertical="center" wrapText="1"/>
    </xf>
    <xf numFmtId="0" fontId="58" fillId="0" borderId="0" xfId="0" applyFont="1" applyNumberFormat="1">
      <alignment vertical="center" wrapText="1"/>
    </xf>
    <xf numFmtId="49" fontId="23" fillId="0" borderId="0" xfId="0" applyFont="1" applyNumberFormat="1">
      <alignment horizontal="center" vertical="center" wrapText="1"/>
    </xf>
    <xf numFmtId="0" fontId="23" fillId="0" borderId="16" xfId="0" applyFont="1" applyBorder="1" applyNumberFormat="1">
      <alignment horizontal="center" vertical="center" wrapText="1"/>
    </xf>
    <xf numFmtId="169" fontId="23" fillId="45" borderId="17" xfId="0" applyFont="1" applyFill="1" applyBorder="1" applyNumberFormat="1">
      <alignment horizontal="right" vertical="center" wrapText="1"/>
      <protection locked="0"/>
    </xf>
    <xf numFmtId="0" fontId="92" fillId="0" borderId="0" xfId="0" applyFont="1" applyNumberFormat="1">
      <alignment vertical="center" wrapText="1"/>
    </xf>
    <xf numFmtId="0" fontId="62" fillId="0" borderId="0" xfId="0" applyFont="1" applyNumberFormat="1">
      <alignment vertical="center" wrapText="1"/>
    </xf>
    <xf numFmtId="0" fontId="43"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169" fontId="23" fillId="42" borderId="17" xfId="0" applyFont="1" applyFill="1" applyBorder="1" applyNumberFormat="1">
      <alignment horizontal="right" vertical="center" wrapText="1"/>
    </xf>
    <xf numFmtId="169"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pplyNumberFormat="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pplyNumberFormat="1">
      <alignment horizontal="left" vertical="center" wrapText="1" indent="1"/>
    </xf>
    <xf numFmtId="0" fontId="58" fillId="0" borderId="40" xfId="0" applyFont="1" applyBorder="1" applyNumberFormat="1">
      <alignment horizontal="center" vertical="center" wrapText="1"/>
    </xf>
    <xf numFmtId="0" fontId="58" fillId="0" borderId="21" xfId="0" applyFont="1" applyBorder="1" applyNumberFormat="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pplyNumberFormat="1">
      <alignment vertical="top" wrapText="1"/>
    </xf>
    <xf numFmtId="0" fontId="23" fillId="0" borderId="17" xfId="0" applyFont="1" applyBorder="1" applyNumberFormat="1">
      <alignment horizontal="center" vertical="center" wrapText="1"/>
    </xf>
    <xf numFmtId="0" fontId="23" fillId="0" borderId="24" xfId="0" applyFont="1" applyBorder="1" applyNumberFormat="1">
      <alignment horizontal="center" vertical="center" wrapText="1"/>
    </xf>
    <xf numFmtId="169" fontId="23" fillId="45" borderId="21" xfId="0" applyFont="1" applyFill="1" applyBorder="1" applyNumberFormat="1">
      <alignment horizontal="right" vertical="center" wrapText="1"/>
      <protection locked="0"/>
    </xf>
    <xf numFmtId="0" fontId="58" fillId="0" borderId="27" xfId="0" applyFont="1" applyBorder="1" applyNumberFormat="1">
      <alignment horizontal="left" vertical="center" wrapText="1" indent="1"/>
    </xf>
    <xf numFmtId="0" fontId="58" fillId="0" borderId="21" xfId="0" applyFont="1" applyBorder="1" applyNumberFormat="1">
      <alignment horizontal="center" vertical="center" wrapText="1"/>
    </xf>
    <xf numFmtId="0" fontId="48" fillId="0" borderId="0" xfId="0" applyFont="1" applyNumberForma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pplyNumberFormat="1">
      <alignment vertical="center" wrapText="1"/>
    </xf>
    <xf numFmtId="0" fontId="57" fillId="44" borderId="17" xfId="0" applyFont="1" applyFill="1" applyBorder="1" applyNumberFormat="1">
      <alignment vertical="center" wrapText="1"/>
    </xf>
    <xf numFmtId="0" fontId="23" fillId="0" borderId="27" xfId="0" applyFont="1" applyBorder="1" applyNumberFormat="1">
      <alignment vertical="top" wrapText="1"/>
    </xf>
    <xf numFmtId="0" fontId="58" fillId="0" borderId="21" xfId="0" applyFont="1" applyBorder="1" applyNumberFormat="1">
      <alignment horizontal="left" vertical="center" wrapText="1" indent="1"/>
    </xf>
    <xf numFmtId="0" fontId="23" fillId="0" borderId="0" xfId="0" applyFont="1" applyNumberFormat="1">
      <alignment horizontal="left" vertical="top" wrapText="1"/>
    </xf>
    <xf numFmtId="0" fontId="62" fillId="0" borderId="0" xfId="0" applyFont="1" applyNumberFormat="1">
      <alignment vertical="center"/>
    </xf>
    <xf numFmtId="0" fontId="99" fillId="0" borderId="0" xfId="0" applyFont="1" applyNumberFormat="1">
      <alignment vertical="center" wrapText="1"/>
    </xf>
    <xf numFmtId="0" fontId="23" fillId="0" borderId="0" xfId="0" applyFont="1" applyNumberFormat="1">
      <alignment vertical="center" wrapText="1"/>
    </xf>
    <xf numFmtId="0" fontId="23" fillId="0" borderId="23" xfId="0" applyFont="1" applyBorder="1" applyNumberFormat="1">
      <alignment vertical="center" wrapText="1"/>
    </xf>
    <xf numFmtId="0" fontId="23" fillId="0" borderId="23" xfId="0" applyFont="1" applyBorder="1" applyNumberFormat="1">
      <alignment horizontal="left" vertical="center" wrapText="1" indent="1"/>
    </xf>
    <xf numFmtId="0" fontId="23" fillId="0" borderId="0" xfId="0" applyFont="1" applyNumberFormat="1">
      <alignment horizontal="center" vertical="center" wrapText="1"/>
    </xf>
    <xf numFmtId="49" fontId="43" fillId="0" borderId="0" xfId="0" applyFont="1" applyNumberFormat="1">
      <alignment horizontal="center" vertical="center" wrapText="1"/>
    </xf>
    <xf numFmtId="0" fontId="23" fillId="0" borderId="32" xfId="0" applyFont="1" applyBorder="1" applyNumberFormat="1">
      <alignment vertical="center" wrapText="1"/>
    </xf>
    <xf numFmtId="0" fontId="23" fillId="0" borderId="32" xfId="0" applyFont="1" applyBorder="1" applyNumberFormat="1">
      <alignment horizontal="left" vertical="center" wrapText="1" indent="1"/>
    </xf>
    <xf numFmtId="0" fontId="58" fillId="0" borderId="0" xfId="0" applyFont="1" applyNumberFormat="1">
      <alignment vertical="center" wrapText="1"/>
    </xf>
    <xf numFmtId="0" fontId="43" fillId="0" borderId="0" xfId="0" applyFont="1" applyNumberFormat="1">
      <alignment vertical="center" wrapText="1"/>
    </xf>
    <xf numFmtId="0" fontId="36" fillId="0" borderId="0" xfId="0" applyFont="1" applyNumberFormat="1">
      <alignment horizontal="center" vertical="center" wrapText="1"/>
    </xf>
    <xf numFmtId="49" fontId="71" fillId="0" borderId="0" xfId="0" applyFont="1" applyNumberFormat="1">
      <alignment horizontal="center" vertical="center" wrapText="1"/>
    </xf>
    <xf numFmtId="0" fontId="81" fillId="0" borderId="0" xfId="0" applyFont="1" applyNumberFormat="1">
      <alignment horizontal="center" vertical="center" wrapText="1"/>
    </xf>
    <xf numFmtId="0" fontId="108" fillId="0" borderId="0" xfId="0" applyFont="1" applyNumberFormat="1">
      <alignment horizontal="center" vertical="center" wrapText="1"/>
    </xf>
    <xf numFmtId="0" fontId="109" fillId="38" borderId="0" xfId="0" applyFont="1" applyFill="1" applyNumberFormat="1">
      <alignment horizontal="right" vertical="center"/>
    </xf>
    <xf numFmtId="0" fontId="71" fillId="0" borderId="0" xfId="0" applyFont="1" applyNumberForma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pplyNumberFormat="1">
      <alignment vertical="center" wrapText="1"/>
    </xf>
    <xf numFmtId="0" fontId="58" fillId="0" borderId="0" xfId="0" applyFont="1" applyNumberFormat="1">
      <alignment vertical="center" wrapText="1"/>
    </xf>
    <xf numFmtId="0" fontId="43" fillId="0" borderId="0" xfId="0" applyFont="1" applyNumberForma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pplyNumberFormat="1">
      <alignment horizontal="center" vertical="center" wrapText="1"/>
    </xf>
    <xf numFmtId="0" fontId="23" fillId="0" borderId="27" xfId="0" applyFont="1" applyBorder="1" applyNumberFormat="1">
      <alignment horizontal="left" vertical="center" wrapText="1"/>
    </xf>
    <xf numFmtId="0" fontId="23" fillId="0" borderId="16" xfId="0" applyFont="1" applyBorder="1" applyNumberFormat="1">
      <alignment horizontal="left" vertical="center" wrapText="1"/>
    </xf>
    <xf numFmtId="0" fontId="57" fillId="0" borderId="0" xfId="0" applyFont="1" applyNumberFormat="1">
      <alignment horizontal="center" vertical="top"/>
    </xf>
    <xf numFmtId="0" fontId="58" fillId="0" borderId="0" xfId="0" applyFont="1" applyNumberForma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pplyNumberFormat="1">
      <alignment horizontal="right" vertical="center" wrapText="1"/>
    </xf>
    <xf numFmtId="0" fontId="0" fillId="0" borderId="0" xfId="0" applyFont="1" applyNumberFormat="1">
      <alignment vertical="center"/>
    </xf>
    <xf numFmtId="0" fontId="56" fillId="0" borderId="0" xfId="0" applyFont="1" applyNumberFormat="1">
      <alignment horizontal="right" vertical="top" wrapText="1"/>
    </xf>
    <xf numFmtId="0" fontId="56" fillId="0" borderId="0" xfId="0" applyFont="1" applyNumberFormat="1">
      <alignment horizontal="left" vertical="top"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42" borderId="18" xfId="0" applyFont="1" applyFill="1" applyBorder="1" applyNumberFormat="1">
      <alignment horizontal="left" vertical="top" wrapText="1"/>
    </xf>
    <xf numFmtId="0" fontId="58" fillId="0" borderId="18" xfId="0" applyFont="1" applyBorder="1" applyNumberFormat="1">
      <alignment vertical="center" wrapText="1"/>
    </xf>
    <xf numFmtId="0" fontId="58" fillId="0" borderId="19" xfId="0" applyFont="1" applyBorder="1" applyNumberFormat="1">
      <alignment horizontal="right" vertical="center" wrapText="1" indent="1"/>
    </xf>
    <xf numFmtId="0" fontId="58" fillId="0" borderId="17" xfId="0" applyFont="1" applyBorder="1" applyNumberFormat="1">
      <alignment horizontal="right" vertical="center" wrapText="1" indent="1"/>
    </xf>
    <xf numFmtId="0" fontId="58" fillId="0" borderId="18" xfId="0" applyFont="1" applyBorder="1" applyNumberFormat="1">
      <alignment horizontal="left" vertical="top"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pplyNumberFormat="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42" borderId="18" xfId="0" applyFont="1" applyFill="1" applyBorder="1" applyNumberFormat="1">
      <alignment horizontal="left" vertical="top"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21" xfId="0" applyFont="1" applyBorder="1" applyNumberFormat="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pplyNumberFormat="1">
      <alignment horizontal="left" vertical="center" wrapText="1" indent="1"/>
    </xf>
    <xf numFmtId="0" fontId="23" fillId="0" borderId="21" xfId="0" applyFont="1" applyBorder="1" applyNumberFormat="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49" fontId="57" fillId="0" borderId="0" xfId="0" applyFont="1" applyNumberFormat="1">
      <alignment horizontal="center" vertical="center"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58" fillId="0" borderId="32" xfId="0" applyFont="1" applyBorder="1" applyNumberFormat="1">
      <alignment vertical="center" wrapText="1"/>
    </xf>
    <xf numFmtId="0" fontId="23" fillId="42" borderId="18" xfId="0" applyFont="1" applyFill="1" applyBorder="1" applyNumberFormat="1">
      <alignment horizontal="left" vertical="top" wrapText="1"/>
    </xf>
    <xf numFmtId="0" fontId="23" fillId="42" borderId="17" xfId="0" applyFont="1" applyFill="1" applyBorder="1" applyNumberFormat="1">
      <alignment horizontal="left" vertical="top" wrapText="1"/>
    </xf>
    <xf numFmtId="0" fontId="23" fillId="0" borderId="21" xfId="0" applyFont="1" applyBorder="1" applyNumberFormat="1">
      <alignment horizontal="center" vertical="center" wrapText="1"/>
    </xf>
    <xf numFmtId="49" fontId="57" fillId="0" borderId="0" xfId="0" applyFont="1" applyNumberFormat="1">
      <alignment horizontal="center" vertical="center" wrapText="1"/>
    </xf>
    <xf numFmtId="0" fontId="23" fillId="0" borderId="40" xfId="0" applyFont="1" applyBorder="1" applyNumberFormat="1">
      <alignment horizontal="center" vertical="center" wrapText="1"/>
    </xf>
    <xf numFmtId="49" fontId="57" fillId="0" borderId="0" xfId="0" applyFont="1" applyNumberFormat="1">
      <alignment horizontal="center" vertical="center" wrapText="1"/>
    </xf>
    <xf numFmtId="0" fontId="23" fillId="0" borderId="0" xfId="0" applyFont="1" applyNumberFormat="1">
      <alignment horizontal="left" vertical="top" wrapText="1"/>
    </xf>
    <xf numFmtId="0" fontId="23" fillId="0" borderId="0" xfId="0" applyFont="1" applyNumberFormat="1">
      <alignment vertical="top"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27" xfId="0" applyFont="1" applyBorder="1" applyNumberFormat="1">
      <alignment horizontal="center" vertical="center" wrapText="1"/>
    </xf>
    <xf numFmtId="0" fontId="23" fillId="0" borderId="0" xfId="0" applyFont="1" applyNumberFormat="1">
      <alignment horizontal="left" vertical="top" wrapText="1"/>
    </xf>
    <xf numFmtId="49" fontId="58" fillId="0" borderId="0" xfId="0" applyFont="1" applyNumberFormat="1">
      <alignment horizontal="center" vertical="center" wrapText="1"/>
    </xf>
    <xf numFmtId="0" fontId="58" fillId="0" borderId="0" xfId="0" applyFont="1" applyNumberForma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pplyNumberFormat="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0" fontId="23" fillId="0" borderId="2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6" xfId="0" applyFont="1" applyBorder="1" applyNumberFormat="1">
      <alignment horizontal="left" vertical="center" wrapText="1" indent="2"/>
    </xf>
    <xf numFmtId="3" fontId="56" fillId="34" borderId="16" xfId="0" applyFont="1" applyFill="1" applyBorder="1" applyNumberFormat="1">
      <alignment horizontal="right" vertical="center"/>
      <protection locked="0"/>
    </xf>
    <xf numFmtId="49" fontId="57"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pplyNumberFormat="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pplyNumberFormat="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pplyNumberFormat="1">
      <alignment horizontal="left" vertical="center" wrapText="1"/>
    </xf>
    <xf numFmtId="49" fontId="30" fillId="0" borderId="19" xfId="0" applyFont="1" applyBorder="1" applyNumberFormat="1">
      <alignment horizontal="left" vertical="center" wrapText="1"/>
    </xf>
    <xf numFmtId="0" fontId="23" fillId="0" borderId="35" xfId="0" applyFont="1" applyBorder="1" applyNumberFormat="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pplyNumberFormat="1">
      <alignment horizontal="left" vertical="center" wrapText="1"/>
    </xf>
    <xf numFmtId="0" fontId="23" fillId="0" borderId="35" xfId="0" applyFont="1" applyBorder="1" applyNumberFormat="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pplyNumberFormat="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0" fontId="23" fillId="0" borderId="23" xfId="0" applyFont="1" applyBorder="1" applyNumberFormat="1">
      <alignment horizontal="left" vertical="center" wrapText="1" indent="1"/>
    </xf>
    <xf numFmtId="0" fontId="23" fillId="0" borderId="0" xfId="0" applyFont="1" applyNumberFormat="1">
      <alignment vertical="center" wrapText="1"/>
    </xf>
    <xf numFmtId="0" fontId="23" fillId="0" borderId="32" xfId="0" applyFont="1" applyBorder="1" applyNumberFormat="1">
      <alignment horizontal="left" vertical="center" wrapText="1" indent="1"/>
    </xf>
    <xf numFmtId="0" fontId="23" fillId="0" borderId="0" xfId="0" applyFont="1" applyNumberForma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0" fillId="38" borderId="18" xfId="0" applyFont="1" applyFill="1" applyBorder="1" applyNumberFormat="1">
      <alignment horizontal="center" vertical="center" wrapText="1"/>
    </xf>
    <xf numFmtId="0" fontId="0" fillId="38" borderId="19" xfId="0" applyFont="1" applyFill="1" applyBorder="1" applyNumberFormat="1">
      <alignment horizontal="center" vertical="center" wrapText="1"/>
    </xf>
    <xf numFmtId="0" fontId="0" fillId="38" borderId="17" xfId="0" applyFont="1" applyFill="1" applyBorder="1" applyNumberFormat="1">
      <alignment horizontal="center" vertical="center" wrapText="1"/>
    </xf>
    <xf numFmtId="0" fontId="0" fillId="38" borderId="21" xfId="0" applyFont="1" applyFill="1" applyBorder="1" applyNumberFormat="1">
      <alignment horizontal="center" vertical="center" wrapText="1"/>
    </xf>
    <xf numFmtId="0" fontId="23" fillId="38" borderId="21" xfId="0" applyFont="1" applyFill="1" applyBorder="1" applyNumberFormat="1">
      <alignment horizontal="center" vertical="center" wrapText="1"/>
    </xf>
    <xf numFmtId="0" fontId="0" fillId="38" borderId="21" xfId="0" applyFont="1" applyFill="1" applyBorder="1" applyNumberFormat="1">
      <alignment horizontal="center" vertical="center" wrapText="1"/>
    </xf>
    <xf numFmtId="0" fontId="0" fillId="38" borderId="41"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58" fillId="0" borderId="0" xfId="0" applyFont="1" applyNumberFormat="1">
      <alignment horizontal="center" vertical="center" wrapText="1"/>
    </xf>
    <xf numFmtId="49" fontId="58" fillId="0" borderId="16" xfId="0" applyFont="1" applyBorder="1" applyNumberFormat="1">
      <alignment horizontal="center" vertical="center" wrapText="1"/>
    </xf>
    <xf numFmtId="0" fontId="0" fillId="0" borderId="16" xfId="0" applyFont="1" applyBorder="1" applyNumberFormat="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pplyNumberFormat="1">
      <alignment vertical="center" wrapText="1"/>
    </xf>
    <xf numFmtId="0" fontId="57" fillId="0" borderId="0" xfId="0" applyFont="1" applyNumberFormat="1">
      <alignment vertical="center" wrapText="1"/>
    </xf>
    <xf numFmtId="0" fontId="57" fillId="0" borderId="0" xfId="0" applyFont="1" applyNumberFormat="1">
      <alignment vertical="center" wrapText="1"/>
    </xf>
    <xf numFmtId="0" fontId="57" fillId="0" borderId="0" xfId="0" applyFont="1" applyNumberFormat="1">
      <alignment vertical="center" wrapText="1"/>
    </xf>
    <xf numFmtId="0" fontId="43" fillId="0" borderId="0" xfId="0" applyFont="1" applyNumberFormat="1">
      <alignment vertical="center" wrapText="1"/>
    </xf>
    <xf numFmtId="0" fontId="43" fillId="0" borderId="0" xfId="0" applyFont="1" applyNumberFormat="1">
      <alignment vertical="center" wrapText="1"/>
    </xf>
    <xf numFmtId="0" fontId="43" fillId="0" borderId="0" xfId="0" applyFont="1" applyNumberFormat="1">
      <alignment vertical="center" wrapText="1"/>
    </xf>
    <xf numFmtId="0" fontId="23" fillId="0" borderId="32" xfId="0" applyFont="1" applyBorder="1" applyNumberFormat="1">
      <alignment horizontal="left" vertical="center" wrapText="1" indent="1"/>
    </xf>
    <xf numFmtId="0" fontId="23" fillId="0" borderId="0" xfId="0" applyFont="1" applyNumberFormat="1">
      <alignment horizontal="left" vertical="center" wrapText="1" indent="3"/>
    </xf>
    <xf numFmtId="0" fontId="23" fillId="38" borderId="0" xfId="0" applyFont="1" applyFill="1" applyNumberFormat="1">
      <alignment vertical="center" wrapText="1"/>
    </xf>
    <xf numFmtId="0" fontId="23" fillId="38" borderId="43" xfId="0" applyFont="1" applyFill="1" applyBorder="1" applyNumberFormat="1">
      <alignment vertical="center" wrapText="1"/>
    </xf>
    <xf numFmtId="0" fontId="23" fillId="38" borderId="43" xfId="0" applyFont="1" applyFill="1" applyBorder="1" applyNumberFormat="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pplyNumberFormat="1">
      <alignment horizontal="center" wrapText="1"/>
    </xf>
    <xf numFmtId="0" fontId="36" fillId="38" borderId="43" xfId="0" applyFont="1" applyFill="1" applyBorder="1" applyNumberFormat="1">
      <alignment horizontal="center" wrapText="1"/>
    </xf>
    <xf numFmtId="0" fontId="23" fillId="38" borderId="43" xfId="0" applyFont="1" applyFill="1" applyBorder="1" applyNumberFormat="1">
      <alignment vertical="center" wrapText="1"/>
    </xf>
    <xf numFmtId="0" fontId="23" fillId="38" borderId="43" xfId="0" applyFont="1" applyFill="1" applyBorder="1" applyNumberFormat="1">
      <alignment vertical="center" wrapText="1"/>
    </xf>
    <xf numFmtId="49" fontId="23" fillId="0" borderId="0" xfId="0" applyFont="1" applyNumberFormat="1">
      <alignment vertical="top"/>
    </xf>
    <xf numFmtId="0" fontId="23" fillId="0" borderId="66" xfId="0" applyFont="1" applyBorder="1" applyNumberFormat="1">
      <alignment horizontal="center" vertical="center"/>
    </xf>
    <xf numFmtId="0" fontId="23" fillId="0" borderId="67" xfId="0" applyFont="1" applyBorder="1" applyNumberFormat="1">
      <alignment horizontal="center" vertical="center"/>
    </xf>
    <xf numFmtId="0" fontId="23" fillId="0" borderId="73" xfId="0" applyFont="1" applyBorder="1" applyNumberFormat="1">
      <alignment horizontal="center" vertical="center"/>
    </xf>
    <xf numFmtId="0" fontId="23" fillId="0" borderId="42" xfId="0" applyFont="1" applyBorder="1" applyNumberFormat="1">
      <alignment vertical="center" wrapText="1"/>
    </xf>
    <xf numFmtId="0" fontId="23" fillId="38" borderId="16" xfId="0" applyFont="1" applyFill="1" applyBorder="1" applyNumberFormat="1">
      <alignment horizontal="center" vertical="center" wrapText="1"/>
    </xf>
    <xf numFmtId="0" fontId="23" fillId="38" borderId="41" xfId="0" applyFont="1" applyFill="1" applyBorder="1" applyNumberFormat="1">
      <alignment horizontal="center" vertical="center" wrapText="1"/>
    </xf>
    <xf numFmtId="0" fontId="23" fillId="38" borderId="24"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vertical="center" wrapText="1"/>
    </xf>
    <xf numFmtId="0" fontId="23" fillId="38" borderId="0" xfId="0" applyFont="1" applyFill="1" applyNumberFormat="1">
      <alignment vertical="center" wrapText="1"/>
    </xf>
    <xf numFmtId="0" fontId="23" fillId="38" borderId="2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23" fillId="0" borderId="26" xfId="0" applyFont="1" applyBorder="1" applyNumberFormat="1">
      <alignment horizontal="center" vertical="center" wrapText="1"/>
    </xf>
    <xf numFmtId="49" fontId="23" fillId="0" borderId="0" xfId="0" applyFont="1" applyNumberFormat="1">
      <alignment vertical="top"/>
    </xf>
    <xf numFmtId="0" fontId="23" fillId="0" borderId="0" xfId="0" applyFont="1" applyNumberFormat="1">
      <alignment vertical="center" wrapText="1"/>
    </xf>
    <xf numFmtId="49" fontId="106" fillId="0" borderId="0" xfId="0" applyFont="1" applyNumberFormat="1">
      <alignment horizontal="center" vertical="center" wrapText="1"/>
    </xf>
    <xf numFmtId="0" fontId="23" fillId="38" borderId="0" xfId="0" applyFont="1" applyFill="1" applyNumberFormat="1">
      <alignment vertical="center" wrapText="1"/>
    </xf>
    <xf numFmtId="0" fontId="0" fillId="0" borderId="16" xfId="0" applyFont="1" applyBorder="1" applyNumberFormat="1">
      <alignment horizontal="center" vertical="center" wrapText="1"/>
    </xf>
    <xf numFmtId="49" fontId="23" fillId="0" borderId="0" xfId="0" applyFont="1" applyNumberFormat="1">
      <alignment vertical="top"/>
    </xf>
    <xf numFmtId="0" fontId="23" fillId="38" borderId="31" xfId="0" applyFont="1" applyFill="1" applyBorder="1" applyNumberFormat="1">
      <alignment horizontal="center" vertical="center" wrapText="1"/>
    </xf>
    <xf numFmtId="0" fontId="23" fillId="38" borderId="34"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38" borderId="0" xfId="0" applyFont="1" applyFill="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pplyNumberFormat="1">
      <alignment horizontal="lef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38" borderId="23" xfId="0" applyFont="1" applyFill="1" applyBorder="1" applyNumberFormat="1">
      <alignment vertical="center" wrapText="1"/>
    </xf>
    <xf numFmtId="49" fontId="58" fillId="0" borderId="0" xfId="0" applyFont="1" applyNumberFormat="1">
      <alignment vertical="top"/>
    </xf>
    <xf numFmtId="0" fontId="58" fillId="0" borderId="43" xfId="0" applyFont="1" applyBorder="1" applyNumberFormat="1">
      <alignment vertical="center" wrapText="1"/>
    </xf>
    <xf numFmtId="0" fontId="23" fillId="0" borderId="79" xfId="0" applyFont="1" applyBorder="1" applyNumberFormat="1">
      <alignment horizontal="center" vertical="center"/>
    </xf>
    <xf numFmtId="0" fontId="23" fillId="0" borderId="47" xfId="0" applyFont="1" applyBorder="1" applyNumberFormat="1">
      <alignment horizontal="center" vertical="center"/>
    </xf>
    <xf numFmtId="0" fontId="23" fillId="0" borderId="42" xfId="0" applyFont="1" applyBorder="1" applyNumberFormat="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pplyNumberFormat="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pplyNumberFormat="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pplyNumberForma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pplyNumberFormat="1">
      <alignment horizontal="center" vertical="center" wrapText="1"/>
    </xf>
    <xf numFmtId="0" fontId="23" fillId="54" borderId="18" xfId="0" applyFont="1" applyFill="1" applyBorder="1" applyNumberFormat="1">
      <alignment horizontal="center" vertical="center" wrapText="1"/>
    </xf>
    <xf numFmtId="0" fontId="23" fillId="54" borderId="19" xfId="0" applyFont="1" applyFill="1" applyBorder="1" applyNumberFormat="1">
      <alignment horizontal="center" vertical="center" wrapText="1"/>
    </xf>
    <xf numFmtId="0" fontId="23" fillId="54" borderId="17" xfId="0" applyFont="1" applyFill="1" applyBorder="1" applyNumberFormat="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5" borderId="16" xfId="0" applyFont="1" applyFill="1" applyBorder="1" applyNumberFormat="1">
      <alignment horizontal="center" vertical="center" wrapText="1"/>
    </xf>
    <xf numFmtId="0" fontId="23" fillId="35" borderId="18" xfId="0" applyFont="1" applyFill="1" applyBorder="1" applyNumberFormat="1">
      <alignment horizontal="center" vertical="center" wrapText="1"/>
    </xf>
    <xf numFmtId="0" fontId="23" fillId="38" borderId="18" xfId="0" applyFont="1" applyFill="1" applyBorder="1" applyNumberFormat="1">
      <alignment horizontal="center" vertical="center" wrapText="1"/>
    </xf>
    <xf numFmtId="0" fontId="23" fillId="38" borderId="19" xfId="0" applyFont="1" applyFill="1" applyBorder="1" applyNumberFormat="1">
      <alignment horizontal="center" vertical="center" wrapText="1"/>
    </xf>
    <xf numFmtId="0" fontId="23" fillId="38" borderId="17" xfId="0" applyFont="1" applyFill="1" applyBorder="1" applyNumberFormat="1">
      <alignment horizontal="center" vertical="center" wrapText="1"/>
    </xf>
    <xf numFmtId="0" fontId="23" fillId="35" borderId="17" xfId="0" applyFont="1" applyFill="1" applyBorder="1" applyNumberFormat="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pplyNumberFormat="1">
      <alignment horizontal="center" vertical="center" wrapText="1"/>
    </xf>
    <xf numFmtId="0" fontId="23" fillId="38" borderId="24"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38" borderId="2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23" fillId="38" borderId="31" xfId="0" applyFont="1" applyFill="1" applyBorder="1" applyNumberFormat="1">
      <alignment horizontal="center" vertical="center" wrapText="1"/>
    </xf>
    <xf numFmtId="0" fontId="23" fillId="38" borderId="34"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49" fontId="23" fillId="35" borderId="32" xfId="0" applyFont="1" applyFill="1" applyBorder="1" applyNumberFormat="1">
      <alignment horizontal="center" vertical="center" wrapText="1"/>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pplyNumberFormat="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pplyNumberFormat="1">
      <alignment horizontal="right" vertical="center"/>
    </xf>
    <xf numFmtId="0" fontId="23" fillId="0" borderId="21" xfId="0" applyFont="1" applyBorder="1" applyNumberFormat="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pplyNumberForma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58" fillId="0" borderId="0" xfId="0" applyFont="1" applyNumberFormat="1">
      <alignment horizontal="center" vertical="center"/>
    </xf>
    <xf numFmtId="0" fontId="57" fillId="0" borderId="0" xfId="0" applyFont="1" applyNumberFormat="1">
      <alignment horizontal="center" vertical="center" wrapText="1"/>
    </xf>
    <xf numFmtId="0" fontId="23" fillId="0" borderId="0" xfId="0" applyFont="1" applyNumberFormat="1">
      <alignment horizontal="right" vertical="center" wrapText="1"/>
    </xf>
    <xf numFmtId="0" fontId="23" fillId="0" borderId="21" xfId="0" applyFont="1" applyBorder="1" applyNumberFormat="1">
      <alignment horizontal="center"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pplyNumberFormat="1">
      <alignment horizontal="center" vertical="center" wrapText="1"/>
    </xf>
    <xf numFmtId="0" fontId="23" fillId="0" borderId="0" xfId="0" applyFont="1" applyNumberFormat="1">
      <alignment horizontal="left" vertical="top" wrapText="1"/>
    </xf>
    <xf numFmtId="0" fontId="43" fillId="0" borderId="0" xfId="0" applyFont="1" applyNumberFormat="1">
      <alignment vertical="center" wrapText="1"/>
    </xf>
    <xf numFmtId="0" fontId="48" fillId="38" borderId="0" xfId="0" applyFont="1" applyFill="1" applyNumberFormat="1">
      <alignment horizontal="center" vertical="center" wrapText="1"/>
    </xf>
    <xf numFmtId="0" fontId="23" fillId="38" borderId="0" xfId="0" applyFont="1" applyFill="1" applyNumberFormat="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pplyNumberFormat="1">
      <alignment horizontal="center" vertical="center" wrapText="1"/>
    </xf>
    <xf numFmtId="0" fontId="43" fillId="38" borderId="0" xfId="0" applyFont="1" applyFill="1" applyNumberFormat="1"/>
    <xf numFmtId="0" fontId="23"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0" fontId="48" fillId="38" borderId="0" xfId="0" applyFont="1" applyFill="1" applyNumberFormat="1">
      <alignment horizontal="center" vertical="center"/>
    </xf>
    <xf numFmtId="0" fontId="23" fillId="38" borderId="0" xfId="0" applyFont="1" applyFill="1" applyNumberFormat="1"/>
    <xf numFmtId="0" fontId="23" fillId="0" borderId="17" xfId="0" applyFont="1" applyBorder="1" applyNumberFormat="1">
      <alignment horizontal="left" vertical="center" wrapText="1" indent="1"/>
    </xf>
    <xf numFmtId="0" fontId="23" fillId="0" borderId="18" xfId="0" applyFont="1" applyBorder="1" applyNumberFormat="1">
      <alignment horizontal="left" vertical="center" wrapText="1" indent="1"/>
    </xf>
    <xf numFmtId="0" fontId="72" fillId="0" borderId="0" xfId="0" applyFont="1" applyNumberFormat="1"/>
    <xf numFmtId="0" fontId="23" fillId="0" borderId="16" xfId="0" applyFont="1" applyBorder="1" applyNumberFormat="1">
      <alignment horizontal="center" vertical="center" wrapText="1"/>
    </xf>
    <xf numFmtId="0" fontId="23" fillId="38" borderId="21" xfId="0" applyFont="1" applyFill="1" applyBorder="1" applyNumberFormat="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pplyNumberForma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pplyNumberFormat="1">
      <alignment horizontal="center" vertical="center" wrapText="1"/>
      <protection locked="0"/>
    </xf>
    <xf numFmtId="0" fontId="57" fillId="38" borderId="0" xfId="0" applyFont="1" applyFill="1" applyNumberFormat="1"/>
    <xf numFmtId="49"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0" fontId="76" fillId="38" borderId="0" xfId="0" applyFont="1" applyFill="1" applyNumberFormat="1"/>
    <xf numFmtId="0" fontId="23" fillId="38" borderId="16" xfId="0" applyFont="1" applyFill="1" applyBorder="1" applyNumberFormat="1">
      <alignment horizontal="left" vertical="center" wrapText="1"/>
    </xf>
    <xf numFmtId="0" fontId="23" fillId="0" borderId="16" xfId="0" applyFont="1" applyBorder="1" applyNumberFormat="1">
      <alignment horizontal="center" vertical="center" wrapText="1"/>
    </xf>
    <xf numFmtId="49" fontId="23" fillId="0" borderId="16" xfId="0" applyFont="1" applyBorder="1" applyNumberFormat="1">
      <alignment horizontal="center" vertical="center"/>
    </xf>
    <xf numFmtId="0" fontId="23" fillId="0" borderId="16" xfId="0" applyFont="1" applyBorder="1" applyNumberFormat="1">
      <alignment horizontal="left" vertical="center" wrapText="1" indent="1"/>
    </xf>
    <xf numFmtId="0" fontId="23" fillId="0" borderId="16" xfId="0" applyFont="1" applyBorder="1" applyNumberFormat="1">
      <alignment vertical="center" wrapText="1"/>
    </xf>
    <xf numFmtId="0" fontId="23" fillId="38" borderId="16" xfId="0" applyFont="1" applyFill="1" applyBorder="1" applyNumberFormat="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pplyNumberFormat="1">
      <alignment horizontal="center" vertical="center" wrapText="1"/>
    </xf>
    <xf numFmtId="0" fontId="23" fillId="38" borderId="28" xfId="0" applyFont="1" applyFill="1" applyBorder="1" applyNumberFormat="1">
      <alignment horizontal="center" vertical="center" wrapText="1"/>
    </xf>
    <xf numFmtId="0" fontId="0" fillId="38" borderId="21" xfId="0" applyFont="1" applyFill="1" applyBorder="1" applyNumberFormat="1">
      <alignment horizontal="left" vertical="top" wrapText="1"/>
    </xf>
    <xf numFmtId="0" fontId="75" fillId="38" borderId="0" xfId="0" applyFont="1" applyFill="1" applyNumberFormat="1"/>
    <xf numFmtId="0" fontId="81" fillId="38" borderId="0" xfId="0" applyFont="1" applyFill="1" applyNumberFormat="1">
      <alignment vertical="center" wrapText="1"/>
    </xf>
    <xf numFmtId="0" fontId="58" fillId="38" borderId="16" xfId="0" applyFont="1" applyFill="1" applyBorder="1" applyNumberFormat="1">
      <alignment horizontal="center" vertical="center"/>
    </xf>
    <xf numFmtId="0" fontId="0" fillId="38" borderId="40" xfId="0" applyFont="1" applyFill="1" applyBorder="1" applyNumberFormat="1">
      <alignment horizontal="left" vertical="top" wrapText="1"/>
    </xf>
    <xf numFmtId="0" fontId="0" fillId="38" borderId="27" xfId="0" applyFont="1" applyFill="1" applyBorder="1" applyNumberFormat="1">
      <alignment horizontal="left" vertical="top" wrapText="1"/>
    </xf>
    <xf numFmtId="0" fontId="92" fillId="38" borderId="0" xfId="0" applyFont="1" applyFill="1" applyNumberFormat="1"/>
    <xf numFmtId="0" fontId="23" fillId="0" borderId="16" xfId="0" applyFont="1" applyBorder="1" applyNumberFormat="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pplyNumberFormat="1">
      <alignment vertical="center"/>
    </xf>
    <xf numFmtId="0" fontId="48" fillId="0" borderId="0" xfId="0" applyFont="1" applyNumberFormat="1">
      <alignment horizontal="center" vertical="center" wrapText="1"/>
    </xf>
    <xf numFmtId="4" fontId="23" fillId="0" borderId="21" xfId="0" applyFont="1" applyBorder="1" applyNumberFormat="1">
      <alignment horizontal="center" vertical="center" wrapText="1"/>
    </xf>
    <xf numFmtId="167" fontId="23" fillId="0" borderId="41" xfId="0" applyFont="1" applyBorder="1" applyNumberFormat="1">
      <alignment horizontal="center" vertical="center" wrapText="1"/>
    </xf>
    <xf numFmtId="167"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pplyNumberFormat="1">
      <alignment vertical="center" wrapText="1"/>
    </xf>
    <xf numFmtId="0" fontId="23" fillId="42" borderId="27" xfId="0" applyFont="1" applyFill="1" applyBorder="1" applyNumberFormat="1">
      <alignment horizontal="left" vertical="center" wrapText="1" indent="1"/>
    </xf>
    <xf numFmtId="170" fontId="58" fillId="0" borderId="0" xfId="0" applyFont="1" applyNumberFormat="1">
      <alignment horizontal="center" vertical="center" wrapText="1"/>
    </xf>
    <xf numFmtId="167" fontId="23" fillId="0" borderId="21" xfId="0" applyFont="1" applyBorder="1" applyNumberFormat="1">
      <alignment horizontal="center" vertical="center" wrapText="1"/>
    </xf>
    <xf numFmtId="167" fontId="23" fillId="0" borderId="21" xfId="0" applyFont="1" applyBorder="1" applyNumberFormat="1">
      <alignment horizontal="center" vertical="center" wrapText="1"/>
    </xf>
    <xf numFmtId="167" fontId="23" fillId="0" borderId="18" xfId="0" applyFont="1" applyBorder="1" applyNumberFormat="1">
      <alignment horizontal="center" vertical="center" wrapText="1"/>
    </xf>
    <xf numFmtId="167" fontId="23" fillId="0" borderId="19" xfId="0" applyFont="1" applyBorder="1" applyNumberFormat="1">
      <alignment horizontal="center" vertical="center" wrapText="1"/>
    </xf>
    <xf numFmtId="167"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167" fontId="23" fillId="0" borderId="27" xfId="0" applyFont="1" applyBorder="1" applyNumberFormat="1">
      <alignment horizontal="center" vertical="center" wrapText="1"/>
    </xf>
    <xf numFmtId="167" fontId="23" fillId="0" borderId="27" xfId="0" applyFont="1" applyBorder="1" applyNumberFormat="1">
      <alignment horizontal="center" vertical="center" wrapText="1"/>
    </xf>
    <xf numFmtId="167"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pplyNumberFormat="1">
      <alignment horizontal="center" vertical="center" wrapText="1"/>
    </xf>
    <xf numFmtId="0" fontId="53" fillId="0" borderId="0" xfId="0" applyFont="1" applyNumberFormat="1">
      <alignment horizontal="center" vertical="center" wrapText="1"/>
    </xf>
    <xf numFmtId="0" fontId="23" fillId="0" borderId="0" xfId="0" applyFont="1" applyNumberFormat="1">
      <alignment horizontal="center" vertical="center" wrapText="1"/>
    </xf>
    <xf numFmtId="167" fontId="56" fillId="0" borderId="62" xfId="0" applyFont="1" applyBorder="1" applyNumberFormat="1">
      <alignment horizontal="center" vertical="center" wrapText="1"/>
    </xf>
    <xf numFmtId="167" fontId="56" fillId="0" borderId="62" xfId="0" applyFont="1" applyBorder="1" applyNumberFormat="1">
      <alignment horizontal="center" vertical="center" wrapText="1"/>
    </xf>
    <xf numFmtId="167" fontId="56" fillId="0" borderId="61" xfId="0" applyFont="1" applyBorder="1" applyNumberFormat="1">
      <alignment horizontal="center" vertical="center" wrapText="1"/>
    </xf>
    <xf numFmtId="167" fontId="56" fillId="0" borderId="55" xfId="0" applyFont="1" applyBorder="1" applyNumberFormat="1">
      <alignment horizontal="center" vertical="center" wrapText="1"/>
    </xf>
    <xf numFmtId="167" fontId="56" fillId="0" borderId="80" xfId="0" applyFont="1" applyBorder="1" applyNumberFormat="1">
      <alignment horizontal="center" vertical="center" wrapText="1"/>
    </xf>
    <xf numFmtId="0" fontId="58" fillId="0" borderId="0" xfId="0" applyFont="1" applyNumberFormat="1">
      <alignment horizontal="center" vertical="center"/>
    </xf>
    <xf numFmtId="0" fontId="58" fillId="0" borderId="0" xfId="0" applyFont="1" applyNumberFormat="1">
      <alignment horizontal="center" vertical="center"/>
    </xf>
    <xf numFmtId="0" fontId="63" fillId="0" borderId="0" xfId="0" applyFont="1" applyNumberFormat="1">
      <alignment horizontal="center" vertical="center"/>
    </xf>
    <xf numFmtId="0" fontId="23" fillId="0" borderId="27" xfId="0" applyFont="1" applyBorder="1" applyNumberFormat="1">
      <alignment horizontal="center" vertical="center" wrapText="1"/>
    </xf>
    <xf numFmtId="167" fontId="23" fillId="0" borderId="16" xfId="0" applyFont="1" applyBorder="1" applyNumberFormat="1">
      <alignment horizontal="center" vertical="center" wrapText="1"/>
    </xf>
    <xf numFmtId="167" fontId="23" fillId="0" borderId="16" xfId="0" applyFont="1" applyBorder="1" applyNumberFormat="1">
      <alignment horizontal="center" vertical="center" wrapText="1"/>
    </xf>
    <xf numFmtId="0" fontId="23" fillId="42" borderId="27" xfId="0" applyFont="1" applyFill="1" applyBorder="1" applyNumberFormat="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applyNumberForma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xf numFmtId="0" fontId="1" fillId="0" borderId="0" xfId="0" applyFont="1" applyNumberFormat="1"/>
    <xf numFmtId="0" fontId="38" fillId="0" borderId="0" xfId="0" applyFont="1" applyNumberFormat="1"/>
    <xf numFmtId="0" fontId="38" fillId="0" borderId="0" xfId="0" applyFont="1" applyNumberFormat="1"/>
    <xf numFmtId="49" fontId="23" fillId="42" borderId="15" xfId="0" applyFont="1" applyFill="1" applyBorder="1" applyNumberFormat="1">
      <alignment horizontal="center" vertical="top"/>
    </xf>
    <xf numFmtId="49" fontId="49" fillId="0" borderId="11" xfId="0" applyFont="1" applyBorder="1" applyNumberFormat="1">
      <alignment vertical="top" wrapText="1"/>
    </xf>
    <xf numFmtId="0" fontId="0" fillId="0" borderId="11" xfId="0" applyFont="1" applyBorder="1" applyNumberFormat="1">
      <alignment vertical="top" wrapText="1"/>
    </xf>
    <xf numFmtId="0" fontId="22" fillId="0" borderId="22" xfId="0" applyFont="1" applyBorder="1" applyNumberFormat="1">
      <alignment vertical="top" wrapText="1"/>
    </xf>
    <xf numFmtId="0" fontId="0" fillId="0" borderId="0" xfId="0" applyFont="1" applyNumberFormat="1">
      <alignment vertical="top"/>
    </xf>
    <xf numFmtId="0" fontId="0" fillId="0" borderId="16" xfId="0" applyFont="1" applyBorder="1" applyNumberFormat="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pplyNumberFormat="1">
      <alignment vertical="center" wrapText="1"/>
    </xf>
    <xf numFmtId="0" fontId="22" fillId="0" borderId="0" xfId="0" applyFont="1" applyNumberFormat="1">
      <alignment vertical="top" wrapText="1"/>
    </xf>
    <xf numFmtId="0" fontId="23" fillId="0" borderId="11" xfId="0" applyFont="1" applyBorder="1" applyNumberFormat="1">
      <alignment vertical="center" wrapText="1"/>
    </xf>
    <xf numFmtId="0" fontId="124" fillId="0" borderId="0" xfId="0" applyFont="1" applyNumberFormat="1">
      <alignment wrapText="1"/>
    </xf>
    <xf numFmtId="49" fontId="74" fillId="0" borderId="0" xfId="0" applyFont="1" applyNumberFormat="1">
      <alignment wrapText="1"/>
    </xf>
    <xf numFmtId="49" fontId="74" fillId="0" borderId="0" xfId="0" applyFont="1" applyNumberFormat="1">
      <alignment vertical="center" wrapText="1"/>
    </xf>
    <xf numFmtId="49" fontId="125" fillId="0" borderId="0" xfId="0" applyFont="1" applyNumberFormat="1">
      <alignment wrapText="1"/>
    </xf>
    <xf numFmtId="0" fontId="110" fillId="0" borderId="0" xfId="0" applyFont="1" applyNumberFormat="1">
      <alignment vertical="center" wrapText="1"/>
    </xf>
    <xf numFmtId="0" fontId="110" fillId="0" borderId="0" xfId="0" applyFont="1" applyNumberFormat="1">
      <alignment horizontal="left" vertical="center" wrapText="1"/>
    </xf>
    <xf numFmtId="49" fontId="126" fillId="0" borderId="0" xfId="0" applyFont="1" applyNumberFormat="1">
      <alignment wrapText="1"/>
    </xf>
    <xf numFmtId="0" fontId="110" fillId="0" borderId="0" xfId="0" applyFont="1" applyNumberFormat="1">
      <alignment vertical="center"/>
    </xf>
    <xf numFmtId="0" fontId="22" fillId="0" borderId="0" xfId="0" applyFont="1" applyNumberFormat="1">
      <alignment horizontal="left" vertical="top" wrapText="1"/>
    </xf>
    <xf numFmtId="49" fontId="23" fillId="0" borderId="0" xfId="0" applyFont="1" applyNumberFormat="1">
      <alignment vertical="top" wrapText="1"/>
    </xf>
    <xf numFmtId="0" fontId="22" fillId="37" borderId="69" xfId="0" applyFont="1" applyFill="1" applyBorder="1" applyNumberFormat="1">
      <alignment horizontal="center" vertical="center" wrapText="1"/>
    </xf>
    <xf numFmtId="0" fontId="22" fillId="37" borderId="70" xfId="0" applyFont="1" applyFill="1" applyBorder="1" applyNumberFormat="1">
      <alignment horizontal="center" vertical="center" wrapText="1"/>
    </xf>
    <xf numFmtId="0" fontId="22" fillId="37" borderId="71" xfId="0" applyFont="1" applyFill="1" applyBorder="1" applyNumberFormat="1">
      <alignment horizontal="center" vertical="center" wrapText="1"/>
    </xf>
    <xf numFmtId="0" fontId="74" fillId="0" borderId="0" xfId="0" applyFont="1" applyNumberFormat="1">
      <alignment wrapText="1"/>
    </xf>
    <xf numFmtId="0" fontId="22" fillId="51" borderId="42" xfId="0" applyFont="1" applyFill="1" applyBorder="1" applyNumberFormat="1">
      <alignment horizontal="right" vertical="center" wrapText="1" indent="1"/>
    </xf>
    <xf numFmtId="0" fontId="22" fillId="51" borderId="72" xfId="0" applyFont="1" applyFill="1" applyBorder="1" applyNumberFormat="1">
      <alignment horizontal="right" vertical="center" wrapText="1" indent="1"/>
    </xf>
    <xf numFmtId="0" fontId="127" fillId="0" borderId="0" xfId="0" applyFont="1" applyNumberFormat="1">
      <alignment horizontal="left" vertical="center" wrapText="1"/>
    </xf>
    <xf numFmtId="0" fontId="128" fillId="0" borderId="0" xfId="0" applyFont="1" applyNumberFormat="1">
      <alignment vertical="center" wrapText="1"/>
    </xf>
    <xf numFmtId="0" fontId="74" fillId="0" borderId="42" xfId="0" applyFont="1" applyBorder="1" applyNumberFormat="1">
      <alignment wrapText="1"/>
    </xf>
    <xf numFmtId="0" fontId="74" fillId="0" borderId="0" xfId="0" applyFont="1" applyNumberFormat="1"/>
    <xf numFmtId="0" fontId="127" fillId="0" borderId="0" xfId="0" applyFont="1" applyNumberFormat="1"/>
    <xf numFmtId="0" fontId="129" fillId="0" borderId="0" xfId="0" applyFont="1" applyNumberFormat="1">
      <alignment wrapText="1"/>
    </xf>
    <xf numFmtId="0" fontId="0" fillId="34" borderId="66" xfId="0" applyFont="1" applyFill="1" applyBorder="1" applyNumberFormat="1">
      <alignment horizontal="center" vertical="center" wrapText="1"/>
    </xf>
    <xf numFmtId="0" fontId="129" fillId="0" borderId="42" xfId="0" applyFont="1" applyBorder="1" applyNumberFormat="1">
      <alignment vertical="center" wrapText="1"/>
    </xf>
    <xf numFmtId="0" fontId="129" fillId="0" borderId="0" xfId="0" applyFont="1" applyNumberFormat="1">
      <alignment vertical="center" wrapText="1"/>
    </xf>
    <xf numFmtId="0" fontId="0" fillId="58" borderId="66" xfId="0" applyFont="1" applyFill="1" applyBorder="1" applyNumberFormat="1">
      <alignment horizontal="center" vertical="center" wrapText="1"/>
    </xf>
    <xf numFmtId="0" fontId="129" fillId="0" borderId="42" xfId="0" applyFont="1" applyBorder="1" applyNumberFormat="1">
      <alignment horizontal="left" vertical="center" wrapText="1"/>
    </xf>
    <xf numFmtId="0" fontId="129" fillId="0" borderId="0" xfId="0" applyFont="1" applyNumberFormat="1">
      <alignment horizontal="left" vertical="center" wrapText="1"/>
    </xf>
    <xf numFmtId="0" fontId="0" fillId="42" borderId="66" xfId="0" applyFont="1" applyFill="1" applyBorder="1" applyNumberFormat="1">
      <alignment horizontal="center" vertical="center" wrapText="1"/>
    </xf>
    <xf numFmtId="0" fontId="0" fillId="45" borderId="66" xfId="0" applyFont="1" applyFill="1" applyBorder="1" applyNumberFormat="1">
      <alignment horizontal="center" vertical="center" wrapText="1"/>
    </xf>
    <xf numFmtId="0" fontId="22" fillId="51" borderId="0" xfId="0" applyFont="1" applyFill="1" applyNumberFormat="1">
      <alignment horizontal="right" vertical="center" wrapText="1" indent="1"/>
    </xf>
    <xf numFmtId="0" fontId="127" fillId="0" borderId="42" xfId="0" applyFont="1" applyBorder="1" applyNumberFormat="1">
      <alignment horizontal="left" vertical="center" wrapText="1"/>
    </xf>
    <xf numFmtId="0" fontId="127" fillId="0" borderId="67" xfId="0" applyFont="1" applyBorder="1" applyNumberFormat="1">
      <alignment horizontal="left" vertical="center" wrapText="1"/>
    </xf>
    <xf numFmtId="0" fontId="22" fillId="51" borderId="66" xfId="0" applyFont="1" applyFill="1" applyBorder="1" applyNumberFormat="1">
      <alignment horizontal="right" vertical="center" wrapText="1" indent="1"/>
    </xf>
    <xf numFmtId="0" fontId="22" fillId="51" borderId="73" xfId="0" applyFont="1" applyFill="1" applyBorder="1" applyNumberFormat="1">
      <alignment horizontal="right" vertical="center" wrapText="1" indent="1"/>
    </xf>
    <xf numFmtId="0" fontId="129" fillId="0" borderId="0" xfId="0" applyFont="1" applyNumberFormat="1"/>
    <xf numFmtId="0" fontId="129" fillId="0" borderId="42" xfId="0" applyFont="1" applyBorder="1" applyNumberFormat="1">
      <alignment wrapText="1"/>
    </xf>
    <xf numFmtId="0" fontId="129" fillId="0" borderId="0" xfId="0" applyFont="1" applyNumberFormat="1">
      <alignment vertical="top" wrapText="1"/>
    </xf>
    <xf numFmtId="0" fontId="22" fillId="51" borderId="68" xfId="0" applyFont="1" applyFill="1" applyBorder="1" applyNumberFormat="1">
      <alignment horizontal="right" vertical="center" wrapText="1" indent="1"/>
    </xf>
    <xf numFmtId="0" fontId="22" fillId="51" borderId="43" xfId="0" applyFont="1" applyFill="1" applyBorder="1" applyNumberFormat="1">
      <alignment horizontal="right" vertical="center" wrapText="1" indent="1"/>
    </xf>
    <xf numFmtId="0" fontId="74" fillId="0" borderId="68" xfId="0" applyFont="1" applyBorder="1" applyNumberFormat="1">
      <alignment wrapText="1"/>
    </xf>
    <xf numFmtId="0" fontId="74" fillId="0" borderId="43" xfId="0" applyFont="1" applyBorder="1" applyNumberFormat="1">
      <alignment wrapText="1"/>
    </xf>
    <xf numFmtId="0" fontId="74" fillId="0" borderId="43" xfId="0" applyFont="1" applyBorder="1" applyNumberFormat="1">
      <alignment vertical="center" wrapText="1"/>
    </xf>
    <xf numFmtId="0" fontId="125" fillId="0" borderId="0" xfId="0" applyFont="1" applyNumberFormat="1"/>
    <xf numFmtId="0" fontId="129" fillId="0" borderId="0" xfId="0" applyFont="1" applyNumberFormat="1">
      <alignment vertical="top" wrapText="1"/>
    </xf>
    <xf numFmtId="49" fontId="74" fillId="0" borderId="0" xfId="0" applyFont="1" applyNumberFormat="1">
      <alignment vertical="top" wrapText="1"/>
    </xf>
    <xf numFmtId="0" fontId="38" fillId="0" borderId="0" xfId="0" applyFont="1" applyNumberFormat="1"/>
    <xf numFmtId="0" fontId="71" fillId="0" borderId="0" xfId="0" applyFont="1" applyNumberFormat="1">
      <alignment vertical="center" wrapText="1"/>
    </xf>
    <xf numFmtId="0" fontId="99" fillId="0" borderId="0" xfId="0" applyFont="1" applyNumberFormat="1">
      <alignment horizontal="left" vertical="center" wrapText="1"/>
    </xf>
    <xf numFmtId="0" fontId="71" fillId="0" borderId="0" xfId="0" applyFont="1" applyNumberFormat="1">
      <alignment horizontal="left" vertical="center" wrapText="1"/>
    </xf>
    <xf numFmtId="0" fontId="71" fillId="0" borderId="0" xfId="0" applyFont="1" applyNumberFormat="1">
      <alignment vertical="center" wrapText="1"/>
    </xf>
    <xf numFmtId="0" fontId="43" fillId="0" borderId="0" xfId="0" applyFont="1" applyNumberFormat="1">
      <alignment horizontal="center" vertical="center" wrapText="1"/>
    </xf>
    <xf numFmtId="0" fontId="43" fillId="0" borderId="0" xfId="0" applyFont="1" applyNumberFormat="1">
      <alignment vertical="center" wrapText="1"/>
    </xf>
    <xf numFmtId="0" fontId="58" fillId="0" borderId="0" xfId="0" applyFont="1" applyNumberFormat="1">
      <alignment vertical="center" wrapText="1"/>
    </xf>
    <xf numFmtId="0" fontId="43" fillId="0" borderId="0" xfId="0" applyFont="1" applyNumberFormat="1">
      <alignment vertical="center" wrapText="1"/>
    </xf>
    <xf numFmtId="0" fontId="43" fillId="0" borderId="0" xfId="0" applyFont="1" applyNumberFormat="1">
      <alignment horizontal="left" vertical="center" wrapText="1"/>
    </xf>
    <xf numFmtId="0" fontId="23" fillId="0" borderId="0" xfId="0" applyFont="1" applyNumberFormat="1">
      <alignment horizontal="left" vertical="top" indent="1"/>
    </xf>
    <xf numFmtId="49" fontId="74" fillId="0" borderId="0" xfId="0" applyFont="1" applyNumberFormat="1">
      <alignment vertical="top"/>
    </xf>
    <xf numFmtId="49" fontId="131" fillId="0" borderId="0" xfId="0" applyFont="1" applyNumberFormat="1">
      <alignment vertical="center" wrapText="1"/>
    </xf>
    <xf numFmtId="49" fontId="132"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57" fillId="0" borderId="0" xfId="0" applyFont="1" applyNumberFormat="1">
      <alignment vertical="top"/>
    </xf>
    <xf numFmtId="49" fontId="0" fillId="0" borderId="0" xfId="0" applyFont="1" applyNumberFormat="1">
      <alignment vertical="top"/>
    </xf>
    <xf numFmtId="0" fontId="68" fillId="0" borderId="0" xfId="0" applyFont="1" applyNumberFormat="1">
      <alignment vertical="center" wrapText="1"/>
    </xf>
    <xf numFmtId="0" fontId="99" fillId="0" borderId="0" xfId="0" applyFont="1" applyNumberFormat="1">
      <alignment horizontal="left" vertical="center" wrapText="1"/>
    </xf>
    <xf numFmtId="0" fontId="66" fillId="0" borderId="0" xfId="0" applyFont="1" applyNumberFormat="1">
      <alignment horizontal="left" vertical="center" wrapText="1"/>
    </xf>
    <xf numFmtId="0" fontId="67" fillId="0" borderId="0" xfId="0" applyFont="1" applyNumberFormat="1">
      <alignment vertical="center" wrapText="1"/>
    </xf>
    <xf numFmtId="0" fontId="68" fillId="38" borderId="0" xfId="0" applyFont="1" applyFill="1" applyNumberFormat="1">
      <alignment vertical="center" wrapText="1"/>
    </xf>
    <xf numFmtId="0" fontId="68" fillId="0" borderId="0" xfId="0" applyFont="1" applyNumberFormat="1">
      <alignment vertical="center" wrapText="1"/>
    </xf>
    <xf numFmtId="0" fontId="68" fillId="0" borderId="0" xfId="0" applyFont="1" applyNumberFormat="1">
      <alignment horizontal="righ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6" fillId="0" borderId="0" xfId="0" applyFont="1" applyNumberFormat="1">
      <alignment vertical="center" wrapText="1"/>
    </xf>
    <xf numFmtId="0" fontId="45" fillId="38" borderId="0" xfId="0" applyFont="1" applyFill="1" applyNumberFormat="1">
      <alignment vertical="center" wrapText="1"/>
    </xf>
    <xf numFmtId="0" fontId="23" fillId="0" borderId="17" xfId="0" applyFont="1" applyBorder="1" applyNumberFormat="1">
      <alignment horizontal="center" vertical="center" wrapText="1"/>
    </xf>
    <xf numFmtId="0" fontId="23" fillId="0" borderId="18" xfId="0" applyFont="1" applyBorder="1" applyNumberFormat="1">
      <alignment horizontal="center" vertical="center" wrapText="1"/>
    </xf>
    <xf numFmtId="0" fontId="36" fillId="38" borderId="0" xfId="0" applyFont="1" applyFill="1" applyNumberFormat="1">
      <alignment vertical="center" wrapText="1"/>
    </xf>
    <xf numFmtId="0" fontId="104" fillId="0" borderId="0" xfId="0" applyFont="1" applyNumberFormat="1">
      <alignment vertical="center" wrapText="1"/>
    </xf>
    <xf numFmtId="0" fontId="68" fillId="38" borderId="0" xfId="0" applyFont="1" applyFill="1" applyNumberFormat="1">
      <alignment horizontal="right" vertical="center" wrapText="1" indent="1"/>
    </xf>
    <xf numFmtId="0" fontId="70" fillId="38" borderId="0" xfId="0" applyFont="1" applyFill="1" applyNumberFormat="1">
      <alignment horizontal="center" vertical="center" wrapText="1"/>
    </xf>
    <xf numFmtId="0" fontId="23" fillId="38" borderId="30" xfId="0" applyFont="1" applyFill="1" applyBorder="1" applyNumberFormat="1">
      <alignment horizontal="right" vertical="center" wrapText="1" indent="1"/>
    </xf>
    <xf numFmtId="0" fontId="0" fillId="42" borderId="16" xfId="0" applyFont="1" applyFill="1" applyBorder="1" applyNumberFormat="1">
      <alignment horizontal="left" vertical="center" wrapText="1" indent="1"/>
    </xf>
    <xf numFmtId="14" fontId="99" fillId="38" borderId="0" xfId="0" applyFont="1" applyFill="1" applyNumberFormat="1">
      <alignment horizontal="left" vertical="center" wrapText="1"/>
    </xf>
    <xf numFmtId="0" fontId="66" fillId="38" borderId="0" xfId="0" applyFont="1" applyFill="1" applyNumberFormat="1">
      <alignment horizontal="center" vertical="center" wrapText="1"/>
    </xf>
    <xf numFmtId="0" fontId="68" fillId="38" borderId="0" xfId="0" applyFont="1" applyFill="1" applyNumberFormat="1">
      <alignment horizontal="left" vertical="center" wrapText="1" indent="1"/>
    </xf>
    <xf numFmtId="0" fontId="23" fillId="38" borderId="0" xfId="0" applyFont="1" applyFill="1" applyNumberFormat="1">
      <alignment horizontal="center" vertical="center" wrapText="1"/>
    </xf>
    <xf numFmtId="0" fontId="96" fillId="0" borderId="0" xfId="0" applyFont="1" applyNumberFormat="1">
      <alignment horizontal="center" vertical="center" wrapText="1"/>
    </xf>
    <xf numFmtId="14" fontId="101" fillId="0" borderId="16" xfId="0" applyFont="1" applyBorder="1" applyNumberFormat="1">
      <alignment horizontal="center" vertical="center" wrapText="1"/>
    </xf>
    <xf numFmtId="0" fontId="23" fillId="38" borderId="16" xfId="0" applyFont="1" applyFill="1" applyBorder="1" applyNumberFormat="1">
      <alignment horizontal="right" vertical="center" wrapText="1" indent="1"/>
    </xf>
    <xf numFmtId="170" fontId="0" fillId="45" borderId="17" xfId="0" applyFont="1" applyFill="1" applyBorder="1" applyNumberFormat="1">
      <alignment horizontal="left" vertical="center" wrapText="1" indent="1"/>
      <protection locked="0"/>
    </xf>
    <xf numFmtId="0" fontId="30" fillId="0" borderId="0" xfId="0" applyFont="1" applyNumberFormat="1">
      <alignment horizontal="left" vertical="center" indent="1"/>
    </xf>
    <xf numFmtId="0" fontId="57" fillId="0" borderId="0" xfId="0" applyFont="1" applyNumberFormat="1">
      <alignment vertical="center" wrapText="1"/>
    </xf>
    <xf numFmtId="0" fontId="23" fillId="38" borderId="0" xfId="0" applyFont="1" applyFill="1" applyNumberFormat="1">
      <alignment vertical="center" wrapText="1"/>
    </xf>
    <xf numFmtId="0" fontId="23" fillId="0" borderId="0" xfId="0" applyFont="1" applyNumberFormat="1">
      <alignment vertical="center" wrapText="1"/>
    </xf>
    <xf numFmtId="14" fontId="101" fillId="0" borderId="16" xfId="0" applyFont="1" applyBorder="1" applyNumberFormat="1">
      <alignment horizontal="left" vertical="center" wrapText="1"/>
    </xf>
    <xf numFmtId="0" fontId="44" fillId="0" borderId="0" xfId="0" applyFont="1" applyNumberFormat="1">
      <alignment vertical="center" wrapText="1"/>
    </xf>
    <xf numFmtId="0" fontId="45" fillId="38" borderId="0" xfId="0" applyFont="1" applyFill="1" applyNumberFormat="1">
      <alignment vertical="center" wrapText="1"/>
    </xf>
    <xf numFmtId="0" fontId="0" fillId="45" borderId="17" xfId="0" applyFont="1" applyFill="1" applyBorder="1" applyNumberFormat="1">
      <alignment horizontal="left" vertical="center" wrapText="1" indent="1"/>
      <protection locked="0"/>
    </xf>
    <xf numFmtId="49" fontId="23" fillId="45" borderId="16" xfId="0" applyFont="1" applyFill="1" applyBorder="1" applyNumberFormat="1">
      <alignment horizontal="left" vertical="center" wrapText="1" indent="1"/>
      <protection locked="0"/>
    </xf>
    <xf numFmtId="170" fontId="0" fillId="0" borderId="16" xfId="0" applyFont="1" applyBorder="1" applyNumberFormat="1">
      <alignment horizontal="left" vertical="center" wrapText="1" indent="1"/>
    </xf>
    <xf numFmtId="0" fontId="0" fillId="38" borderId="0" xfId="0" applyFont="1" applyFill="1" applyNumberFormat="1">
      <alignment horizontal="right" vertical="center" wrapText="1" indent="1"/>
    </xf>
    <xf numFmtId="0" fontId="104" fillId="0" borderId="0" xfId="0" applyFont="1" applyNumberFormat="1">
      <alignment horizontal="left" vertical="center" wrapText="1"/>
    </xf>
    <xf numFmtId="0" fontId="23" fillId="38" borderId="0" xfId="0" applyFont="1" applyFill="1" applyNumberFormat="1">
      <alignment horizontal="right" vertical="center" wrapText="1" indent="1"/>
    </xf>
    <xf numFmtId="0" fontId="23" fillId="0" borderId="0" xfId="0" applyFont="1" applyNumberFormat="1">
      <alignment horizontal="center" vertical="center" wrapText="1"/>
    </xf>
    <xf numFmtId="0" fontId="23" fillId="38" borderId="0" xfId="0" applyFont="1" applyFill="1" applyNumberFormat="1">
      <alignment horizontal="center" vertical="center" wrapText="1"/>
    </xf>
    <xf numFmtId="170" fontId="0" fillId="45" borderId="16" xfId="0" applyFont="1" applyFill="1" applyBorder="1" applyNumberFormat="1">
      <alignment horizontal="left" vertical="center" wrapText="1" indent="1"/>
      <protection locked="0"/>
    </xf>
    <xf numFmtId="0" fontId="0" fillId="38" borderId="0" xfId="0" applyFont="1" applyFill="1" applyNumberFormat="1">
      <alignment horizontal="left" vertical="center" wrapText="1" indent="1"/>
    </xf>
    <xf numFmtId="49" fontId="23" fillId="0" borderId="16" xfId="0" applyFont="1" applyBorder="1" applyNumberFormat="1">
      <alignment horizontal="left" vertical="center" wrapText="1" indent="1"/>
    </xf>
    <xf numFmtId="0" fontId="44" fillId="0" borderId="0" xfId="0" applyFont="1" applyNumberFormat="1">
      <alignment horizontal="center" vertical="center" wrapText="1"/>
    </xf>
    <xf numFmtId="0" fontId="46" fillId="38" borderId="0" xfId="0" applyFont="1" applyFill="1" applyNumberFormat="1">
      <alignment horizontal="center" vertical="center" wrapText="1"/>
    </xf>
    <xf numFmtId="49" fontId="23" fillId="42" borderId="16" xfId="0" applyFont="1" applyFill="1" applyBorder="1" applyNumberFormat="1">
      <alignment horizontal="left" vertical="center" wrapText="1" indent="1"/>
    </xf>
    <xf numFmtId="14" fontId="23" fillId="38" borderId="0" xfId="0" applyFont="1" applyFill="1" applyNumberFormat="1">
      <alignment horizontal="center" vertical="center" wrapText="1"/>
    </xf>
    <xf numFmtId="0" fontId="0" fillId="38" borderId="30" xfId="0" applyFont="1" applyFill="1" applyBorder="1" applyNumberFormat="1">
      <alignment horizontal="right" vertical="center" wrapText="1" indent="1"/>
    </xf>
    <xf numFmtId="49" fontId="23" fillId="34" borderId="16" xfId="0" applyFont="1" applyFill="1" applyBorder="1" applyNumberFormat="1">
      <alignment horizontal="left" vertical="center" wrapText="1" indent="1"/>
      <protection locked="0"/>
    </xf>
    <xf numFmtId="0" fontId="23" fillId="0" borderId="0" xfId="0" applyFont="1" applyNumberFormat="1">
      <alignment vertical="center"/>
    </xf>
    <xf numFmtId="14" fontId="23" fillId="38" borderId="0" xfId="0" applyFont="1" applyFill="1" applyNumberFormat="1">
      <alignment horizontal="left" vertical="center" wrapText="1"/>
    </xf>
    <xf numFmtId="0" fontId="23" fillId="45" borderId="16" xfId="0" applyFont="1" applyFill="1" applyBorder="1" applyNumberFormat="1">
      <alignment horizontal="left" vertical="center" wrapText="1" indent="1"/>
      <protection locked="0"/>
    </xf>
    <xf numFmtId="0" fontId="23" fillId="45" borderId="16" xfId="92" applyFont="1" applyFill="1" applyBorder="1" applyNumberFormat="1">
      <alignment horizontal="left" vertical="center" wrapText="1" indent="1"/>
      <protection locked="0"/>
    </xf>
    <xf numFmtId="0" fontId="69" fillId="38" borderId="0" xfId="0" applyFont="1" applyFill="1" applyNumberFormat="1">
      <alignment horizontal="right" vertical="center" wrapText="1" indent="1"/>
    </xf>
    <xf numFmtId="0" fontId="69" fillId="38" borderId="0" xfId="0" applyFont="1" applyFill="1" applyNumberFormat="1">
      <alignment horizontal="left" vertical="center" wrapText="1" indent="1"/>
    </xf>
    <xf numFmtId="49" fontId="23" fillId="46" borderId="16" xfId="0" applyFont="1" applyFill="1" applyBorder="1" applyNumberFormat="1">
      <alignment horizontal="left" vertical="center" wrapText="1" indent="1"/>
    </xf>
    <xf numFmtId="0" fontId="68" fillId="0" borderId="0" xfId="0" applyFont="1" applyNumberFormat="1">
      <alignment vertical="center" wrapText="1"/>
    </xf>
    <xf numFmtId="0" fontId="66" fillId="0" borderId="0" xfId="0" applyFont="1" applyNumberFormat="1">
      <alignment horizontal="left" vertical="center" wrapText="1"/>
    </xf>
    <xf numFmtId="0" fontId="67" fillId="0" borderId="0" xfId="0" applyFont="1" applyNumberFormat="1">
      <alignment vertical="center" wrapText="1"/>
    </xf>
    <xf numFmtId="0" fontId="68" fillId="38" borderId="0" xfId="0" applyFont="1" applyFill="1" applyNumberFormat="1">
      <alignment vertical="center" wrapText="1"/>
    </xf>
    <xf numFmtId="0" fontId="69" fillId="38" borderId="0" xfId="0" applyFont="1" applyFill="1" applyNumberFormat="1">
      <alignment horizontal="right" vertical="center" wrapText="1" indent="1"/>
    </xf>
    <xf numFmtId="0" fontId="43" fillId="0" borderId="0" xfId="0" applyFont="1" applyNumberFormat="1">
      <alignment horizontal="left" vertical="center" wrapText="1"/>
    </xf>
    <xf numFmtId="0" fontId="23" fillId="38" borderId="30" xfId="0" applyFont="1" applyFill="1" applyBorder="1" applyNumberFormat="1">
      <alignment horizontal="right" vertical="center" wrapText="1" indent="1"/>
    </xf>
    <xf numFmtId="49" fontId="33" fillId="45" borderId="16" xfId="0" applyFont="1" applyFill="1" applyBorder="1" applyNumberFormat="1">
      <alignment horizontal="left" vertical="center" wrapText="1" indent="1"/>
      <protection locked="0"/>
    </xf>
    <xf numFmtId="0" fontId="43" fillId="0" borderId="0" xfId="0" applyFont="1" applyNumberFormat="1">
      <alignment horizontal="left" vertical="center" wrapText="1"/>
    </xf>
    <xf numFmtId="0" fontId="23" fillId="0" borderId="0" xfId="0" applyFont="1" applyNumberFormat="1">
      <alignment vertical="center" wrapText="1"/>
    </xf>
    <xf numFmtId="14" fontId="100" fillId="0" borderId="0" xfId="0" applyFont="1" applyNumberFormat="1">
      <alignment horizontal="center" vertical="center" wrapText="1"/>
    </xf>
    <xf numFmtId="0" fontId="44" fillId="0" borderId="0" xfId="0" applyFont="1" applyNumberFormat="1">
      <alignment vertical="center" wrapText="1"/>
    </xf>
    <xf numFmtId="0" fontId="43" fillId="0" borderId="0" xfId="0" applyFont="1" applyNumberFormat="1">
      <alignment horizontal="center" vertical="center" wrapText="1"/>
    </xf>
    <xf numFmtId="0" fontId="23" fillId="0" borderId="0" xfId="0" applyFont="1" applyNumberFormat="1">
      <alignment horizontal="center" vertical="center" wrapText="1"/>
    </xf>
    <xf numFmtId="0" fontId="57" fillId="0" borderId="0" xfId="0" applyFont="1" applyNumberFormat="1">
      <alignment horizontal="center" vertical="center" wrapText="1"/>
    </xf>
    <xf numFmtId="0" fontId="57" fillId="0" borderId="0" xfId="0" applyFont="1" applyNumberFormat="1">
      <alignment vertical="center" wrapText="1"/>
    </xf>
    <xf numFmtId="0" fontId="91" fillId="0" borderId="0" xfId="0" applyFont="1" applyNumberFormat="1">
      <alignment vertical="center" wrapText="1"/>
    </xf>
    <xf numFmtId="0" fontId="23" fillId="46" borderId="16" xfId="0" applyFont="1" applyFill="1" applyBorder="1" applyNumberFormat="1">
      <alignment horizontal="left" vertical="center" wrapText="1" indent="1"/>
    </xf>
    <xf numFmtId="49" fontId="0" fillId="0" borderId="11" xfId="0" applyFont="1" applyBorder="1" applyNumberFormat="1">
      <alignment horizontal="left" vertical="center" wrapText="1" indent="1"/>
    </xf>
    <xf numFmtId="0" fontId="23" fillId="46" borderId="16" xfId="0" applyFont="1" applyFill="1" applyBorder="1" applyNumberFormat="1">
      <alignment horizontal="left" vertical="center" wrapText="1" indent="1"/>
    </xf>
    <xf numFmtId="0"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xf>
    <xf numFmtId="0" fontId="99" fillId="0" borderId="0" xfId="0" applyFont="1" applyNumberFormat="1">
      <alignment horizontal="left" vertical="center" wrapText="1"/>
    </xf>
    <xf numFmtId="49" fontId="43" fillId="0" borderId="0" xfId="0" applyFont="1" applyNumberFormat="1">
      <alignment horizontal="left" vertical="center" wrapText="1"/>
    </xf>
    <xf numFmtId="49" fontId="45" fillId="38" borderId="0" xfId="0" applyFont="1" applyFill="1" applyNumberFormat="1">
      <alignment horizontal="center" vertical="center" wrapText="1"/>
    </xf>
    <xf numFmtId="0" fontId="23" fillId="0" borderId="0" xfId="0" applyFont="1" applyNumberFormat="1">
      <alignment horizontal="left" vertical="center" wrapText="1" indent="4"/>
    </xf>
    <xf numFmtId="0" fontId="23" fillId="0" borderId="0" xfId="0" applyFont="1" applyNumberFormat="1">
      <alignment horizontal="left" vertical="center" wrapText="1" indent="1"/>
    </xf>
    <xf numFmtId="49" fontId="23" fillId="45" borderId="16"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23" fillId="38" borderId="0" xfId="0" applyFont="1" applyFill="1" applyNumberFormat="1">
      <alignment horizontal="right" vertical="center" wrapText="1" indent="1"/>
    </xf>
    <xf numFmtId="49" fontId="23" fillId="0" borderId="0" xfId="0" applyFont="1" applyNumberFormat="1">
      <alignment horizontal="center" vertical="center" wrapText="1"/>
    </xf>
    <xf numFmtId="49" fontId="0" fillId="38" borderId="0" xfId="0" applyFont="1" applyFill="1" applyNumberFormat="1">
      <alignment horizontal="right" vertical="center" wrapText="1" indent="1"/>
    </xf>
    <xf numFmtId="0" fontId="36" fillId="0" borderId="0" xfId="0" applyFont="1" applyNumberFormat="1">
      <alignment vertical="top" wrapText="1"/>
    </xf>
    <xf numFmtId="0" fontId="99" fillId="0" borderId="0" xfId="0" applyFont="1" applyNumberFormat="1">
      <alignment horizontal="left" vertical="center" wrapText="1"/>
    </xf>
    <xf numFmtId="0" fontId="43" fillId="0" borderId="0" xfId="0" applyFont="1" applyNumberFormat="1">
      <alignment horizontal="left" vertical="center" wrapText="1"/>
    </xf>
    <xf numFmtId="0" fontId="44"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center" vertical="center" wrapText="1"/>
    </xf>
    <xf numFmtId="0" fontId="43" fillId="0" borderId="0" xfId="0" applyFont="1" applyNumberFormat="1">
      <alignment horizontal="center" vertical="center" wrapText="1"/>
    </xf>
    <xf numFmtId="0" fontId="57" fillId="0" borderId="0" xfId="0" applyFont="1" applyNumberFormat="1">
      <alignment vertical="center" wrapText="1"/>
    </xf>
    <xf numFmtId="0" fontId="58" fillId="0" borderId="0" xfId="0" applyFont="1" applyNumberFormat="1">
      <alignment vertical="center" wrapText="1"/>
    </xf>
    <xf numFmtId="0" fontId="81" fillId="0" borderId="0" xfId="0" applyFont="1" applyNumberFormat="1">
      <alignment vertical="center" wrapText="1"/>
    </xf>
    <xf numFmtId="0" fontId="58" fillId="0" borderId="0" xfId="0" applyFont="1" applyNumberFormat="1">
      <alignment vertical="center" wrapText="1"/>
    </xf>
    <xf numFmtId="0" fontId="58" fillId="0" borderId="0" xfId="0" applyFont="1" applyNumberFormat="1">
      <alignment horizontal="center" vertical="center" wrapText="1"/>
    </xf>
    <xf numFmtId="0" fontId="58" fillId="0" borderId="0" xfId="0" applyFont="1" applyNumberFormat="1">
      <alignment horizontal="left" vertical="center" indent="1"/>
    </xf>
    <xf numFmtId="0" fontId="58" fillId="0" borderId="0" xfId="0" applyFont="1" applyNumberFormat="1">
      <alignment horizontal="center" vertical="center" wrapText="1"/>
    </xf>
    <xf numFmtId="0" fontId="58" fillId="0" borderId="0" xfId="0" applyFont="1" applyNumberFormat="1">
      <alignment horizontal="left" vertical="center" wrapText="1" indent="1"/>
    </xf>
    <xf numFmtId="0" fontId="58" fillId="0" borderId="0" xfId="0" applyFont="1" applyNumberFormat="1">
      <alignment horizontal="left" vertical="center" indent="1"/>
    </xf>
    <xf numFmtId="0" fontId="64" fillId="0" borderId="0" xfId="0" applyFont="1" applyNumberFormat="1">
      <alignment vertical="center" wrapText="1"/>
    </xf>
    <xf numFmtId="0" fontId="23" fillId="0" borderId="0" xfId="0" applyFont="1" applyNumberFormat="1">
      <alignment horizontal="left" vertical="center" wrapText="1" indent="1"/>
    </xf>
    <xf numFmtId="0" fontId="57" fillId="0" borderId="0" xfId="0" applyFont="1" applyNumberFormat="1">
      <alignment horizontal="left" vertical="center" wrapText="1" indent="1"/>
    </xf>
    <xf numFmtId="0" fontId="64" fillId="0" borderId="0" xfId="0" applyFont="1" applyNumberFormat="1">
      <alignment horizontal="left" vertical="center" wrapText="1" indent="1"/>
    </xf>
    <xf numFmtId="0" fontId="65" fillId="0" borderId="0" xfId="0" applyFont="1" applyNumberFormat="1">
      <alignment horizontal="left" vertical="center" indent="1"/>
    </xf>
    <xf numFmtId="0" fontId="53" fillId="0" borderId="0" xfId="0" applyFont="1" applyNumberFormat="1">
      <alignment vertical="center" wrapText="1"/>
    </xf>
    <xf numFmtId="0" fontId="23" fillId="0" borderId="0" xfId="0" applyFont="1" applyNumberFormat="1">
      <alignment vertical="center" wrapText="1"/>
    </xf>
    <xf numFmtId="0" fontId="57" fillId="0" borderId="0" xfId="0" applyFont="1" applyNumberFormat="1">
      <alignment vertical="center" wrapText="1"/>
    </xf>
    <xf numFmtId="0" fontId="48" fillId="0" borderId="0" xfId="0" applyFont="1" applyNumberFormat="1">
      <alignment horizontal="center"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horizontal="right" vertical="center" wrapText="1"/>
    </xf>
    <xf numFmtId="0" fontId="58" fillId="0" borderId="0" xfId="0" applyFont="1" applyNumberFormat="1">
      <alignment vertical="center"/>
    </xf>
    <xf numFmtId="0" fontId="58" fillId="0" borderId="0" xfId="0" applyFont="1" applyNumberFormat="1">
      <alignment vertical="center"/>
    </xf>
    <xf numFmtId="0" fontId="63" fillId="0" borderId="0" xfId="0" applyFont="1" applyNumberFormat="1">
      <alignment vertical="center"/>
    </xf>
    <xf numFmtId="0" fontId="23" fillId="0" borderId="19" xfId="0" applyFont="1" applyBorder="1" applyNumberFormat="1">
      <alignment horizontal="left" vertical="center" wrapText="1" indent="1"/>
    </xf>
    <xf numFmtId="4" fontId="23" fillId="0" borderId="0" xfId="0" applyFont="1" applyNumberFormat="1">
      <alignment horizontal="right" vertical="center" wrapText="1"/>
    </xf>
    <xf numFmtId="0" fontId="23" fillId="0" borderId="0" xfId="0" applyFont="1" applyNumberFormat="1">
      <alignment horizontal="left" vertical="center" wrapText="1" inden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23" fillId="0" borderId="0" xfId="0" applyFont="1" applyNumberFormat="1">
      <alignment horizontal="center" vertical="center" wrapText="1"/>
    </xf>
    <xf numFmtId="4" fontId="23" fillId="0" borderId="0" xfId="0" applyFont="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4" fontId="23" fillId="0" borderId="16" xfId="0" applyFont="1" applyBorder="1" applyNumberFormat="1">
      <alignment horizontal="center" vertical="center" wrapText="1"/>
    </xf>
    <xf numFmtId="167" fontId="23" fillId="0" borderId="18" xfId="0" applyFont="1" applyBorder="1" applyNumberFormat="1">
      <alignment horizontal="center" vertical="center" wrapText="1"/>
    </xf>
    <xf numFmtId="167" fontId="23" fillId="0" borderId="16" xfId="0" applyFont="1" applyBorder="1" applyNumberFormat="1">
      <alignment horizontal="center" vertical="center" wrapText="1"/>
    </xf>
    <xf numFmtId="0" fontId="47" fillId="0" borderId="0" xfId="0" applyFont="1" applyNumberFormat="1">
      <alignment horizontal="center" vertical="center" wrapText="1"/>
    </xf>
    <xf numFmtId="49" fontId="47" fillId="0" borderId="19" xfId="0" applyFont="1" applyBorder="1" applyNumberFormat="1">
      <alignment horizontal="center" vertical="center" wrapText="1"/>
    </xf>
    <xf numFmtId="49" fontId="47" fillId="0" borderId="19" xfId="0" applyFont="1" applyBorder="1" applyNumberFormat="1">
      <alignment horizontal="center" vertical="center" wrapText="1"/>
    </xf>
    <xf numFmtId="0" fontId="57" fillId="0" borderId="0" xfId="0" applyFont="1" applyNumberFormat="1">
      <alignment vertical="center"/>
    </xf>
    <xf numFmtId="0" fontId="57" fillId="0" borderId="0" xfId="0" applyFont="1" applyNumberFormat="1">
      <alignment vertical="center"/>
    </xf>
    <xf numFmtId="0" fontId="62" fillId="0" borderId="0" xfId="0" applyFont="1" applyNumberFormat="1">
      <alignment vertical="center"/>
    </xf>
    <xf numFmtId="49" fontId="23" fillId="44" borderId="23" xfId="0" applyFont="1" applyFill="1" applyBorder="1" applyNumberFormat="1">
      <alignment horizontal="center" vertical="center" wrapText="1"/>
    </xf>
    <xf numFmtId="49" fontId="57" fillId="44" borderId="23" xfId="0" applyFont="1" applyFill="1" applyBorder="1" applyNumberFormat="1">
      <alignment horizontal="left" vertical="center" wrapText="1"/>
    </xf>
    <xf numFmtId="49" fontId="57" fillId="44" borderId="24" xfId="0" applyFont="1" applyFill="1" applyBorder="1" applyNumberFormat="1">
      <alignment horizontal="left" vertical="center" wrapText="1"/>
    </xf>
    <xf numFmtId="0" fontId="58" fillId="0" borderId="26" xfId="0" applyFont="1" applyBorder="1" applyNumberFormat="1">
      <alignment vertical="center"/>
    </xf>
    <xf numFmtId="0" fontId="53" fillId="0" borderId="0" xfId="0" applyFont="1" applyNumberFormat="1">
      <alignment vertical="center" wrapText="1"/>
    </xf>
    <xf numFmtId="0" fontId="23" fillId="0" borderId="0" xfId="0" applyFont="1" applyNumberFormat="1">
      <alignment horizontal="center" vertical="center" wrapText="1"/>
    </xf>
    <xf numFmtId="0" fontId="48" fillId="0" borderId="0" xfId="0" applyFont="1" applyNumberFormat="1">
      <alignment horizontal="center" vertical="center" wrapText="1"/>
    </xf>
    <xf numFmtId="0" fontId="23" fillId="0" borderId="16" xfId="0" applyFont="1" applyBorder="1" applyNumberFormat="1">
      <alignment horizontal="center" vertical="center" wrapText="1"/>
    </xf>
    <xf numFmtId="0" fontId="58" fillId="0" borderId="16" xfId="0" applyFont="1" applyBorder="1" applyNumberFormat="1">
      <alignment horizontal="center" vertical="center" wrapText="1"/>
    </xf>
    <xf numFmtId="49" fontId="23" fillId="45" borderId="16" xfId="0" applyFont="1" applyFill="1" applyBorder="1" applyNumberFormat="1">
      <alignment vertical="center" wrapText="1"/>
      <protection locked="0"/>
    </xf>
    <xf numFmtId="49" fontId="57" fillId="0" borderId="16" xfId="0" applyFont="1" applyBorder="1" applyNumberFormat="1">
      <alignment horizontal="left" vertical="center" wrapText="1"/>
    </xf>
    <xf numFmtId="0" fontId="58" fillId="0" borderId="0" xfId="0" applyFont="1" applyNumberFormat="1">
      <alignment vertical="center"/>
    </xf>
    <xf numFmtId="0" fontId="58" fillId="0" borderId="0" xfId="0" applyFont="1" applyNumberFormat="1">
      <alignment vertical="center"/>
    </xf>
    <xf numFmtId="49" fontId="0" fillId="0" borderId="0" xfId="0" applyFont="1" applyNumberFormat="1">
      <alignment vertical="top"/>
    </xf>
    <xf numFmtId="0" fontId="47" fillId="0" borderId="28" xfId="0" applyFont="1" applyBorder="1" applyNumberFormat="1">
      <alignment vertical="top" wrapText="1"/>
    </xf>
    <xf numFmtId="0" fontId="23" fillId="0" borderId="27" xfId="0" applyFont="1" applyBorder="1" applyNumberFormat="1">
      <alignment horizontal="center" vertical="center" wrapText="1"/>
    </xf>
    <xf numFmtId="0" fontId="58" fillId="0" borderId="27" xfId="0" applyFont="1" applyBorder="1" applyNumberFormat="1">
      <alignment horizontal="center" vertical="center" wrapText="1"/>
    </xf>
    <xf numFmtId="14" fontId="23" fillId="46" borderId="27" xfId="0" applyFont="1" applyFill="1" applyBorder="1" applyNumberFormat="1">
      <alignment horizontal="left" vertical="center" wrapText="1" indent="1"/>
    </xf>
    <xf numFmtId="49" fontId="23" fillId="42" borderId="27" xfId="0" applyFont="1" applyFill="1" applyBorder="1" applyNumberFormat="1">
      <alignment horizontal="center" vertical="center" wrapText="1"/>
    </xf>
    <xf numFmtId="0" fontId="82" fillId="0" borderId="0" xfId="0" applyFont="1" applyNumberFormat="1">
      <alignment vertical="center" wrapText="1"/>
    </xf>
    <xf numFmtId="49" fontId="57" fillId="0" borderId="0" xfId="0" applyFont="1" applyNumberFormat="1">
      <alignment vertical="top"/>
    </xf>
    <xf numFmtId="49" fontId="58" fillId="0" borderId="0" xfId="0" applyFont="1" applyNumberFormat="1">
      <alignment vertical="top"/>
    </xf>
    <xf numFmtId="0" fontId="57" fillId="0" borderId="0" xfId="0" applyFont="1" applyNumberFormat="1">
      <alignment horizontal="center" vertical="center" wrapText="1"/>
    </xf>
    <xf numFmtId="0" fontId="23" fillId="0" borderId="27" xfId="0" applyFont="1" applyBorder="1" applyNumberFormat="1">
      <alignment horizontal="center" vertical="center" wrapText="1"/>
    </xf>
    <xf numFmtId="0" fontId="57" fillId="0" borderId="27" xfId="0" applyFont="1" applyBorder="1" applyNumberFormat="1">
      <alignment horizontal="center" vertical="center" wrapText="1"/>
    </xf>
    <xf numFmtId="0" fontId="0" fillId="0" borderId="0" xfId="0" applyFont="1" applyNumberFormat="1">
      <alignment vertical="center" wrapText="1"/>
    </xf>
    <xf numFmtId="0" fontId="47" fillId="0" borderId="0" xfId="0" applyFont="1" applyNumberFormat="1">
      <alignment vertical="top" wrapText="1"/>
    </xf>
    <xf numFmtId="49" fontId="36" fillId="44" borderId="18" xfId="0" applyFont="1" applyFill="1" applyBorder="1" applyNumberFormat="1">
      <alignment horizontal="right" vertical="center" wrapText="1"/>
    </xf>
    <xf numFmtId="49" fontId="36" fillId="44" borderId="19"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23" fillId="44" borderId="18" xfId="0" applyFont="1" applyFill="1" applyBorder="1" applyNumberFormat="1">
      <alignment horizontal="right" vertical="center" wrapText="1"/>
    </xf>
    <xf numFmtId="49" fontId="23" fillId="44" borderId="19" xfId="0" applyFont="1" applyFill="1" applyBorder="1" applyNumberFormat="1">
      <alignment horizontal="right" vertical="center" wrapText="1"/>
    </xf>
    <xf numFmtId="49" fontId="51" fillId="44" borderId="19" xfId="0" applyFont="1" applyFill="1" applyBorder="1" applyNumberFormat="1">
      <alignment horizontal="left" vertical="center"/>
    </xf>
    <xf numFmtId="49" fontId="23" fillId="44" borderId="17" xfId="0" applyFont="1" applyFill="1" applyBorder="1" applyNumberFormat="1">
      <alignment horizontal="right" vertical="center" wrapText="1"/>
    </xf>
    <xf numFmtId="0" fontId="48" fillId="0" borderId="0" xfId="0" applyFont="1" applyNumberFormat="1">
      <alignment horizontal="center" vertical="center" wrapText="1"/>
    </xf>
    <xf numFmtId="0" fontId="23" fillId="0" borderId="25" xfId="0" applyFont="1" applyBorder="1" applyNumberFormat="1">
      <alignment vertical="center" wrapText="1"/>
    </xf>
    <xf numFmtId="0" fontId="23" fillId="0" borderId="0" xfId="0" applyFont="1" applyNumberFormat="1">
      <alignment vertical="center" wrapText="1"/>
    </xf>
    <xf numFmtId="0" fontId="56" fillId="0" borderId="0" xfId="0" applyFont="1" applyNumberFormat="1">
      <alignment vertical="center" wrapText="1"/>
    </xf>
    <xf numFmtId="0" fontId="102" fillId="0" borderId="0" xfId="0" applyFont="1" applyNumberFormat="1">
      <alignment vertical="center" wrapText="1"/>
    </xf>
    <xf numFmtId="0" fontId="60" fillId="0" borderId="0" xfId="0" applyFont="1" applyNumberFormat="1">
      <alignment horizontal="center" vertical="center" wrapText="1"/>
    </xf>
    <xf numFmtId="49" fontId="0" fillId="0" borderId="0" xfId="0" applyFont="1" applyNumberFormat="1">
      <alignment vertical="top"/>
    </xf>
    <xf numFmtId="0" fontId="23" fillId="0" borderId="0" xfId="0" applyFont="1" applyNumberFormat="1">
      <alignment vertical="center" wrapText="1"/>
    </xf>
    <xf numFmtId="0" fontId="57" fillId="0" borderId="0" xfId="0" applyFont="1" applyNumberFormat="1">
      <alignment vertical="center" wrapText="1"/>
    </xf>
    <xf numFmtId="0" fontId="48" fillId="0" borderId="0" xfId="0" applyFont="1" applyNumberFormat="1">
      <alignment horizontal="center" vertical="center" wrapText="1"/>
    </xf>
    <xf numFmtId="0" fontId="23" fillId="0" borderId="0" xfId="0" applyFont="1" applyNumberFormat="1">
      <alignment vertical="center" wrapText="1"/>
    </xf>
    <xf numFmtId="0" fontId="58" fillId="0" borderId="0" xfId="0" applyFont="1" applyNumberFormat="1">
      <alignment vertical="center"/>
    </xf>
    <xf numFmtId="0" fontId="58" fillId="0" borderId="0" xfId="0" applyFont="1" applyNumberFormat="1">
      <alignment vertical="center"/>
    </xf>
    <xf numFmtId="0" fontId="63" fillId="0" borderId="0" xfId="0" applyFont="1" applyNumberFormat="1">
      <alignment vertical="center"/>
    </xf>
    <xf numFmtId="0" fontId="23" fillId="0" borderId="0" xfId="0" applyFont="1" applyNumberFormat="1">
      <alignment vertical="center"/>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57" fillId="0" borderId="0" xfId="0" applyFont="1" applyNumberFormat="1">
      <alignment vertical="center"/>
    </xf>
    <xf numFmtId="0" fontId="52" fillId="0" borderId="0" xfId="0" applyFont="1" applyNumberFormat="1">
      <alignment vertical="center"/>
    </xf>
    <xf numFmtId="0" fontId="23" fillId="0" borderId="34" xfId="0" applyFont="1" applyBorder="1" applyNumberFormat="1">
      <alignment horizontal="left" vertical="center" indent="1"/>
    </xf>
    <xf numFmtId="0" fontId="23" fillId="0" borderId="27" xfId="0" applyFont="1" applyBorder="1" applyNumberFormat="1">
      <alignment horizontal="left" vertical="center" indent="1"/>
    </xf>
    <xf numFmtId="0" fontId="23" fillId="0" borderId="31" xfId="0" applyFont="1" applyBorder="1" applyNumberFormat="1">
      <alignment horizontal="left" vertical="center" indent="1"/>
    </xf>
    <xf numFmtId="0" fontId="94" fillId="0" borderId="0" xfId="0" applyFont="1" applyNumberFormat="1">
      <alignment vertical="center"/>
    </xf>
    <xf numFmtId="0" fontId="59" fillId="0" borderId="0" xfId="0" applyFont="1" applyNumberFormat="1">
      <alignment vertical="center"/>
    </xf>
    <xf numFmtId="0" fontId="117" fillId="0" borderId="0" xfId="0" applyFont="1" applyNumberFormat="1">
      <alignment vertical="center"/>
    </xf>
    <xf numFmtId="0" fontId="52" fillId="0" borderId="0" xfId="0" applyFont="1" applyNumberFormat="1">
      <alignment vertical="center"/>
    </xf>
    <xf numFmtId="0" fontId="23" fillId="0" borderId="0" xfId="0" applyFont="1" applyNumberFormat="1">
      <alignment horizontal="center" vertical="center" wrapText="1"/>
    </xf>
    <xf numFmtId="0" fontId="23" fillId="0" borderId="0" xfId="0" applyFont="1" applyNumberFormat="1">
      <alignment vertical="center" wrapText="1"/>
    </xf>
    <xf numFmtId="0" fontId="94" fillId="0" borderId="0" xfId="0" applyFont="1" applyNumberFormat="1">
      <alignment vertical="center"/>
    </xf>
    <xf numFmtId="0" fontId="59" fillId="0" borderId="0" xfId="0" applyFont="1" applyNumberFormat="1">
      <alignment vertical="center"/>
    </xf>
    <xf numFmtId="0" fontId="117"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37" fillId="0" borderId="0" xfId="0" applyFont="1" applyNumberFormat="1">
      <alignment vertical="center"/>
    </xf>
    <xf numFmtId="0" fontId="52" fillId="0" borderId="0" xfId="0" applyFont="1" applyNumberFormat="1">
      <alignment vertical="center"/>
    </xf>
    <xf numFmtId="0" fontId="23" fillId="47" borderId="0" xfId="0" applyFont="1" applyFill="1" applyNumberFormat="1">
      <alignment horizontal="center" vertical="center" wrapText="1"/>
    </xf>
    <xf numFmtId="0" fontId="23" fillId="0" borderId="0" xfId="0" applyFont="1" applyNumberFormat="1">
      <alignment vertical="center" wrapText="1"/>
    </xf>
    <xf numFmtId="0" fontId="23" fillId="0" borderId="16" xfId="0" applyFont="1" applyBorder="1" applyNumberFormat="1">
      <alignment horizontal="center" vertical="center" wrapText="1"/>
    </xf>
    <xf numFmtId="0" fontId="83" fillId="0" borderId="41" xfId="0" applyFont="1" applyBorder="1" applyNumberFormat="1">
      <alignment horizontal="center" vertical="center" wrapText="1"/>
    </xf>
    <xf numFmtId="0" fontId="83" fillId="0" borderId="23" xfId="0" applyFont="1" applyBorder="1" applyNumberFormat="1">
      <alignment horizontal="center" vertical="center" wrapText="1"/>
    </xf>
    <xf numFmtId="0" fontId="83" fillId="0" borderId="16" xfId="0" applyFont="1" applyBorder="1" applyNumberFormat="1">
      <alignment horizontal="center" vertical="center" wrapText="1"/>
    </xf>
    <xf numFmtId="0" fontId="23" fillId="0" borderId="0" xfId="0" applyFont="1" applyNumberFormat="1">
      <alignment horizontal="center" vertical="center" wrapText="1"/>
    </xf>
    <xf numFmtId="0" fontId="90"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77" xfId="0" applyFont="1" applyBorder="1" applyNumberFormat="1">
      <alignment horizontal="center" vertical="center" wrapText="1"/>
    </xf>
    <xf numFmtId="0" fontId="23" fillId="0" borderId="78" xfId="0" applyFont="1" applyBorder="1" applyNumberFormat="1">
      <alignment horizontal="center" vertical="center" wrapText="1"/>
    </xf>
    <xf numFmtId="0" fontId="57" fillId="0" borderId="26" xfId="0" applyFont="1" applyBorder="1" applyNumberFormat="1">
      <alignment vertical="center"/>
    </xf>
    <xf numFmtId="0" fontId="0" fillId="0" borderId="0" xfId="0" applyFont="1" applyNumberFormat="1">
      <alignment vertical="center"/>
    </xf>
    <xf numFmtId="49" fontId="47" fillId="0" borderId="0" xfId="0" applyFont="1" applyNumberFormat="1">
      <alignment horizontal="center" vertical="center" wrapText="1"/>
    </xf>
    <xf numFmtId="49" fontId="47" fillId="0" borderId="16" xfId="0" applyFont="1" applyBorder="1" applyNumberFormat="1">
      <alignment horizontal="center" vertical="center" wrapText="1"/>
    </xf>
    <xf numFmtId="49" fontId="47" fillId="0" borderId="75" xfId="0" applyFont="1" applyBorder="1" applyNumberFormat="1">
      <alignment horizontal="center" vertical="center" wrapText="1"/>
    </xf>
    <xf numFmtId="49" fontId="47" fillId="0" borderId="76" xfId="0" applyFont="1" applyBorder="1" applyNumberFormat="1">
      <alignment horizontal="center" vertical="center" wrapText="1"/>
    </xf>
    <xf numFmtId="49" fontId="47" fillId="0" borderId="18" xfId="0" applyFont="1" applyBorder="1" applyNumberFormat="1">
      <alignment horizontal="center" vertical="center" wrapText="1"/>
    </xf>
    <xf numFmtId="49" fontId="47" fillId="0" borderId="17" xfId="0" applyFont="1" applyBorder="1" applyNumberFormat="1">
      <alignment horizontal="center" vertical="center" wrapText="1"/>
    </xf>
    <xf numFmtId="0" fontId="57" fillId="0" borderId="26" xfId="0" applyFont="1" applyBorder="1" applyNumberFormat="1">
      <alignment vertical="center"/>
    </xf>
    <xf numFmtId="0" fontId="58" fillId="0" borderId="0" xfId="0" applyFont="1" applyNumberFormat="1">
      <alignment vertical="center"/>
    </xf>
    <xf numFmtId="0" fontId="58" fillId="0" borderId="0" xfId="0" applyFont="1" applyNumberFormat="1">
      <alignment vertical="center"/>
    </xf>
    <xf numFmtId="0" fontId="23" fillId="0" borderId="0" xfId="0" applyFont="1" applyNumberFormat="1">
      <alignment vertical="center"/>
    </xf>
    <xf numFmtId="0" fontId="57" fillId="0" borderId="0" xfId="0" applyFont="1" applyNumberFormat="1">
      <alignment vertical="center"/>
    </xf>
    <xf numFmtId="0" fontId="58" fillId="0" borderId="0" xfId="0" applyFont="1" applyNumberFormat="1">
      <alignment horizontal="center" vertical="center"/>
    </xf>
    <xf numFmtId="0" fontId="23" fillId="0" borderId="0" xfId="0" applyFont="1" applyNumberFormat="1">
      <alignment horizontal="center" vertical="center" wrapText="1"/>
    </xf>
    <xf numFmtId="0" fontId="23" fillId="44" borderId="18"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49" fontId="23" fillId="44" borderId="45" xfId="0" applyFont="1" applyFill="1" applyBorder="1" applyNumberFormat="1">
      <alignment horizontal="center" vertical="center" wrapText="1"/>
    </xf>
    <xf numFmtId="49" fontId="0" fillId="44" borderId="19" xfId="0" applyFont="1" applyFill="1" applyBorder="1" applyNumberFormat="1">
      <alignment horizontal="left" vertical="center"/>
    </xf>
    <xf numFmtId="0" fontId="0" fillId="44" borderId="17"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48" fillId="0" borderId="0" xfId="0" applyFont="1" applyNumberFormat="1">
      <alignment horizontal="center" vertical="center" wrapText="1"/>
    </xf>
    <xf numFmtId="49" fontId="23" fillId="0" borderId="16" xfId="0" applyFont="1" applyBorder="1" applyNumberFormat="1">
      <alignment horizontal="center" vertical="center" wrapText="1"/>
    </xf>
    <xf numFmtId="0" fontId="23" fillId="46" borderId="21" xfId="0" applyFont="1" applyFill="1" applyBorder="1" applyNumberFormat="1">
      <alignment horizontal="left" vertical="center" wrapText="1" indent="2"/>
    </xf>
    <xf numFmtId="49" fontId="23" fillId="46" borderId="27" xfId="0" applyFont="1" applyFill="1" applyBorder="1" applyNumberFormat="1">
      <alignment horizontal="center" vertical="center" wrapText="1"/>
    </xf>
    <xf numFmtId="14" fontId="89" fillId="0" borderId="74" xfId="0" applyFont="1" applyBorder="1" applyNumberFormat="1">
      <alignment horizontal="center" vertical="center" wrapText="1"/>
    </xf>
    <xf numFmtId="0" fontId="23" fillId="0" borderId="74" xfId="0" applyFont="1" applyBorder="1" applyNumberFormat="1">
      <alignment horizontal="center" vertical="center" wrapText="1"/>
    </xf>
    <xf numFmtId="0" fontId="23" fillId="46" borderId="21" xfId="0" applyFont="1" applyFill="1" applyBorder="1" applyNumberFormat="1">
      <alignment horizontal="left" vertical="center" wrapText="1" indent="1"/>
      <protection locked="0"/>
    </xf>
    <xf numFmtId="49" fontId="23" fillId="46" borderId="16" xfId="0" applyFont="1" applyFill="1" applyBorder="1" applyNumberFormat="1">
      <alignment horizontal="center"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83" fillId="0" borderId="16" xfId="0" applyFont="1" applyBorder="1" applyNumberFormat="1">
      <alignment horizontal="left" vertical="center" wrapText="1" indent="1"/>
    </xf>
    <xf numFmtId="0" fontId="57" fillId="0" borderId="26" xfId="0" applyFont="1" applyBorder="1" applyNumberFormat="1">
      <alignment vertical="center"/>
    </xf>
    <xf numFmtId="0" fontId="58" fillId="0" borderId="0" xfId="0" applyFont="1" applyNumberFormat="1">
      <alignment vertical="center"/>
    </xf>
    <xf numFmtId="0" fontId="23" fillId="0" borderId="0" xfId="0" applyFont="1" applyNumberFormat="1">
      <alignment vertical="center"/>
    </xf>
    <xf numFmtId="0" fontId="57" fillId="0" borderId="0" xfId="0" applyFont="1" applyNumberFormat="1">
      <alignment vertical="center"/>
    </xf>
    <xf numFmtId="0" fontId="23" fillId="46" borderId="40" xfId="0" applyFont="1" applyFill="1" applyBorder="1" applyNumberFormat="1">
      <alignment horizontal="left" vertical="center" wrapText="1" indent="2"/>
    </xf>
    <xf numFmtId="0" fontId="23" fillId="46" borderId="27" xfId="0" applyFont="1" applyFill="1" applyBorder="1" applyNumberFormat="1">
      <alignment horizontal="left" vertical="center" wrapText="1" indent="1"/>
      <protection locked="0"/>
    </xf>
    <xf numFmtId="49" fontId="51" fillId="44" borderId="17" xfId="0" applyFont="1" applyFill="1" applyBorder="1" applyNumberFormat="1">
      <alignment horizontal="left" vertical="center" indent="1"/>
    </xf>
    <xf numFmtId="0" fontId="23" fillId="46" borderId="27" xfId="0" applyFont="1" applyFill="1" applyBorder="1" applyNumberFormat="1">
      <alignment horizontal="left" vertical="center" wrapText="1" indent="2"/>
    </xf>
    <xf numFmtId="49" fontId="36" fillId="44" borderId="46" xfId="0" applyFont="1" applyFill="1" applyBorder="1" applyNumberFormat="1">
      <alignment horizontal="right" vertical="center" wrapText="1"/>
    </xf>
    <xf numFmtId="49" fontId="36" fillId="44" borderId="47" xfId="0" applyFont="1" applyFill="1" applyBorder="1" applyNumberFormat="1">
      <alignment horizontal="right" vertical="center" wrapText="1"/>
    </xf>
    <xf numFmtId="49" fontId="51" fillId="44" borderId="19" xfId="0" applyFont="1" applyFill="1" applyBorder="1" applyNumberFormat="1">
      <alignment horizontal="left" vertical="center" indent="1"/>
    </xf>
    <xf numFmtId="49" fontId="36" fillId="44" borderId="17" xfId="0" applyFont="1" applyFill="1" applyBorder="1" applyNumberFormat="1">
      <alignment horizontal="right" vertical="center" wrapText="1"/>
    </xf>
    <xf numFmtId="0" fontId="83" fillId="47" borderId="0" xfId="0" applyFont="1" applyFill="1" applyNumberFormat="1">
      <alignment vertical="top"/>
    </xf>
    <xf numFmtId="49" fontId="23" fillId="0" borderId="0" xfId="0" applyFont="1" applyNumberFormat="1">
      <alignment vertical="center" wrapText="1"/>
    </xf>
    <xf numFmtId="49" fontId="23" fillId="0" borderId="0" xfId="0" applyFont="1" applyNumberFormat="1">
      <alignment horizontal="center" vertical="center" wrapText="1"/>
    </xf>
    <xf numFmtId="49" fontId="51" fillId="44" borderId="19" xfId="0" applyFont="1" applyFill="1" applyBorder="1" applyNumberFormat="1">
      <alignment horizontal="left" vertical="center" indent="2"/>
    </xf>
    <xf numFmtId="0" fontId="0" fillId="0" borderId="0" xfId="0" applyFont="1" applyNumberFormat="1">
      <alignment vertical="center"/>
    </xf>
    <xf numFmtId="0" fontId="57" fillId="0" borderId="0" xfId="0" applyFont="1" applyNumberFormat="1">
      <alignment vertical="center"/>
    </xf>
    <xf numFmtId="0" fontId="58" fillId="0" borderId="0" xfId="0" applyFont="1" applyNumberFormat="1">
      <alignment vertical="center"/>
    </xf>
    <xf numFmtId="0" fontId="23" fillId="0" borderId="0" xfId="0" applyFont="1" applyNumberFormat="1">
      <alignment vertical="center"/>
    </xf>
    <xf numFmtId="0" fontId="58" fillId="0" borderId="0" xfId="0" applyFont="1" applyNumberFormat="1">
      <alignment vertical="center"/>
    </xf>
    <xf numFmtId="0" fontId="52" fillId="0" borderId="0" xfId="0" applyFont="1" applyNumberFormat="1">
      <alignment vertical="center"/>
    </xf>
    <xf numFmtId="0" fontId="59" fillId="0" borderId="0" xfId="0" applyFont="1" applyNumberFormat="1">
      <alignment vertical="center"/>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72" fillId="0" borderId="0" xfId="0" applyFont="1" applyNumberFormat="1">
      <alignment vertical="center" wrapText="1"/>
    </xf>
    <xf numFmtId="0" fontId="22" fillId="0" borderId="0" xfId="0" applyFont="1" applyNumberFormat="1">
      <alignment vertical="center" wrapText="1"/>
    </xf>
    <xf numFmtId="0" fontId="22" fillId="0" borderId="0" xfId="0" applyFont="1" applyNumberFormat="1">
      <alignment vertical="center" wrapText="1"/>
    </xf>
    <xf numFmtId="0" fontId="117" fillId="0" borderId="0" xfId="0" applyFont="1" applyNumberFormat="1">
      <alignment vertical="center"/>
    </xf>
    <xf numFmtId="0" fontId="23" fillId="0" borderId="32" xfId="0" applyFont="1" applyBorder="1" applyNumberFormat="1">
      <alignment horizontal="left" vertical="center" indent="1"/>
    </xf>
    <xf numFmtId="0" fontId="75" fillId="0" borderId="0" xfId="0" applyFont="1" applyNumberFormat="1">
      <alignment vertical="center"/>
    </xf>
    <xf numFmtId="0" fontId="58" fillId="0" borderId="0" xfId="0" applyFont="1" applyNumberFormat="1">
      <alignment vertical="center"/>
    </xf>
    <xf numFmtId="0" fontId="81" fillId="0" borderId="28" xfId="0" applyFont="1" applyBorder="1" applyNumberFormat="1">
      <alignment horizontal="left" vertical="center" wrapText="1" indent="1"/>
    </xf>
    <xf numFmtId="0" fontId="81" fillId="0" borderId="40" xfId="0" applyFont="1" applyBorder="1" applyNumberFormat="1">
      <alignment horizontal="left" vertical="center" wrapText="1" indent="1"/>
    </xf>
    <xf numFmtId="0" fontId="81" fillId="0" borderId="26" xfId="0" applyFont="1" applyBorder="1" applyNumberFormat="1">
      <alignment horizontal="left" vertical="center" wrapText="1" indent="1"/>
    </xf>
    <xf numFmtId="0" fontId="75" fillId="0" borderId="0" xfId="0" applyFont="1" applyNumberFormat="1">
      <alignment vertical="center"/>
    </xf>
    <xf numFmtId="0" fontId="23" fillId="0" borderId="0" xfId="0" applyFont="1" applyNumberFormat="1">
      <alignment vertical="center"/>
    </xf>
    <xf numFmtId="0" fontId="37" fillId="0" borderId="0" xfId="0" applyFont="1" applyNumberFormat="1">
      <alignment vertical="center"/>
    </xf>
    <xf numFmtId="0" fontId="52" fillId="0" borderId="0" xfId="0" applyFont="1" applyNumberFormat="1">
      <alignment vertical="center"/>
    </xf>
    <xf numFmtId="0" fontId="23" fillId="0" borderId="18" xfId="0" applyFont="1" applyBorder="1" applyNumberFormat="1">
      <alignment horizontal="center" vertical="center" wrapText="1"/>
    </xf>
    <xf numFmtId="0" fontId="23" fillId="0" borderId="17" xfId="0" applyFont="1" applyBorder="1" applyNumberFormat="1">
      <alignment horizontal="center" vertical="center" wrapText="1"/>
    </xf>
    <xf numFmtId="0" fontId="0" fillId="0" borderId="16" xfId="0" applyFont="1" applyBorder="1" applyNumberFormat="1">
      <alignment horizontal="center" vertical="center" wrapText="1"/>
    </xf>
    <xf numFmtId="0" fontId="57" fillId="0" borderId="0" xfId="0" applyFont="1" applyNumberFormat="1">
      <alignment vertical="center"/>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58" fillId="0" borderId="0" xfId="0" applyFont="1" applyNumberFormat="1">
      <alignment vertical="center"/>
    </xf>
    <xf numFmtId="0" fontId="58" fillId="0" borderId="0" xfId="0" applyFont="1" applyNumberFormat="1">
      <alignment vertical="center"/>
    </xf>
    <xf numFmtId="49" fontId="58" fillId="38" borderId="0" xfId="0" applyFont="1" applyFill="1" applyNumberFormat="1">
      <alignment horizontal="center" vertical="center" wrapText="1"/>
    </xf>
    <xf numFmtId="49" fontId="58" fillId="38" borderId="32" xfId="0" applyFont="1" applyFill="1" applyBorder="1" applyNumberFormat="1">
      <alignment horizontal="center" vertical="center" wrapText="1"/>
    </xf>
    <xf numFmtId="0" fontId="48" fillId="0" borderId="0" xfId="0" applyFont="1" applyNumberFormat="1">
      <alignment horizontal="center" vertical="center" wrapText="1"/>
    </xf>
    <xf numFmtId="0" fontId="58" fillId="0" borderId="16" xfId="0" applyFont="1" applyBorder="1" applyNumberFormat="1">
      <alignment horizontal="center" vertical="center"/>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left" vertical="center"/>
    </xf>
    <xf numFmtId="49" fontId="23" fillId="0" borderId="16" xfId="0" applyFont="1" applyBorder="1" applyNumberFormat="1">
      <alignment horizontal="center" vertical="center" wrapText="1"/>
    </xf>
    <xf numFmtId="49" fontId="23" fillId="0" borderId="16" xfId="0" applyFont="1" applyBorder="1" applyNumberFormat="1">
      <alignment horizontal="center" vertical="center" wrapText="1"/>
    </xf>
    <xf numFmtId="49" fontId="0" fillId="0" borderId="16"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6" xfId="0" applyFont="1" applyBorder="1" applyNumberFormat="1">
      <alignment horizontal="center" vertical="top"/>
    </xf>
    <xf numFmtId="0" fontId="23" fillId="0" borderId="16" xfId="0" applyFont="1" applyBorder="1" applyNumberFormat="1">
      <alignment horizontal="left" vertical="top" wrapText="1"/>
    </xf>
    <xf numFmtId="0" fontId="23" fillId="46" borderId="21" xfId="0" applyFont="1" applyFill="1" applyBorder="1" applyNumberFormat="1">
      <alignment horizontal="center" vertical="top" wrapText="1"/>
    </xf>
    <xf numFmtId="0" fontId="23" fillId="46" borderId="16" xfId="0" applyFont="1" applyFill="1" applyBorder="1" applyNumberFormat="1">
      <alignment horizontal="left" vertical="top" wrapText="1"/>
    </xf>
    <xf numFmtId="0" fontId="0" fillId="0" borderId="41" xfId="0" applyFont="1" applyBorder="1" applyNumberFormat="1">
      <alignment horizontal="center" vertical="center"/>
    </xf>
    <xf numFmtId="0" fontId="0" fillId="0" borderId="23" xfId="0" applyFont="1" applyBorder="1" applyNumberFormat="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horizontal="center" vertical="center" wrapText="1"/>
    </xf>
    <xf numFmtId="0" fontId="0" fillId="0" borderId="23" xfId="0" applyFont="1" applyBorder="1" applyNumberFormat="1">
      <alignment horizontal="left" vertical="center" wrapText="1"/>
    </xf>
    <xf numFmtId="49" fontId="0"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24" xfId="0" applyFont="1" applyBorder="1" applyNumberFormat="1">
      <alignment horizontal="left" vertical="center" wrapText="1"/>
    </xf>
    <xf numFmtId="0" fontId="23" fillId="0" borderId="0" xfId="0" applyFont="1" applyNumberFormat="1">
      <alignment horizontal="left" vertical="center" indent="1"/>
    </xf>
    <xf numFmtId="0" fontId="58" fillId="0" borderId="0" xfId="0" applyFont="1" applyNumberFormat="1">
      <alignment horizontal="left" vertical="center" indent="1"/>
    </xf>
    <xf numFmtId="0" fontId="0" fillId="0" borderId="0" xfId="0" applyFont="1" applyNumberFormat="1">
      <alignment vertical="center"/>
    </xf>
    <xf numFmtId="0" fontId="23" fillId="46" borderId="40" xfId="0" applyFont="1" applyFill="1" applyBorder="1" applyNumberFormat="1">
      <alignment horizontal="center" vertical="top" wrapText="1"/>
    </xf>
    <xf numFmtId="0" fontId="0" fillId="0" borderId="26" xfId="0" applyFont="1" applyBorder="1" applyNumberFormat="1">
      <alignment horizontal="center" vertical="center"/>
    </xf>
    <xf numFmtId="0" fontId="0" fillId="0" borderId="0" xfId="0" applyFont="1" applyNumberFormat="1">
      <alignment horizontal="center" vertical="center"/>
    </xf>
    <xf numFmtId="49" fontId="23" fillId="0" borderId="0" xfId="0" applyFont="1" applyNumberFormat="1">
      <alignment horizontal="left" vertical="center" wrapText="1"/>
    </xf>
    <xf numFmtId="49" fontId="23" fillId="0" borderId="0" xfId="0" applyFont="1" applyNumberFormat="1">
      <alignment horizontal="center" vertical="center" wrapText="1"/>
    </xf>
    <xf numFmtId="49" fontId="23"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51" fillId="0" borderId="0" xfId="0" applyFont="1" applyNumberFormat="1">
      <alignment horizontal="left" vertical="center"/>
    </xf>
    <xf numFmtId="0" fontId="51" fillId="0" borderId="28" xfId="0" applyFont="1" applyBorder="1" applyNumberFormat="1">
      <alignment horizontal="left" vertical="center"/>
    </xf>
    <xf numFmtId="0" fontId="23" fillId="0" borderId="0" xfId="0" applyFont="1" applyNumberFormat="1">
      <alignment vertical="center"/>
    </xf>
    <xf numFmtId="0" fontId="0" fillId="0" borderId="0" xfId="0" applyFont="1" applyNumberFormat="1">
      <alignment vertical="center"/>
    </xf>
    <xf numFmtId="49" fontId="0" fillId="0" borderId="0" xfId="0" applyFont="1" applyNumberFormat="1">
      <alignment horizontal="left" vertical="top"/>
    </xf>
    <xf numFmtId="49" fontId="23" fillId="0" borderId="0" xfId="0" applyFont="1" applyNumberFormat="1">
      <alignment horizontal="center" vertical="center" wrapText="1"/>
    </xf>
    <xf numFmtId="0" fontId="0" fillId="0" borderId="0" xfId="0" applyFont="1" applyNumberFormat="1">
      <alignment vertical="center"/>
    </xf>
    <xf numFmtId="49" fontId="0" fillId="0" borderId="16" xfId="0" applyFont="1" applyBorder="1" applyNumberFormat="1">
      <alignment vertical="top"/>
    </xf>
    <xf numFmtId="49" fontId="0" fillId="0" borderId="16" xfId="0" applyFont="1" applyBorder="1" applyNumberFormat="1">
      <alignment horizontal="left" vertical="top"/>
    </xf>
    <xf numFmtId="0" fontId="23" fillId="46" borderId="27" xfId="0" applyFont="1" applyFill="1" applyBorder="1" applyNumberFormat="1">
      <alignment horizontal="center" vertical="top" wrapText="1"/>
    </xf>
    <xf numFmtId="49" fontId="0" fillId="46" borderId="16" xfId="0" applyFont="1" applyFill="1" applyBorder="1" applyNumberFormat="1">
      <alignment horizontal="left" vertical="top"/>
    </xf>
    <xf numFmtId="0" fontId="51" fillId="0" borderId="31" xfId="0" applyFont="1" applyBorder="1" applyNumberFormat="1">
      <alignment horizontal="left" vertical="center"/>
    </xf>
    <xf numFmtId="0" fontId="51" fillId="0" borderId="32" xfId="0" applyFont="1" applyBorder="1" applyNumberFormat="1">
      <alignment horizontal="left" vertical="center"/>
    </xf>
    <xf numFmtId="0" fontId="0" fillId="0" borderId="32" xfId="0" applyFont="1" applyBorder="1" applyNumberFormat="1">
      <alignment vertical="center"/>
    </xf>
    <xf numFmtId="0" fontId="51" fillId="0" borderId="34" xfId="0" applyFont="1" applyBorder="1" applyNumberFormat="1">
      <alignment horizontal="left" vertical="center"/>
    </xf>
    <xf numFmtId="0" fontId="0" fillId="0" borderId="0" xfId="0" applyFont="1" applyNumberFormat="1">
      <alignment vertical="center"/>
    </xf>
    <xf numFmtId="49" fontId="58"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21" xfId="0" applyFont="1" applyBorder="1" applyNumberFormat="1">
      <alignment horizontal="center" vertical="top"/>
    </xf>
    <xf numFmtId="0" fontId="23" fillId="0" borderId="21" xfId="0" applyFont="1" applyBorder="1" applyNumberFormat="1">
      <alignment horizontal="left" vertical="top" wrapText="1"/>
    </xf>
    <xf numFmtId="0" fontId="23" fillId="46" borderId="21" xfId="0" applyFont="1" applyFill="1" applyBorder="1" applyNumberFormat="1">
      <alignment horizontal="left" vertical="top" wrapText="1"/>
    </xf>
    <xf numFmtId="0" fontId="0" fillId="0" borderId="40" xfId="0" applyFont="1" applyBorder="1" applyNumberFormat="1">
      <alignment horizontal="center" vertical="top"/>
    </xf>
    <xf numFmtId="0" fontId="23" fillId="0" borderId="40" xfId="0" applyFont="1" applyBorder="1" applyNumberFormat="1">
      <alignment horizontal="left" vertical="top" wrapText="1"/>
    </xf>
    <xf numFmtId="0" fontId="23" fillId="46" borderId="40" xfId="0" applyFont="1" applyFill="1" applyBorder="1" applyNumberFormat="1">
      <alignment horizontal="left" vertical="top" wrapText="1"/>
    </xf>
    <xf numFmtId="0" fontId="0" fillId="0" borderId="27" xfId="0" applyFont="1" applyBorder="1" applyNumberFormat="1">
      <alignment horizontal="center" vertical="top"/>
    </xf>
    <xf numFmtId="0" fontId="23" fillId="0" borderId="27" xfId="0" applyFont="1" applyBorder="1" applyNumberFormat="1">
      <alignment horizontal="left" vertical="top" wrapText="1"/>
    </xf>
    <xf numFmtId="0" fontId="23" fillId="46" borderId="27" xfId="0" applyFont="1" applyFill="1" applyBorder="1" applyNumberFormat="1">
      <alignment horizontal="left" vertical="top"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23" fillId="0" borderId="0" xfId="0" applyFont="1" applyNumberFormat="1">
      <alignment horizontal="center" vertical="center" wrapText="1"/>
    </xf>
    <xf numFmtId="0" fontId="0" fillId="0" borderId="0" xfId="0" applyFont="1" applyNumberFormat="1">
      <alignment vertical="center"/>
    </xf>
    <xf numFmtId="0" fontId="0" fillId="0" borderId="0" xfId="0" applyFont="1" applyNumberFormat="1">
      <alignment vertical="center"/>
    </xf>
    <xf numFmtId="0" fontId="58"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0" fontId="23" fillId="0" borderId="0" xfId="0" applyFont="1" applyNumberFormat="1">
      <alignment vertical="center"/>
    </xf>
    <xf numFmtId="49" fontId="58" fillId="0" borderId="0" xfId="0" applyFont="1" applyNumberFormat="1">
      <alignment vertical="top"/>
    </xf>
    <xf numFmtId="49" fontId="58" fillId="0" borderId="0" xfId="0" applyFont="1" applyNumberFormat="1">
      <alignment horizontal="center" vertical="center"/>
    </xf>
    <xf numFmtId="49" fontId="58" fillId="0" borderId="0" xfId="0" applyFont="1" applyNumberFormat="1">
      <alignment horizontal="center" vertical="center"/>
    </xf>
    <xf numFmtId="49" fontId="57" fillId="0" borderId="0" xfId="0" applyFont="1" applyNumberFormat="1">
      <alignment horizontal="center" vertical="center"/>
    </xf>
    <xf numFmtId="49" fontId="75"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43" fillId="0" borderId="0" xfId="0" applyFont="1" applyNumberFormat="1">
      <alignment vertical="center" wrapText="1"/>
    </xf>
    <xf numFmtId="0" fontId="23" fillId="0" borderId="0" xfId="0" applyFont="1" applyNumberFormat="1">
      <alignment vertical="center" wrapText="1"/>
    </xf>
    <xf numFmtId="0" fontId="48" fillId="0" borderId="0" xfId="0" applyFont="1" applyNumberFormat="1">
      <alignment horizontal="center" vertical="center" wrapText="1"/>
    </xf>
    <xf numFmtId="0" fontId="22" fillId="0" borderId="23" xfId="0" applyFont="1" applyBorder="1" applyNumberFormat="1">
      <alignment horizontal="left" vertical="center" wrapText="1" indent="1"/>
    </xf>
    <xf numFmtId="0" fontId="22" fillId="0" borderId="0" xfId="0" applyFont="1" applyNumberFormat="1">
      <alignment horizontal="left" vertical="center" wrapText="1" indent="1"/>
    </xf>
    <xf numFmtId="0" fontId="53" fillId="0" borderId="0" xfId="0" applyFont="1" applyNumberFormat="1">
      <alignment vertical="center"/>
    </xf>
    <xf numFmtId="0" fontId="122" fillId="0" borderId="0" xfId="0" applyFont="1" applyNumberFormat="1">
      <alignment vertical="center" wrapText="1"/>
    </xf>
    <xf numFmtId="0" fontId="123" fillId="0" borderId="0" xfId="0" applyFont="1" applyNumberFormat="1">
      <alignment vertical="center" wrapText="1"/>
    </xf>
    <xf numFmtId="0" fontId="53" fillId="0" borderId="0" xfId="0" applyFont="1" applyNumberFormat="1">
      <alignment vertical="center" wrapText="1"/>
    </xf>
    <xf numFmtId="0" fontId="43" fillId="0" borderId="0" xfId="0" applyFont="1" applyNumberFormat="1">
      <alignment vertical="center" wrapText="1"/>
    </xf>
    <xf numFmtId="0" fontId="23" fillId="0" borderId="0" xfId="0" applyFont="1" applyNumberFormat="1">
      <alignment vertical="center" wrapText="1"/>
    </xf>
    <xf numFmtId="0" fontId="22" fillId="0" borderId="32" xfId="0" applyFont="1" applyBorder="1" applyNumberFormat="1">
      <alignment horizontal="left" vertical="center" wrapText="1" indent="1"/>
    </xf>
    <xf numFmtId="0" fontId="23" fillId="0" borderId="4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40"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28" xfId="0" applyFont="1" applyBorder="1" applyNumberFormat="1">
      <alignment horizontal="center" vertical="center" wrapText="1"/>
    </xf>
    <xf numFmtId="0" fontId="23" fillId="0" borderId="26" xfId="0" applyFont="1" applyBorder="1" applyNumberFormat="1">
      <alignment horizontal="center" vertical="center" wrapText="1"/>
    </xf>
    <xf numFmtId="0" fontId="23" fillId="0" borderId="40"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41" xfId="0" applyFont="1" applyBorder="1" applyNumberFormat="1">
      <alignment horizontal="center" vertical="center" wrapText="1"/>
    </xf>
    <xf numFmtId="49" fontId="23" fillId="0" borderId="0" xfId="0" applyFont="1" applyNumberFormat="1">
      <alignment vertical="top"/>
    </xf>
    <xf numFmtId="49" fontId="23" fillId="0" borderId="16" xfId="0" applyFont="1" applyBorder="1" applyNumberFormat="1">
      <alignment horizontal="center" vertical="center"/>
    </xf>
    <xf numFmtId="0" fontId="23" fillId="0" borderId="16" xfId="0" applyFont="1" applyBorder="1" applyNumberFormat="1">
      <alignment horizontal="left" vertical="center" wrapText="1"/>
    </xf>
    <xf numFmtId="0" fontId="23" fillId="0" borderId="16"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23" fillId="0" borderId="41" xfId="0" applyFont="1" applyBorder="1" applyNumberFormat="1">
      <alignment vertical="center" wrapText="1"/>
    </xf>
    <xf numFmtId="0" fontId="23" fillId="0" borderId="23" xfId="0" applyFont="1" applyBorder="1" applyNumberFormat="1">
      <alignment horizontal="center" vertical="center"/>
    </xf>
    <xf numFmtId="49" fontId="23" fillId="0" borderId="23" xfId="0" applyFont="1" applyBorder="1" applyNumberFormat="1">
      <alignment horizontal="left" vertical="center" wrapText="1"/>
    </xf>
    <xf numFmtId="49" fontId="23"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left" vertical="center" wrapText="1"/>
    </xf>
    <xf numFmtId="49" fontId="48" fillId="0" borderId="23" xfId="0" applyFont="1" applyBorder="1" applyNumberFormat="1">
      <alignment vertical="center" wrapText="1"/>
    </xf>
    <xf numFmtId="49"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0" fontId="23" fillId="0" borderId="23" xfId="0" applyFont="1" applyBorder="1" applyNumberFormat="1">
      <alignment horizontal="left" vertical="center" wrapText="1"/>
    </xf>
    <xf numFmtId="49" fontId="23" fillId="0" borderId="23" xfId="0" applyFont="1" applyBorder="1" applyNumberFormat="1">
      <alignment horizontal="center" vertical="center" wrapText="1"/>
    </xf>
    <xf numFmtId="49" fontId="23" fillId="0" borderId="23" xfId="0" applyFont="1" applyBorder="1" applyNumberFormat="1">
      <alignment vertical="center" wrapText="1"/>
    </xf>
    <xf numFmtId="49" fontId="23" fillId="46" borderId="40" xfId="0" applyFont="1" applyFill="1" applyBorder="1" applyNumberFormat="1">
      <alignment horizontal="center" vertical="center" wrapText="1"/>
    </xf>
    <xf numFmtId="49" fontId="23" fillId="0" borderId="26" xfId="0" applyFont="1" applyBorder="1" applyNumberFormat="1">
      <alignment vertical="center" wrapText="1"/>
    </xf>
    <xf numFmtId="0" fontId="23" fillId="0" borderId="0" xfId="0" applyFont="1" applyNumberFormat="1">
      <alignment horizontal="center" vertical="center"/>
    </xf>
    <xf numFmtId="0" fontId="23"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left" vertical="center" wrapText="1"/>
    </xf>
    <xf numFmtId="49" fontId="48" fillId="0" borderId="0" xfId="0" applyFont="1" applyNumberFormat="1">
      <alignment vertical="center" wrapText="1"/>
    </xf>
    <xf numFmtId="49" fontId="23" fillId="0" borderId="0" xfId="0" applyFont="1" applyNumberFormat="1">
      <alignment horizontal="left" vertical="center" wrapText="1"/>
    </xf>
    <xf numFmtId="49" fontId="23" fillId="0" borderId="0" xfId="0" applyFont="1" applyNumberFormat="1">
      <alignment horizontal="center" vertical="center" wrapText="1"/>
    </xf>
    <xf numFmtId="0" fontId="23" fillId="0" borderId="0" xfId="0" applyFont="1" applyNumberFormat="1">
      <alignment horizontal="left" vertical="center" wrapText="1"/>
    </xf>
    <xf numFmtId="0" fontId="51" fillId="0" borderId="0" xfId="0" applyFont="1" applyNumberFormat="1">
      <alignment horizontal="left" vertical="center"/>
    </xf>
    <xf numFmtId="0" fontId="51" fillId="0" borderId="0" xfId="0" applyFont="1" applyNumberFormat="1">
      <alignment horizontal="left" vertical="center"/>
    </xf>
    <xf numFmtId="0" fontId="51" fillId="0" borderId="28" xfId="0" applyFont="1" applyBorder="1" applyNumberFormat="1">
      <alignment horizontal="left" vertical="center"/>
    </xf>
    <xf numFmtId="49" fontId="23" fillId="0" borderId="0" xfId="0" applyFont="1" applyNumberFormat="1">
      <alignment horizontal="center" vertical="center" wrapText="1"/>
    </xf>
    <xf numFmtId="49" fontId="48" fillId="0" borderId="0" xfId="0" applyFont="1" applyNumberFormat="1">
      <alignment horizontal="center" vertical="center" wrapText="1"/>
    </xf>
    <xf numFmtId="0" fontId="51" fillId="0" borderId="0" xfId="0" applyFont="1" applyNumberFormat="1">
      <alignment vertical="center"/>
    </xf>
    <xf numFmtId="0" fontId="51" fillId="0" borderId="26" xfId="0" applyFont="1" applyBorder="1" applyNumberFormat="1">
      <alignment horizontal="left" vertical="center"/>
    </xf>
    <xf numFmtId="49" fontId="23" fillId="0" borderId="21" xfId="0" applyFont="1" applyBorder="1" applyNumberFormat="1">
      <alignment horizontal="center" vertical="center"/>
    </xf>
    <xf numFmtId="0" fontId="23" fillId="0" borderId="21" xfId="0" applyFont="1" applyBorder="1" applyNumberFormat="1">
      <alignment horizontal="left" vertical="center" wrapText="1"/>
    </xf>
    <xf numFmtId="0" fontId="23" fillId="0" borderId="41" xfId="0" applyFont="1" applyBorder="1" applyNumberFormat="1">
      <alignment horizontal="left" vertical="center" wrapText="1"/>
    </xf>
    <xf numFmtId="49" fontId="75" fillId="0" borderId="31" xfId="0" applyFont="1" applyBorder="1" applyNumberFormat="1">
      <alignment vertical="top"/>
    </xf>
    <xf numFmtId="49" fontId="75" fillId="0" borderId="32" xfId="0" applyFont="1" applyBorder="1" applyNumberFormat="1">
      <alignment vertical="top"/>
    </xf>
    <xf numFmtId="0" fontId="51" fillId="0" borderId="32" xfId="0" applyFont="1" applyBorder="1" applyNumberFormat="1">
      <alignment horizontal="left" vertical="center"/>
    </xf>
    <xf numFmtId="0" fontId="51" fillId="0" borderId="34" xfId="0" applyFont="1" applyBorder="1" applyNumberFormat="1">
      <alignment horizontal="left" vertical="center"/>
    </xf>
    <xf numFmtId="0" fontId="23" fillId="0" borderId="0" xfId="0" applyFont="1" applyNumberFormat="1">
      <alignment horizontal="left" vertical="center" wrapText="1"/>
    </xf>
    <xf numFmtId="0" fontId="23" fillId="0" borderId="18" xfId="0" applyFont="1" applyBorder="1" applyNumberFormat="1">
      <alignment horizontal="left" vertical="center" wrapText="1"/>
    </xf>
    <xf numFmtId="49" fontId="0" fillId="0" borderId="0" xfId="0" applyFont="1" applyNumberFormat="1">
      <alignment vertical="top"/>
    </xf>
    <xf numFmtId="49" fontId="0" fillId="0" borderId="0" xfId="0" applyFont="1" applyNumberFormat="1">
      <alignment vertical="top"/>
    </xf>
    <xf numFmtId="49" fontId="43" fillId="0" borderId="0" xfId="0" applyFont="1" applyNumberFormat="1">
      <alignment vertical="top"/>
    </xf>
    <xf numFmtId="0" fontId="23" fillId="38" borderId="0" xfId="0" applyFont="1" applyFill="1" applyNumberFormat="1"/>
    <xf numFmtId="0" fontId="69" fillId="38" borderId="0" xfId="0" applyFont="1" applyFill="1" applyNumberFormat="1"/>
    <xf numFmtId="0" fontId="58" fillId="38" borderId="0" xfId="0" applyFont="1" applyFill="1" applyNumberFormat="1"/>
    <xf numFmtId="0" fontId="69" fillId="38" borderId="0" xfId="0" applyFont="1" applyFill="1" applyNumberFormat="1">
      <alignment horizontal="center"/>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0" fontId="98" fillId="0" borderId="0" xfId="0" applyFont="1" applyNumberFormat="1">
      <alignment vertical="center"/>
    </xf>
    <xf numFmtId="0" fontId="23" fillId="0" borderId="32" xfId="0" applyFont="1" applyBorder="1" applyNumberFormat="1">
      <alignment horizontal="left" vertical="center" wrapText="1" indent="1"/>
    </xf>
    <xf numFmtId="0" fontId="97" fillId="0" borderId="0" xfId="0" applyFont="1" applyNumberFormat="1">
      <alignment vertical="center"/>
    </xf>
    <xf numFmtId="0" fontId="78" fillId="38" borderId="0" xfId="0" applyFont="1" applyFill="1" applyNumberFormat="1">
      <alignment horizontal="right" vertical="center"/>
    </xf>
    <xf numFmtId="0" fontId="23" fillId="38" borderId="0" xfId="0" applyFont="1" applyFill="1" applyNumberFormat="1">
      <alignment vertical="center" wrapText="1"/>
    </xf>
    <xf numFmtId="0" fontId="58" fillId="38" borderId="0" xfId="0" applyFont="1" applyFill="1" applyNumberFormat="1">
      <alignment vertical="center" wrapText="1"/>
    </xf>
    <xf numFmtId="0" fontId="23" fillId="38" borderId="0" xfId="0" applyFont="1" applyFill="1" applyNumberFormat="1">
      <alignment horizontal="center" vertical="center" wrapText="1"/>
    </xf>
    <xf numFmtId="0" fontId="101" fillId="38" borderId="0" xfId="0" applyFont="1" applyFill="1" applyNumberFormat="1">
      <alignment horizontal="left" vertical="center" wrapText="1"/>
    </xf>
    <xf numFmtId="49"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47" fillId="38" borderId="0" xfId="0" applyFont="1" applyFill="1" applyNumberFormat="1">
      <alignment horizontal="center" vertical="center"/>
    </xf>
    <xf numFmtId="49" fontId="58" fillId="0" borderId="16" xfId="0" applyFont="1" applyBorder="1" applyNumberFormat="1">
      <alignment horizontal="center" vertical="center"/>
    </xf>
    <xf numFmtId="0" fontId="58" fillId="0" borderId="16" xfId="0" applyFont="1" applyBorder="1" applyNumberFormat="1">
      <alignment vertical="center" wrapText="1"/>
    </xf>
    <xf numFmtId="0" fontId="58" fillId="0" borderId="16" xfId="0" applyFont="1" applyBorder="1" applyNumberFormat="1">
      <alignment horizontal="left" vertical="center" wrapText="1"/>
    </xf>
    <xf numFmtId="0" fontId="73" fillId="38" borderId="0" xfId="0" applyFont="1" applyFill="1" applyNumberFormat="1"/>
    <xf numFmtId="49" fontId="0" fillId="38" borderId="16" xfId="0" applyFont="1" applyFill="1" applyBorder="1" applyNumberFormat="1">
      <alignment horizontal="center" vertical="center"/>
    </xf>
    <xf numFmtId="0" fontId="0" fillId="38" borderId="16" xfId="0" applyFont="1" applyFill="1" applyBorder="1" applyNumberFormat="1">
      <alignment vertical="center" wrapText="1"/>
    </xf>
    <xf numFmtId="0" fontId="0" fillId="0" borderId="16" xfId="0" applyFont="1" applyBorder="1" applyNumberFormat="1">
      <alignment horizontal="center" vertical="center" wrapText="1"/>
    </xf>
    <xf numFmtId="0" fontId="23" fillId="38" borderId="16" xfId="0" applyFont="1" applyFill="1" applyBorder="1" applyNumberFormat="1">
      <alignment vertical="center" wrapText="1"/>
    </xf>
    <xf numFmtId="0" fontId="0" fillId="38" borderId="16" xfId="0" applyFont="1" applyFill="1" applyBorder="1" applyNumberFormat="1">
      <alignment horizontal="left" vertical="center" wrapText="1" indent="1"/>
    </xf>
    <xf numFmtId="49" fontId="0" fillId="45" borderId="16" xfId="0" applyFont="1" applyFill="1" applyBorder="1" applyNumberFormat="1">
      <alignment horizontal="left" vertical="center" wrapText="1"/>
      <protection locked="0"/>
    </xf>
    <xf numFmtId="0" fontId="58" fillId="0" borderId="16" xfId="0" applyFont="1" applyBorder="1" applyNumberFormat="1">
      <alignment horizontal="left" vertical="center" wrapText="1" indent="1"/>
    </xf>
    <xf numFmtId="0" fontId="23" fillId="38" borderId="0" xfId="0" applyFont="1" applyFill="1" applyNumberFormat="1">
      <alignment horizontal="center" vertical="center" wrapText="1"/>
    </xf>
    <xf numFmtId="0" fontId="23" fillId="38" borderId="28" xfId="0" applyFont="1" applyFill="1" applyBorder="1" applyNumberFormat="1">
      <alignment horizontal="center" vertical="center" wrapText="1"/>
    </xf>
    <xf numFmtId="0" fontId="0" fillId="38" borderId="16" xfId="0" applyFont="1" applyFill="1" applyBorder="1" applyNumberFormat="1">
      <alignment horizontal="center" vertical="center"/>
    </xf>
    <xf numFmtId="0" fontId="98" fillId="0" borderId="0" xfId="0" applyFont="1" applyNumberFormat="1">
      <alignment vertical="center" wrapText="1"/>
    </xf>
    <xf numFmtId="0" fontId="0" fillId="38" borderId="16" xfId="0" applyFont="1" applyFill="1" applyBorder="1" applyNumberFormat="1">
      <alignment horizontal="left" vertical="center" wrapText="1" indent="2"/>
    </xf>
    <xf numFmtId="49" fontId="0" fillId="0" borderId="16" xfId="0" applyFont="1" applyBorder="1" applyNumberFormat="1">
      <alignment horizontal="left" vertical="center" wrapText="1"/>
    </xf>
    <xf numFmtId="0" fontId="58" fillId="38" borderId="0" xfId="0" applyFont="1" applyFill="1" applyNumberFormat="1"/>
    <xf numFmtId="49" fontId="58" fillId="38" borderId="16" xfId="0" applyFont="1" applyFill="1" applyBorder="1" applyNumberFormat="1">
      <alignment horizontal="center" vertical="center"/>
    </xf>
    <xf numFmtId="0" fontId="58" fillId="38" borderId="16" xfId="0" applyFont="1" applyFill="1" applyBorder="1" applyNumberFormat="1">
      <alignment vertical="center" wrapText="1"/>
    </xf>
    <xf numFmtId="0" fontId="58" fillId="0" borderId="16" xfId="0" applyFont="1" applyBorder="1" applyNumberFormat="1">
      <alignment horizontal="center" vertical="center" wrapText="1"/>
    </xf>
    <xf numFmtId="0" fontId="58" fillId="38" borderId="16" xfId="0" applyFont="1" applyFill="1" applyBorder="1" applyNumberFormat="1">
      <alignment horizontal="left" vertical="center" wrapText="1" indent="1"/>
    </xf>
    <xf numFmtId="0" fontId="58" fillId="38" borderId="16" xfId="0" applyFont="1" applyFill="1" applyBorder="1" applyNumberFormat="1">
      <alignment horizontal="left" vertical="center" wrapText="1" indent="2"/>
    </xf>
    <xf numFmtId="49" fontId="58" fillId="0" borderId="16" xfId="0" applyFont="1" applyBorder="1" applyNumberFormat="1">
      <alignment horizontal="left" vertical="center" wrapText="1"/>
    </xf>
    <xf numFmtId="49" fontId="133" fillId="0" borderId="16" xfId="0" applyFont="1" applyBorder="1" applyNumberFormat="1">
      <alignment horizontal="left" vertical="center" wrapText="1"/>
    </xf>
    <xf numFmtId="0" fontId="0" fillId="38" borderId="16" xfId="0" applyFont="1" applyFill="1" applyBorder="1" applyNumberFormat="1">
      <alignment horizontal="left" vertical="center" wrapText="1"/>
    </xf>
    <xf numFmtId="49" fontId="0" fillId="34" borderId="16" xfId="0" applyFont="1" applyFill="1" applyBorder="1" applyNumberFormat="1">
      <alignment horizontal="left" vertical="center" wrapText="1"/>
      <protection locked="0"/>
    </xf>
    <xf numFmtId="0" fontId="0" fillId="38" borderId="21" xfId="0" applyFont="1" applyFill="1" applyBorder="1" applyNumberFormat="1">
      <alignment horizontal="left" vertical="center" wrapText="1"/>
    </xf>
    <xf numFmtId="0" fontId="23" fillId="38" borderId="21" xfId="0" applyFont="1" applyFill="1" applyBorder="1" applyNumberFormat="1">
      <alignment horizontal="left" vertical="top" wrapText="1"/>
    </xf>
    <xf numFmtId="49" fontId="0" fillId="0" borderId="16" xfId="0" applyFont="1" applyBorder="1" applyNumberFormat="1">
      <alignment horizontal="left" vertical="center" wrapText="1" indent="1"/>
    </xf>
    <xf numFmtId="0" fontId="23" fillId="38" borderId="40" xfId="0" applyFont="1" applyFill="1" applyBorder="1" applyNumberFormat="1">
      <alignment horizontal="left" vertical="top" wrapText="1"/>
    </xf>
    <xf numFmtId="0" fontId="48" fillId="38" borderId="0" xfId="0" applyFont="1" applyFill="1" applyNumberFormat="1">
      <alignment horizontal="center" vertical="center" wrapText="1"/>
    </xf>
    <xf numFmtId="49" fontId="0" fillId="45"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44" borderId="18" xfId="0" applyFont="1" applyFill="1" applyBorder="1" applyNumberFormat="1">
      <alignment horizontal="center"/>
    </xf>
    <xf numFmtId="0" fontId="78" fillId="44" borderId="17" xfId="0" applyFont="1" applyFill="1" applyBorder="1" applyNumberFormat="1">
      <alignment horizontal="left" vertical="center"/>
    </xf>
    <xf numFmtId="0" fontId="23" fillId="38" borderId="27" xfId="0" applyFont="1" applyFill="1" applyBorder="1" applyNumberFormat="1">
      <alignment horizontal="left" vertical="top" wrapText="1"/>
    </xf>
    <xf numFmtId="0" fontId="61" fillId="38" borderId="0" xfId="0" applyFont="1" applyFill="1" applyNumberFormat="1"/>
    <xf numFmtId="49" fontId="131" fillId="45" borderId="16" xfId="0" applyFont="1" applyFill="1" applyBorder="1" applyNumberFormat="1" quotePrefix="1">
      <alignment horizontal="left" vertical="center" wrapText="1"/>
      <protection locked="0"/>
    </xf>
    <xf numFmtId="49" fontId="131" fillId="34" borderId="16" xfId="0" applyFont="1" applyFill="1" applyBorder="1" applyNumberFormat="1">
      <alignment horizontal="left" vertical="center" wrapText="1"/>
      <protection locked="0"/>
    </xf>
    <xf numFmtId="49" fontId="23" fillId="46" borderId="16" xfId="0" applyFont="1" applyFill="1" applyBorder="1" applyNumberFormat="1">
      <alignment horizontal="left" vertical="center" wrapText="1"/>
    </xf>
    <xf numFmtId="49" fontId="23" fillId="38" borderId="0" xfId="0" applyFont="1" applyFill="1" applyNumberFormat="1">
      <alignment horizontal="center" vertical="center" wrapText="1"/>
    </xf>
    <xf numFmtId="0" fontId="23" fillId="38" borderId="28" xfId="0" applyFont="1" applyFill="1" applyBorder="1" applyNumberFormat="1">
      <alignment vertical="center" wrapText="1"/>
    </xf>
    <xf numFmtId="49" fontId="23" fillId="46" borderId="16" xfId="0" applyFont="1" applyFill="1" applyBorder="1" applyNumberFormat="1">
      <alignment horizontal="left" vertical="center" wrapText="1"/>
    </xf>
    <xf numFmtId="0" fontId="0" fillId="38" borderId="18" xfId="0" applyFont="1" applyFill="1" applyBorder="1" applyNumberFormat="1">
      <alignment horizontal="left" vertical="center" wrapText="1" indent="1"/>
    </xf>
    <xf numFmtId="49" fontId="23" fillId="46" borderId="18" xfId="0" applyFont="1" applyFill="1" applyBorder="1" applyNumberFormat="1">
      <alignment horizontal="left" vertical="center" wrapText="1"/>
    </xf>
    <xf numFmtId="0" fontId="0" fillId="38" borderId="16" xfId="0" applyFont="1" applyFill="1" applyBorder="1" applyNumberFormat="1">
      <alignment vertical="top" wrapText="1"/>
    </xf>
    <xf numFmtId="0" fontId="78" fillId="44" borderId="19" xfId="0" applyFont="1" applyFill="1" applyBorder="1" applyNumberFormat="1">
      <alignment horizontal="left" vertical="center"/>
    </xf>
    <xf numFmtId="49" fontId="23" fillId="38" borderId="0" xfId="0" applyFont="1" applyFill="1" applyNumberFormat="1">
      <alignment horizontal="center" vertical="center" wrapText="1"/>
    </xf>
    <xf numFmtId="0" fontId="0" fillId="38" borderId="18" xfId="0" applyFont="1" applyFill="1" applyBorder="1" applyNumberFormat="1">
      <alignment horizontal="left" vertical="center" wrapText="1"/>
    </xf>
    <xf numFmtId="0" fontId="0" fillId="38" borderId="27" xfId="0" applyFont="1" applyFill="1" applyBorder="1" applyNumberFormat="1">
      <alignment vertical="center" wrapText="1"/>
    </xf>
    <xf numFmtId="0" fontId="84" fillId="38" borderId="0" xfId="0" applyFont="1" applyFill="1" applyNumberFormat="1"/>
    <xf numFmtId="0" fontId="23" fillId="0" borderId="0" xfId="0" applyFont="1" applyNumberFormat="1">
      <alignment vertical="top" wrapText="1"/>
    </xf>
    <xf numFmtId="0" fontId="58" fillId="0" borderId="0" xfId="0" applyFont="1" applyNumberFormat="1">
      <alignment vertical="center" wrapText="1"/>
    </xf>
    <xf numFmtId="0" fontId="56" fillId="0" borderId="0" xfId="0" applyFont="1" applyNumberFormat="1">
      <alignment horizontal="right" vertical="top" wrapText="1"/>
    </xf>
    <xf numFmtId="0" fontId="56" fillId="0" borderId="0" xfId="0" applyFont="1" applyNumberFormat="1">
      <alignment horizontal="left" vertical="top" wrapText="1" indent="1"/>
    </xf>
    <xf numFmtId="0" fontId="56" fillId="0" borderId="0" xfId="0" applyFont="1" applyNumberFormat="1">
      <alignment vertical="center" wrapText="1"/>
    </xf>
    <xf numFmtId="0" fontId="83" fillId="38" borderId="0" xfId="0" applyFont="1" applyFill="1" applyNumberFormat="1">
      <alignment horizontal="center"/>
    </xf>
    <xf numFmtId="0" fontId="83" fillId="38" borderId="0" xfId="0" applyFont="1" applyFill="1" applyNumberFormat="1"/>
    <xf numFmtId="0" fontId="85" fillId="38" borderId="0" xfId="0" applyFont="1" applyFill="1" applyNumberFormat="1">
      <alignment horizontal="right" vertical="center"/>
    </xf>
    <xf numFmtId="0" fontId="86" fillId="38" borderId="0" xfId="0" applyFont="1" applyFill="1" applyNumberFormat="1">
      <alignment vertical="center"/>
    </xf>
    <xf numFmtId="0" fontId="85" fillId="38" borderId="0" xfId="0" applyFont="1" applyFill="1" applyNumberFormat="1">
      <alignment horizontal="right" vertical="top"/>
    </xf>
    <xf numFmtId="0" fontId="86" fillId="38" borderId="0" xfId="0" applyFont="1" applyFill="1" applyNumberFormat="1">
      <alignment vertical="center" wrapText="1"/>
    </xf>
    <xf numFmtId="0" fontId="23" fillId="38" borderId="0" xfId="0" applyFont="1" applyFill="1" applyNumberFormat="1"/>
    <xf numFmtId="0" fontId="0" fillId="38" borderId="0" xfId="0" applyFont="1" applyFill="1" applyNumberFormat="1"/>
    <xf numFmtId="0" fontId="0" fillId="38" borderId="0" xfId="0" applyFont="1" applyFill="1" applyNumberFormat="1">
      <alignment horizontal="center"/>
    </xf>
    <xf numFmtId="0" fontId="96" fillId="0" borderId="0" xfId="0" applyFont="1" applyNumberFormat="1">
      <alignment vertical="center" wrapText="1"/>
    </xf>
    <xf numFmtId="0" fontId="96" fillId="38" borderId="0" xfId="0" applyFont="1" applyFill="1" applyNumberFormat="1">
      <alignment horizontal="center" vertical="center" wrapText="1"/>
    </xf>
    <xf numFmtId="0" fontId="96" fillId="38" borderId="0" xfId="0" applyFont="1" applyFill="1" applyNumberFormat="1">
      <alignment horizontal="right" vertical="center" wrapText="1"/>
    </xf>
    <xf numFmtId="0" fontId="48" fillId="38" borderId="0" xfId="0" applyFont="1" applyFill="1" applyNumberFormat="1">
      <alignment horizontal="center" vertical="center" wrapText="1"/>
    </xf>
    <xf numFmtId="0" fontId="22" fillId="0" borderId="0" xfId="0" applyFont="1" applyNumberFormat="1">
      <alignment horizontal="left" vertical="center" wrapText="1" indent="3"/>
    </xf>
    <xf numFmtId="0" fontId="72" fillId="0" borderId="0" xfId="0" applyFont="1" applyNumberFormat="1">
      <alignment horizontal="center" vertical="center" wrapText="1"/>
    </xf>
    <xf numFmtId="0" fontId="72" fillId="0" borderId="0" xfId="0" applyFont="1" applyNumberFormat="1">
      <alignment vertical="center" wrapText="1"/>
    </xf>
    <xf numFmtId="0" fontId="43" fillId="0" borderId="0" xfId="0" applyFont="1" applyNumberFormat="1">
      <alignment vertical="center" wrapText="1"/>
    </xf>
    <xf numFmtId="0" fontId="48" fillId="38" borderId="0" xfId="0" applyFont="1" applyFill="1" applyNumberFormat="1">
      <alignment horizontal="center" vertical="center"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68" fillId="0" borderId="0" xfId="0" applyFont="1" applyNumberFormat="1">
      <alignment vertical="center" wrapText="1"/>
    </xf>
    <xf numFmtId="0" fontId="66" fillId="0" borderId="0" xfId="0" applyFont="1" applyNumberFormat="1">
      <alignment vertical="center" wrapText="1"/>
    </xf>
    <xf numFmtId="0" fontId="87" fillId="38" borderId="0" xfId="0" applyFont="1" applyFill="1" applyNumberFormat="1">
      <alignment horizontal="center" vertical="center" wrapText="1"/>
    </xf>
    <xf numFmtId="0" fontId="68" fillId="0" borderId="0" xfId="0" applyFont="1" applyNumberFormat="1">
      <alignment horizontal="left" vertical="center" wrapText="1" indent="1"/>
    </xf>
    <xf numFmtId="0" fontId="23" fillId="0" borderId="0" xfId="0" applyFont="1" applyNumberFormat="1">
      <alignment horizontal="right" vertical="center"/>
    </xf>
    <xf numFmtId="0" fontId="58" fillId="0" borderId="0" xfId="0" applyFont="1" applyNumberFormat="1">
      <alignment vertical="center" wrapText="1"/>
    </xf>
    <xf numFmtId="0" fontId="0" fillId="0" borderId="18"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41"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34" xfId="0" applyFont="1" applyBorder="1" applyNumberFormat="1">
      <alignment horizontal="center" vertical="center" wrapText="1"/>
    </xf>
    <xf numFmtId="0" fontId="0" fillId="0" borderId="34"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7" xfId="0" applyFont="1" applyBorder="1" applyNumberFormat="1">
      <alignment horizontal="center" vertical="center" wrapText="1"/>
    </xf>
    <xf numFmtId="0" fontId="47" fillId="38" borderId="0" xfId="0" applyFont="1" applyFill="1" applyNumberFormat="1">
      <alignment horizontal="center" vertical="center" wrapText="1"/>
    </xf>
    <xf numFmtId="49" fontId="47" fillId="38" borderId="0" xfId="0" applyFont="1" applyFill="1" applyNumberFormat="1">
      <alignment horizontal="center" vertical="center" wrapText="1"/>
    </xf>
    <xf numFmtId="0" fontId="23" fillId="0" borderId="0" xfId="0" applyFont="1" applyNumberFormat="1">
      <alignment vertical="center" wrapText="1"/>
    </xf>
    <xf numFmtId="0" fontId="81" fillId="0" borderId="0" xfId="0" applyFont="1" applyNumberFormat="1">
      <alignment vertical="center" wrapText="1"/>
    </xf>
    <xf numFmtId="0" fontId="88" fillId="38" borderId="0" xfId="0" applyFont="1" applyFill="1" applyNumberFormat="1">
      <alignment horizontal="center" vertical="center" wrapText="1"/>
    </xf>
    <xf numFmtId="49" fontId="81" fillId="0" borderId="21" xfId="0" applyFont="1" applyBorder="1" applyNumberFormat="1">
      <alignment horizontal="left" vertical="center" wrapText="1"/>
    </xf>
    <xf numFmtId="49" fontId="81" fillId="0" borderId="16" xfId="0" applyFont="1" applyBorder="1" applyNumberFormat="1">
      <alignment horizontal="left" vertical="center" wrapText="1"/>
    </xf>
    <xf numFmtId="49" fontId="0" fillId="0" borderId="16" xfId="0" applyFont="1" applyBorder="1" applyNumberFormat="1">
      <alignment vertical="top" wrapText="1"/>
    </xf>
    <xf numFmtId="49" fontId="0" fillId="0" borderId="16" xfId="0" applyFont="1" applyBorder="1" applyNumberFormat="1">
      <alignment horizontal="center" vertical="center" wrapText="1"/>
    </xf>
    <xf numFmtId="49" fontId="0" fillId="34" borderId="16" xfId="0" applyFont="1" applyFill="1" applyBorder="1" applyNumberFormat="1">
      <alignment horizontal="left" vertical="center" wrapText="1"/>
    </xf>
    <xf numFmtId="0" fontId="23" fillId="46" borderId="18" xfId="0" applyFont="1" applyFill="1" applyBorder="1" applyNumberFormat="1">
      <alignment horizontal="left" vertical="center" wrapText="1"/>
    </xf>
    <xf numFmtId="49" fontId="47" fillId="38" borderId="16" xfId="0" applyFont="1" applyFill="1" applyBorder="1" applyNumberFormat="1">
      <alignment horizontal="center" vertical="center" wrapText="1"/>
    </xf>
    <xf numFmtId="3" fontId="0" fillId="45" borderId="16" xfId="0" applyFont="1" applyFill="1" applyBorder="1" applyNumberFormat="1">
      <alignment horizontal="right" vertical="center" wrapText="1"/>
      <protection locked="0"/>
    </xf>
    <xf numFmtId="3" fontId="0" fillId="45" borderId="17" xfId="0" applyFont="1" applyFill="1" applyBorder="1" applyNumberFormat="1">
      <alignment horizontal="right" vertical="center" wrapText="1"/>
      <protection locked="0"/>
    </xf>
    <xf numFmtId="0" fontId="0" fillId="34" borderId="16" xfId="0" applyFont="1" applyFill="1" applyBorder="1" applyNumberFormat="1">
      <alignment horizontal="right" vertical="center" wrapText="1"/>
      <protection locked="0"/>
    </xf>
    <xf numFmtId="3" fontId="0" fillId="0" borderId="17" xfId="0" applyFont="1" applyBorder="1" applyNumberFormat="1">
      <alignment horizontal="right" vertical="center" wrapText="1"/>
    </xf>
    <xf numFmtId="0" fontId="0" fillId="0" borderId="21" xfId="0" applyFont="1" applyBorder="1" applyNumberFormat="1">
      <alignment horizontal="left" vertical="top" wrapText="1"/>
    </xf>
    <xf numFmtId="49" fontId="36" fillId="44" borderId="18" xfId="0" applyFont="1" applyFill="1" applyBorder="1" applyNumberFormat="1">
      <alignment horizontal="center" vertical="center"/>
    </xf>
    <xf numFmtId="0" fontId="51" fillId="44" borderId="19" xfId="0" applyFont="1" applyFill="1" applyBorder="1" applyNumberFormat="1">
      <alignment vertical="center"/>
    </xf>
    <xf numFmtId="49" fontId="51" fillId="44" borderId="19" xfId="0" applyFont="1" applyFill="1" applyBorder="1" applyNumberFormat="1">
      <alignment vertical="center"/>
    </xf>
    <xf numFmtId="49" fontId="78" fillId="44" borderId="19" xfId="0" applyFont="1" applyFill="1" applyBorder="1" applyNumberFormat="1">
      <alignment vertical="center"/>
    </xf>
    <xf numFmtId="49" fontId="78" fillId="44" borderId="17" xfId="0" applyFont="1" applyFill="1" applyBorder="1" applyNumberFormat="1">
      <alignment vertical="center"/>
    </xf>
    <xf numFmtId="0" fontId="0" fillId="0" borderId="27" xfId="0" applyFont="1" applyBorder="1" applyNumberFormat="1">
      <alignment horizontal="left" vertical="top" wrapText="1"/>
    </xf>
    <xf numFmtId="0" fontId="43" fillId="0" borderId="0" xfId="0" applyFont="1" applyNumberFormat="1">
      <alignment vertical="center" wrapText="1"/>
    </xf>
    <xf numFmtId="0" fontId="23" fillId="0" borderId="0" xfId="0" applyFont="1" applyNumberFormat="1">
      <alignment vertical="center" wrapText="1"/>
    </xf>
    <xf numFmtId="0" fontId="48" fillId="0" borderId="0" xfId="0" applyFont="1" applyNumberFormat="1">
      <alignment horizontal="center" vertical="center" wrapText="1"/>
    </xf>
    <xf numFmtId="0" fontId="23" fillId="0" borderId="0" xfId="0" applyFont="1" applyNumberFormat="1">
      <alignment vertical="center" wrapText="1"/>
    </xf>
    <xf numFmtId="0" fontId="53" fillId="0" borderId="0" xfId="0" applyFont="1" applyNumberFormat="1">
      <alignment vertical="center" wrapText="1"/>
    </xf>
    <xf numFmtId="0" fontId="58" fillId="0" borderId="0" xfId="0" applyFont="1" applyNumberFormat="1">
      <alignment vertical="center" wrapText="1"/>
    </xf>
    <xf numFmtId="0" fontId="23" fillId="0" borderId="0" xfId="0" applyFont="1" applyNumberFormat="1">
      <alignment vertical="center" wrapText="1"/>
    </xf>
    <xf numFmtId="0" fontId="48" fillId="38" borderId="0" xfId="0" applyFont="1" applyFill="1" applyNumberFormat="1">
      <alignment horizontal="center" vertical="center" wrapText="1"/>
    </xf>
    <xf numFmtId="49" fontId="0" fillId="0" borderId="41" xfId="0" applyFont="1" applyBorder="1" applyNumberFormat="1">
      <alignment horizontal="center" vertical="center" wrapText="1"/>
    </xf>
    <xf numFmtId="0" fontId="23" fillId="46" borderId="23" xfId="0" applyFont="1" applyFill="1" applyBorder="1" applyNumberFormat="1">
      <alignment horizontal="left" vertical="center" wrapText="1"/>
    </xf>
    <xf numFmtId="0" fontId="48" fillId="38"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3" fontId="23" fillId="45" borderId="16" xfId="0" applyFont="1" applyFill="1" applyBorder="1" applyNumberFormat="1">
      <alignment horizontal="right" vertical="center" wrapText="1"/>
      <protection locked="0"/>
    </xf>
    <xf numFmtId="0" fontId="58" fillId="0" borderId="0" xfId="0" applyFont="1" applyNumberFormat="1">
      <alignment vertical="center" wrapText="1"/>
    </xf>
    <xf numFmtId="0" fontId="58" fillId="0" borderId="0" xfId="0" applyFont="1" applyNumberFormat="1">
      <alignment vertical="center"/>
    </xf>
    <xf numFmtId="49" fontId="0" fillId="0" borderId="31" xfId="0" applyFont="1" applyBorder="1" applyNumberFormat="1">
      <alignment horizontal="center" vertical="center" wrapText="1"/>
    </xf>
    <xf numFmtId="0" fontId="23" fillId="46" borderId="32" xfId="0" applyFont="1" applyFill="1" applyBorder="1" applyNumberFormat="1">
      <alignment horizontal="left" vertical="center" wrapText="1"/>
    </xf>
    <xf numFmtId="0" fontId="96" fillId="0" borderId="0" xfId="0" applyFont="1" applyNumberFormat="1">
      <alignment vertical="center" wrapText="1"/>
    </xf>
    <xf numFmtId="0" fontId="58" fillId="0" borderId="0" xfId="0" applyFont="1" applyNumberFormat="1">
      <alignment vertical="center" wrapText="1"/>
    </xf>
    <xf numFmtId="0" fontId="48" fillId="38" borderId="0" xfId="0" applyFont="1" applyFill="1" applyNumberFormat="1">
      <alignment horizontal="center" vertical="center" wrapText="1"/>
    </xf>
    <xf numFmtId="0" fontId="72" fillId="0" borderId="0" xfId="0" applyFont="1" applyNumberFormat="1">
      <alignment vertical="center" wrapText="1"/>
    </xf>
    <xf numFmtId="0" fontId="68" fillId="0" borderId="0" xfId="0" applyFont="1" applyNumberFormat="1">
      <alignment vertical="center" wrapText="1"/>
    </xf>
    <xf numFmtId="0" fontId="66" fillId="0" borderId="0" xfId="0" applyFont="1" applyNumberFormat="1">
      <alignment vertical="center" wrapText="1"/>
    </xf>
    <xf numFmtId="0" fontId="23" fillId="0" borderId="41"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4" xfId="0" applyFont="1" applyBorder="1" applyNumberFormat="1">
      <alignment horizontal="center" vertical="center" wrapText="1"/>
    </xf>
    <xf numFmtId="0" fontId="23" fillId="0" borderId="27" xfId="0" applyFont="1" applyBorder="1" applyNumberFormat="1">
      <alignment horizontal="center" vertical="center" wrapText="1"/>
    </xf>
    <xf numFmtId="0" fontId="23" fillId="0" borderId="0" xfId="0" applyFont="1" applyNumberFormat="1">
      <alignment vertical="center" wrapText="1"/>
    </xf>
    <xf numFmtId="0" fontId="48" fillId="38" borderId="16" xfId="0" applyFont="1" applyFill="1" applyBorder="1" applyNumberFormat="1">
      <alignment horizontal="center" vertical="center" wrapText="1"/>
    </xf>
    <xf numFmtId="49" fontId="23" fillId="0" borderId="16" xfId="0" applyFont="1" applyBorder="1" applyNumberFormat="1">
      <alignment horizontal="center" vertical="center" wrapText="1"/>
    </xf>
    <xf numFmtId="0" fontId="23" fillId="0" borderId="21" xfId="0" applyFont="1" applyBorder="1" applyNumberFormat="1">
      <alignment horizontal="left" vertical="top" wrapText="1"/>
    </xf>
    <xf numFmtId="0" fontId="23" fillId="0" borderId="40" xfId="0" applyFont="1" applyBorder="1" applyNumberFormat="1">
      <alignment horizontal="left" vertical="top" wrapText="1"/>
    </xf>
    <xf numFmtId="0" fontId="23" fillId="0" borderId="27" xfId="0" applyFont="1" applyBorder="1" applyNumberFormat="1">
      <alignment horizontal="left" vertical="top" wrapText="1"/>
    </xf>
    <xf numFmtId="0" fontId="43" fillId="0" borderId="0" xfId="0" applyFont="1" applyNumberFormat="1">
      <alignment vertical="center" wrapText="1"/>
    </xf>
    <xf numFmtId="0" fontId="23" fillId="0" borderId="0" xfId="0" applyFont="1" applyNumberFormat="1">
      <alignment vertical="center" wrapText="1"/>
    </xf>
    <xf numFmtId="0" fontId="58" fillId="0" borderId="0" xfId="0" applyFont="1" applyNumberFormat="1">
      <alignment vertical="center" wrapText="1"/>
    </xf>
    <xf numFmtId="0" fontId="68" fillId="38" borderId="0" xfId="0" applyFont="1" applyFill="1" applyNumberFormat="1">
      <alignment vertical="center" wrapText="1"/>
    </xf>
    <xf numFmtId="0" fontId="68" fillId="38" borderId="0" xfId="0" applyFont="1" applyFill="1" applyNumberFormat="1">
      <alignment horizontal="right" vertical="center"/>
    </xf>
    <xf numFmtId="0" fontId="68" fillId="38" borderId="0" xfId="0" applyFont="1" applyFill="1" applyNumberFormat="1">
      <alignment horizontal="right" vertical="center" wrapText="1"/>
    </xf>
    <xf numFmtId="0" fontId="22" fillId="0" borderId="0" xfId="0" applyFont="1" applyNumberFormat="1">
      <alignment horizontal="center" vertical="center" wrapText="1"/>
    </xf>
    <xf numFmtId="0" fontId="53" fillId="0" borderId="0" xfId="0" applyFont="1" applyNumberFormat="1">
      <alignment vertical="center" wrapText="1"/>
    </xf>
    <xf numFmtId="4" fontId="68" fillId="0" borderId="0" xfId="0" applyFont="1" applyNumberFormat="1">
      <alignment horizontal="right" vertical="center" wrapText="1"/>
    </xf>
    <xf numFmtId="0" fontId="0"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49" fontId="47" fillId="38" borderId="19" xfId="0" applyFont="1" applyFill="1" applyBorder="1" applyNumberFormat="1">
      <alignment horizontal="center" vertical="center" wrapText="1"/>
    </xf>
    <xf numFmtId="49" fontId="47" fillId="38" borderId="19" xfId="0" applyFont="1" applyFill="1" applyBorder="1" applyNumberFormat="1">
      <alignment horizontal="center" vertical="center" wrapText="1"/>
    </xf>
    <xf numFmtId="0" fontId="23" fillId="0" borderId="0" xfId="0" applyFont="1" applyNumberFormat="1">
      <alignment vertical="center" wrapText="1"/>
    </xf>
    <xf numFmtId="0" fontId="48" fillId="38" borderId="0" xfId="0" applyFont="1" applyFill="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0" xfId="0" applyFont="1" applyNumberFormat="1">
      <alignment vertical="top"/>
    </xf>
    <xf numFmtId="0" fontId="48" fillId="38" borderId="28" xfId="0" applyFont="1" applyFill="1" applyBorder="1" applyNumberFormat="1">
      <alignment vertical="top" wrapText="1"/>
    </xf>
    <xf numFmtId="14" fontId="23" fillId="44" borderId="19" xfId="0" applyFont="1" applyFill="1" applyBorder="1" applyNumberFormat="1">
      <alignment horizontal="center" vertical="center" wrapText="1"/>
    </xf>
    <xf numFmtId="49" fontId="23" fillId="44" borderId="19" xfId="0" applyFont="1" applyFill="1" applyBorder="1" applyNumberFormat="1">
      <alignment horizontal="center" vertical="center" wrapText="1"/>
    </xf>
    <xf numFmtId="14" fontId="89" fillId="44" borderId="19" xfId="0" applyFont="1" applyFill="1" applyBorder="1" applyNumberFormat="1">
      <alignment horizontal="center" vertical="center" wrapText="1"/>
    </xf>
    <xf numFmtId="49" fontId="30" fillId="44" borderId="17" xfId="0" applyFont="1" applyFill="1" applyBorder="1" applyNumberFormat="1">
      <alignment horizontal="left" vertical="center" wrapText="1"/>
    </xf>
    <xf numFmtId="0" fontId="0" fillId="0" borderId="40" xfId="0" applyFont="1" applyBorder="1" applyNumberFormat="1">
      <alignment horizontal="left" vertical="top" wrapText="1"/>
    </xf>
    <xf numFmtId="0" fontId="58" fillId="0" borderId="0" xfId="0" applyFont="1" applyNumberFormat="1">
      <alignment horizontal="left" vertical="center" wrapText="1"/>
    </xf>
    <xf numFmtId="49" fontId="58" fillId="0" borderId="0" xfId="0" applyFont="1" applyNumberFormat="1">
      <alignment horizontal="left" vertical="center" wrapText="1"/>
    </xf>
    <xf numFmtId="0" fontId="48" fillId="38" borderId="0" xfId="0" applyFont="1" applyFill="1" applyNumberFormat="1">
      <alignment vertical="top" wrapText="1"/>
    </xf>
    <xf numFmtId="0" fontId="58" fillId="38" borderId="27" xfId="0" applyFont="1" applyFill="1" applyBorder="1" applyNumberFormat="1">
      <alignment horizontal="center" vertical="center" wrapText="1"/>
    </xf>
    <xf numFmtId="14" fontId="23" fillId="46" borderId="27" xfId="0" applyFont="1" applyFill="1" applyBorder="1" applyNumberFormat="1">
      <alignment horizontal="left" vertical="center" wrapText="1"/>
    </xf>
    <xf numFmtId="14" fontId="23" fillId="46" borderId="16" xfId="0" applyFont="1" applyFill="1" applyBorder="1" applyNumberFormat="1">
      <alignment horizontal="center" vertical="center" wrapText="1"/>
    </xf>
    <xf numFmtId="49" fontId="30" fillId="45" borderId="16" xfId="0" applyFont="1" applyFill="1" applyBorder="1" applyNumberFormat="1">
      <alignment horizontal="left" vertical="center" wrapText="1"/>
      <protection locked="0"/>
    </xf>
    <xf numFmtId="49" fontId="36" fillId="44" borderId="19" xfId="0" applyFont="1" applyFill="1" applyBorder="1" applyNumberFormat="1">
      <alignment horizontal="center" vertical="center"/>
    </xf>
    <xf numFmtId="49" fontId="78" fillId="44" borderId="19" xfId="0" applyFont="1" applyFill="1" applyBorder="1" applyNumberFormat="1">
      <alignment horizontal="left" vertical="center" indent="1"/>
    </xf>
    <xf numFmtId="49" fontId="78" fillId="44" borderId="17" xfId="0" applyFont="1" applyFill="1" applyBorder="1" applyNumberFormat="1">
      <alignment horizontal="left" vertical="center" indent="1"/>
    </xf>
    <xf numFmtId="0" fontId="68" fillId="0" borderId="0" xfId="0" applyFont="1" applyNumberFormat="1">
      <alignment vertical="center" wrapText="1"/>
    </xf>
    <xf numFmtId="0" fontId="87" fillId="0" borderId="0" xfId="0" applyFont="1" applyNumberFormat="1">
      <alignment horizontal="center" vertical="center" wrapText="1"/>
    </xf>
    <xf numFmtId="0" fontId="56" fillId="0" borderId="0" xfId="0" applyFont="1" applyNumberFormat="1">
      <alignment vertical="top" wrapText="1"/>
    </xf>
    <xf numFmtId="0" fontId="23" fillId="0" borderId="0" xfId="0" applyFont="1" applyNumberFormat="1">
      <alignment horizontal="right" vertical="top" wrapText="1"/>
    </xf>
    <xf numFmtId="0" fontId="56" fillId="0" borderId="0" xfId="0" applyFont="1" applyNumberFormat="1">
      <alignment vertical="top"/>
    </xf>
    <xf numFmtId="49" fontId="103" fillId="0" borderId="16" xfId="0" applyFont="1" applyBorder="1" applyNumberFormat="1">
      <alignment vertical="top" wrapText="1"/>
    </xf>
    <xf numFmtId="49" fontId="99" fillId="0" borderId="16" xfId="0" applyFont="1" applyBorder="1" applyNumberFormat="1">
      <alignment horizontal="center" vertical="top" wrapText="1"/>
    </xf>
    <xf numFmtId="49" fontId="99" fillId="35" borderId="16" xfId="0" applyFont="1" applyFill="1" applyBorder="1" applyNumberFormat="1">
      <alignment horizontal="center" vertical="top"/>
    </xf>
    <xf numFmtId="49" fontId="99" fillId="0" borderId="16" xfId="0" applyFont="1" applyBorder="1" applyNumberFormat="1">
      <alignment vertical="top" wrapText="1"/>
    </xf>
    <xf numFmtId="0" fontId="99" fillId="0" borderId="16" xfId="0" applyFont="1" applyBorder="1" applyNumberFormat="1">
      <alignment vertical="top" wrapText="1"/>
    </xf>
    <xf numFmtId="49" fontId="99" fillId="0" borderId="16" xfId="0" applyFont="1" applyBorder="1" applyNumberFormat="1">
      <alignment vertical="top"/>
    </xf>
    <xf numFmtId="49" fontId="103" fillId="0" borderId="16" xfId="0" applyFont="1" applyBorder="1" applyNumberFormat="1">
      <alignment vertical="top"/>
    </xf>
    <xf numFmtId="0" fontId="103" fillId="0" borderId="16" xfId="0" applyFont="1" applyBorder="1" applyNumberFormat="1">
      <alignment vertical="top" wrapText="1"/>
    </xf>
    <xf numFmtId="49" fontId="103" fillId="0" borderId="0" xfId="0" applyFont="1" applyNumberFormat="1">
      <alignment vertical="top" wrapText="1"/>
    </xf>
    <xf numFmtId="49" fontId="103" fillId="0" borderId="0" xfId="0" applyFont="1" applyNumberFormat="1">
      <alignment vertical="top"/>
    </xf>
    <xf numFmtId="49" fontId="103" fillId="0" borderId="0" xfId="0" applyFont="1" applyNumberFormat="1">
      <alignment horizontal="center" vertical="top" wrapText="1"/>
    </xf>
    <xf numFmtId="49" fontId="103" fillId="0" borderId="16" xfId="0" applyFont="1" applyBorder="1" applyNumberFormat="1">
      <alignment horizontal="center" vertical="top" wrapText="1"/>
    </xf>
    <xf numFmtId="49" fontId="103" fillId="0" borderId="16" xfId="0" applyFont="1" applyBorder="1" applyNumberFormat="1">
      <alignment horizontal="center" vertical="top" wrapText="1"/>
    </xf>
    <xf numFmtId="49" fontId="103" fillId="35" borderId="16" xfId="0" applyFont="1" applyFill="1" applyBorder="1" applyNumberFormat="1">
      <alignment horizontal="center" vertical="top" wrapText="1"/>
    </xf>
    <xf numFmtId="49" fontId="99" fillId="35" borderId="16" xfId="0" applyFont="1" applyFill="1" applyBorder="1" applyNumberFormat="1">
      <alignment horizontal="center" vertical="top" wrapText="1"/>
    </xf>
    <xf numFmtId="49" fontId="103" fillId="0" borderId="16" xfId="0" applyFont="1" applyBorder="1" applyNumberFormat="1">
      <alignment horizontal="left" vertical="top" wrapText="1"/>
    </xf>
    <xf numFmtId="0" fontId="99" fillId="35" borderId="16" xfId="0" applyFont="1" applyFill="1" applyBorder="1" applyNumberFormat="1">
      <alignment horizontal="center" vertical="top" wrapText="1"/>
    </xf>
    <xf numFmtId="0" fontId="103" fillId="35" borderId="16" xfId="0" applyFont="1" applyFill="1" applyBorder="1" applyNumberFormat="1">
      <alignment horizontal="right" vertical="center" wrapText="1"/>
    </xf>
    <xf numFmtId="49" fontId="103" fillId="0" borderId="18" xfId="0" applyFont="1" applyBorder="1" applyNumberFormat="1">
      <alignment horizontal="center" vertical="top" wrapText="1"/>
    </xf>
    <xf numFmtId="49" fontId="103" fillId="0" borderId="19" xfId="0" applyFont="1" applyBorder="1" applyNumberFormat="1">
      <alignment horizontal="center" vertical="top" wrapText="1"/>
    </xf>
    <xf numFmtId="49" fontId="103" fillId="0" borderId="17" xfId="0" applyFont="1" applyBorder="1" applyNumberFormat="1">
      <alignment horizontal="center" vertical="top" wrapText="1"/>
    </xf>
    <xf numFmtId="0" fontId="103" fillId="0" borderId="16" xfId="0" applyFont="1" applyBorder="1" applyNumberFormat="1">
      <alignment horizontal="left" vertical="top" wrapText="1"/>
    </xf>
    <xf numFmtId="49" fontId="103" fillId="35" borderId="16" xfId="0" applyFont="1" applyFill="1" applyBorder="1" applyNumberFormat="1">
      <alignment horizontal="left" vertical="top" wrapText="1"/>
    </xf>
    <xf numFmtId="0" fontId="103" fillId="35" borderId="16" xfId="0" applyFont="1" applyFill="1" applyBorder="1" applyNumberFormat="1">
      <alignment horizontal="center" vertical="center" wrapText="1"/>
    </xf>
    <xf numFmtId="0" fontId="103" fillId="35" borderId="16" xfId="0" applyFont="1" applyFill="1" applyBorder="1" applyNumberFormat="1">
      <alignment horizontal="center" vertical="center" wrapText="1"/>
    </xf>
    <xf numFmtId="49" fontId="103" fillId="0" borderId="21" xfId="0" applyFont="1" applyBorder="1" applyNumberFormat="1">
      <alignment horizontal="center" vertical="top" wrapText="1"/>
    </xf>
    <xf numFmtId="49" fontId="103" fillId="0" borderId="40" xfId="0" applyFont="1" applyBorder="1" applyNumberFormat="1">
      <alignment horizontal="center" vertical="top" wrapText="1"/>
    </xf>
    <xf numFmtId="49" fontId="103" fillId="0" borderId="21" xfId="0" applyFont="1" applyBorder="1" applyNumberFormat="1">
      <alignment horizontal="center" vertical="top" wrapText="1"/>
    </xf>
    <xf numFmtId="0" fontId="103" fillId="0" borderId="21" xfId="0" applyFont="1" applyBorder="1" applyNumberFormat="1">
      <alignment horizontal="left" vertical="top" wrapText="1"/>
    </xf>
    <xf numFmtId="49" fontId="103" fillId="0" borderId="41" xfId="0" applyFont="1" applyBorder="1" applyNumberFormat="1">
      <alignment horizontal="center" vertical="top" wrapText="1"/>
    </xf>
    <xf numFmtId="49" fontId="103" fillId="0" borderId="41" xfId="0" applyFont="1" applyBorder="1" applyNumberFormat="1">
      <alignment horizontal="center" vertical="top" wrapText="1"/>
    </xf>
    <xf numFmtId="0" fontId="103" fillId="0" borderId="17" xfId="0" applyFont="1" applyBorder="1" applyNumberFormat="1">
      <alignment horizontal="left" vertical="top" wrapText="1"/>
    </xf>
    <xf numFmtId="49" fontId="103" fillId="0" borderId="27" xfId="0" applyFont="1" applyBorder="1" applyNumberFormat="1">
      <alignment horizontal="center" vertical="top" wrapText="1"/>
    </xf>
    <xf numFmtId="49" fontId="103" fillId="0" borderId="31" xfId="0" applyFont="1" applyBorder="1" applyNumberFormat="1">
      <alignment horizontal="center" vertical="top" wrapText="1"/>
    </xf>
    <xf numFmtId="49" fontId="103" fillId="0" borderId="26" xfId="0" applyFont="1" applyBorder="1" applyNumberFormat="1">
      <alignment horizontal="center" vertical="top" wrapText="1"/>
    </xf>
    <xf numFmtId="0" fontId="103" fillId="0" borderId="21" xfId="0" applyFont="1" applyBorder="1" applyNumberFormat="1">
      <alignment vertical="top" wrapText="1"/>
    </xf>
    <xf numFmtId="49" fontId="99" fillId="0" borderId="16" xfId="0" applyFont="1" applyBorder="1" applyNumberFormat="1">
      <alignment horizontal="left" vertical="top" wrapText="1"/>
    </xf>
    <xf numFmtId="0" fontId="99" fillId="0" borderId="18" xfId="0" applyFont="1" applyBorder="1" applyNumberFormat="1">
      <alignment horizontal="center" vertical="center" wrapText="1"/>
    </xf>
    <xf numFmtId="0" fontId="99" fillId="0" borderId="18" xfId="0" applyFont="1" applyBorder="1" applyNumberFormat="1">
      <alignment horizontal="center" vertical="center"/>
    </xf>
    <xf numFmtId="49" fontId="99" fillId="0" borderId="16" xfId="0" applyFont="1" applyBorder="1" applyNumberFormat="1">
      <alignment horizontal="center" vertical="center" wrapText="1"/>
    </xf>
    <xf numFmtId="0" fontId="99" fillId="0" borderId="16" xfId="0" applyFont="1" applyBorder="1" applyNumberFormat="1">
      <alignment vertical="center" wrapText="1"/>
    </xf>
    <xf numFmtId="49" fontId="103" fillId="0" borderId="18" xfId="0" applyFont="1" applyBorder="1" applyNumberFormat="1">
      <alignment horizontal="left" vertical="top" wrapText="1"/>
    </xf>
    <xf numFmtId="0" fontId="99" fillId="0" borderId="16" xfId="0" applyFont="1" applyBorder="1" applyNumberFormat="1">
      <alignment horizontal="center" vertical="center" wrapText="1"/>
    </xf>
    <xf numFmtId="0" fontId="99" fillId="0" borderId="21" xfId="0" applyFont="1" applyBorder="1" applyNumberFormat="1">
      <alignment vertical="center" wrapText="1"/>
    </xf>
    <xf numFmtId="0" fontId="99" fillId="0" borderId="27" xfId="0" applyFont="1" applyBorder="1" applyNumberFormat="1">
      <alignment vertical="center" wrapText="1"/>
    </xf>
    <xf numFmtId="49" fontId="103" fillId="0" borderId="31" xfId="0" applyFont="1" applyBorder="1" applyNumberFormat="1">
      <alignment horizontal="left" vertical="top" wrapText="1"/>
    </xf>
    <xf numFmtId="49" fontId="103" fillId="0" borderId="17" xfId="0" applyFont="1" applyBorder="1" applyNumberFormat="1">
      <alignment horizontal="left" vertical="top" wrapText="1"/>
    </xf>
    <xf numFmtId="49" fontId="99" fillId="0" borderId="21" xfId="0" applyFont="1" applyBorder="1" applyNumberFormat="1">
      <alignment horizontal="center" vertical="center" wrapText="1"/>
    </xf>
    <xf numFmtId="49" fontId="99" fillId="0" borderId="27" xfId="0" applyFont="1" applyBorder="1" applyNumberFormat="1">
      <alignment horizontal="center" vertical="center" wrapText="1"/>
    </xf>
    <xf numFmtId="0" fontId="99" fillId="0" borderId="21" xfId="0" applyFont="1" applyBorder="1" applyNumberFormat="1">
      <alignment horizontal="center" vertical="center" wrapText="1"/>
    </xf>
    <xf numFmtId="49" fontId="103" fillId="0" borderId="40" xfId="0" applyFont="1" applyBorder="1" applyNumberFormat="1">
      <alignment horizontal="left" vertical="top" wrapText="1"/>
    </xf>
    <xf numFmtId="0" fontId="103" fillId="0" borderId="40" xfId="0" applyFont="1" applyBorder="1" applyNumberFormat="1">
      <alignment horizontal="left" vertical="top" wrapText="1"/>
    </xf>
    <xf numFmtId="49" fontId="103" fillId="0" borderId="0" xfId="0" applyFont="1" applyNumberFormat="1">
      <alignment horizontal="left" vertical="top" wrapText="1"/>
    </xf>
    <xf numFmtId="49" fontId="103" fillId="35" borderId="0" xfId="0" applyFont="1" applyFill="1" applyNumberFormat="1">
      <alignment horizontal="left" vertical="top" wrapText="1"/>
    </xf>
    <xf numFmtId="0" fontId="103" fillId="0" borderId="0" xfId="0" applyFont="1" applyNumberFormat="1">
      <alignment vertical="top" wrapText="1"/>
    </xf>
    <xf numFmtId="49" fontId="23" fillId="0" borderId="0" xfId="0" applyFont="1" applyNumberFormat="1">
      <alignment horizontal="center" vertical="top"/>
    </xf>
    <xf numFmtId="49" fontId="43" fillId="52" borderId="0" xfId="0" applyFont="1" applyFill="1" applyNumberFormat="1">
      <alignment horizontal="center" vertical="center"/>
    </xf>
    <xf numFmtId="49" fontId="23" fillId="0" borderId="16" xfId="0" applyFont="1" applyBorder="1" applyNumberFormat="1">
      <alignment horizontal="center" vertical="top"/>
    </xf>
    <xf numFmtId="49" fontId="57" fillId="52" borderId="0" xfId="0" applyFont="1" applyFill="1" applyNumberFormat="1">
      <alignment horizontal="center" vertical="center" wrapText="1"/>
    </xf>
    <xf numFmtId="0" fontId="0" fillId="54" borderId="16" xfId="0" applyFont="1" applyFill="1" applyBorder="1" applyNumberFormat="1">
      <alignment horizontal="center" vertical="center"/>
    </xf>
    <xf numFmtId="49" fontId="0" fillId="0" borderId="0" xfId="0" applyFont="1" applyNumberFormat="1">
      <alignment vertical="center"/>
    </xf>
    <xf numFmtId="49" fontId="57" fillId="52" borderId="16" xfId="0" applyFont="1" applyFill="1" applyBorder="1" applyNumberFormat="1">
      <alignment horizontal="center" vertical="center"/>
    </xf>
    <xf numFmtId="49" fontId="57" fillId="55" borderId="16" xfId="0" applyFont="1" applyFill="1" applyBorder="1" applyNumberFormat="1">
      <alignment horizontal="center" vertical="center"/>
    </xf>
    <xf numFmtId="49" fontId="0" fillId="56" borderId="16" xfId="0" applyFont="1" applyFill="1" applyBorder="1" applyNumberFormat="1">
      <alignment horizontal="center" vertical="center"/>
    </xf>
    <xf numFmtId="49" fontId="23" fillId="0" borderId="0" xfId="0" applyFont="1" applyNumberFormat="1">
      <alignment horizontal="center" vertical="top"/>
    </xf>
    <xf numFmtId="49" fontId="23" fillId="0" borderId="0" xfId="0" applyFont="1" applyNumberFormat="1">
      <alignment vertical="top"/>
    </xf>
    <xf numFmtId="0" fontId="23" fillId="0" borderId="16" xfId="0" applyFont="1" applyBorder="1" applyNumberFormat="1">
      <alignment vertical="center"/>
    </xf>
    <xf numFmtId="0" fontId="0" fillId="0" borderId="16" xfId="0" applyFont="1" applyBorder="1" applyNumberFormat="1">
      <alignment vertical="center"/>
    </xf>
    <xf numFmtId="0" fontId="0" fillId="0" borderId="16" xfId="0" applyFont="1" applyBorder="1" applyNumberFormat="1">
      <alignment vertical="center"/>
    </xf>
    <xf numFmtId="0" fontId="0" fillId="0" borderId="18" xfId="0" applyFont="1" applyBorder="1" applyNumberFormat="1">
      <alignment vertical="center"/>
    </xf>
    <xf numFmtId="0" fontId="0" fillId="0" borderId="18" xfId="0" applyFont="1" applyBorder="1" applyNumberFormat="1">
      <alignment vertical="center"/>
    </xf>
    <xf numFmtId="0" fontId="23" fillId="0" borderId="18" xfId="0" applyFont="1" applyBorder="1" applyNumberFormat="1">
      <alignment horizontal="left" vertical="center"/>
    </xf>
    <xf numFmtId="49" fontId="23" fillId="0" borderId="48" xfId="0" applyFont="1" applyBorder="1" applyNumberFormat="1">
      <alignment vertical="center"/>
    </xf>
    <xf numFmtId="49" fontId="23" fillId="0" borderId="49" xfId="0" applyFont="1" applyBorder="1" applyNumberFormat="1">
      <alignment vertical="top"/>
    </xf>
    <xf numFmtId="49" fontId="23" fillId="0" borderId="20" xfId="0" applyFont="1" applyBorder="1" applyNumberFormat="1">
      <alignment vertical="top"/>
    </xf>
    <xf numFmtId="0" fontId="0" fillId="0" borderId="17" xfId="0" applyFont="1" applyBorder="1" applyNumberFormat="1">
      <alignment vertical="center"/>
    </xf>
    <xf numFmtId="0" fontId="0" fillId="0" borderId="16" xfId="0" applyFont="1" applyBorder="1" applyNumberFormat="1">
      <alignment horizontal="right" vertical="top"/>
    </xf>
    <xf numFmtId="0" fontId="0" fillId="0" borderId="16" xfId="0" applyFont="1" applyBorder="1" applyNumberFormat="1">
      <alignment vertical="top"/>
    </xf>
    <xf numFmtId="0" fontId="23" fillId="0" borderId="17" xfId="0" applyFont="1" applyBorder="1" applyNumberFormat="1">
      <alignment vertical="center"/>
    </xf>
    <xf numFmtId="49" fontId="23" fillId="0" borderId="16" xfId="0" applyFont="1" applyBorder="1" applyNumberFormat="1">
      <alignment vertical="center"/>
    </xf>
    <xf numFmtId="0" fontId="0" fillId="0" borderId="0" xfId="0" applyFont="1" applyNumberFormat="1">
      <alignment vertical="top"/>
    </xf>
    <xf numFmtId="0" fontId="23" fillId="0" borderId="16" xfId="0" applyFont="1" applyBorder="1" applyNumberFormat="1">
      <alignment vertical="top"/>
    </xf>
    <xf numFmtId="0" fontId="0" fillId="53" borderId="0" xfId="0" applyFont="1" applyFill="1" applyNumberFormat="1">
      <alignment horizontal="right" vertical="center"/>
    </xf>
    <xf numFmtId="49" fontId="43" fillId="0" borderId="0" xfId="0" applyFont="1" applyNumberFormat="1">
      <alignment horizontal="center" vertical="center"/>
    </xf>
    <xf numFmtId="49" fontId="0" fillId="0" borderId="0" xfId="0" applyFont="1" applyNumberFormat="1">
      <alignment vertical="top"/>
    </xf>
    <xf numFmtId="49" fontId="43" fillId="52" borderId="0" xfId="0" applyFont="1" applyFill="1" applyNumberFormat="1">
      <alignment horizontal="center" vertical="center"/>
    </xf>
    <xf numFmtId="0" fontId="23" fillId="0" borderId="0" xfId="0" applyFont="1" applyNumberFormat="1">
      <alignment vertical="center"/>
    </xf>
    <xf numFmtId="0" fontId="0" fillId="53"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23" fillId="0" borderId="18" xfId="0" applyFont="1" applyBorder="1" applyNumberFormat="1">
      <alignment vertical="top"/>
    </xf>
    <xf numFmtId="0" fontId="0" fillId="53" borderId="0" xfId="0" applyFont="1" applyFill="1" applyNumberFormat="1">
      <alignment horizontal="right" vertical="center"/>
    </xf>
    <xf numFmtId="0" fontId="0" fillId="0" borderId="0" xfId="0" applyFont="1" applyNumberFormat="1">
      <alignment horizontal="left" vertical="center"/>
    </xf>
    <xf numFmtId="0" fontId="0" fillId="53" borderId="0" xfId="0" applyFont="1" applyFill="1" applyNumberFormat="1">
      <alignment horizontal="right" vertical="center"/>
    </xf>
    <xf numFmtId="0" fontId="0" fillId="53" borderId="0" xfId="0" applyFont="1" applyFill="1" applyNumberFormat="1">
      <alignment horizontal="left" vertical="center"/>
    </xf>
    <xf numFmtId="0" fontId="62" fillId="53" borderId="0" xfId="0" applyFont="1" applyFill="1" applyNumberFormat="1">
      <alignment horizontal="left" vertical="center"/>
    </xf>
    <xf numFmtId="0" fontId="0" fillId="0" borderId="0" xfId="0" applyFont="1" applyNumberFormat="1">
      <alignment vertical="center"/>
    </xf>
    <xf numFmtId="0" fontId="23" fillId="0" borderId="0" xfId="0" applyFont="1" applyNumberFormat="1">
      <alignment vertical="top"/>
    </xf>
    <xf numFmtId="0" fontId="62" fillId="0" borderId="0" xfId="0" applyFont="1" applyNumberFormat="1">
      <alignment horizontal="left" vertical="center"/>
    </xf>
    <xf numFmtId="49" fontId="0" fillId="0" borderId="18" xfId="0" applyFont="1" applyBorder="1" applyNumberFormat="1">
      <alignment vertical="top"/>
    </xf>
    <xf numFmtId="49" fontId="23" fillId="0" borderId="16" xfId="0" applyFont="1" applyBorder="1" applyNumberFormat="1">
      <alignment horizontal="right" vertical="top"/>
    </xf>
    <xf numFmtId="0" fontId="0" fillId="0" borderId="18" xfId="0" applyFont="1" applyBorder="1" applyNumberFormat="1">
      <alignment horizontal="left" vertical="center"/>
    </xf>
    <xf numFmtId="0" fontId="62" fillId="53" borderId="0" xfId="0" applyFont="1" applyFill="1" applyNumberFormat="1">
      <alignment horizontal="left" vertical="center"/>
    </xf>
    <xf numFmtId="49" fontId="23" fillId="0" borderId="21" xfId="0" applyFont="1" applyBorder="1" applyNumberFormat="1">
      <alignment horizontal="right" vertical="top"/>
    </xf>
    <xf numFmtId="0" fontId="0" fillId="0" borderId="21" xfId="0" applyFont="1" applyBorder="1" applyNumberFormat="1">
      <alignment vertical="top"/>
    </xf>
    <xf numFmtId="0" fontId="23" fillId="0" borderId="21" xfId="0" applyFont="1" applyBorder="1" applyNumberFormat="1">
      <alignment vertical="center"/>
    </xf>
    <xf numFmtId="49" fontId="23" fillId="0" borderId="35" xfId="0" applyFont="1" applyBorder="1" applyNumberFormat="1">
      <alignment horizontal="center" vertical="center"/>
    </xf>
    <xf numFmtId="49" fontId="23" fillId="0" borderId="16" xfId="0" applyFont="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0" fontId="23" fillId="53" borderId="0" xfId="0" applyFont="1" applyFill="1" applyNumberFormat="1">
      <alignment horizontal="left" vertical="center"/>
    </xf>
    <xf numFmtId="0" fontId="0" fillId="53" borderId="15" xfId="0" applyFont="1" applyFill="1" applyBorder="1" applyNumberFormat="1">
      <alignment horizontal="center"/>
    </xf>
    <xf numFmtId="49" fontId="112" fillId="0" borderId="20" xfId="0" applyFont="1" applyBorder="1" applyNumberFormat="1">
      <alignment vertical="top"/>
    </xf>
    <xf numFmtId="49" fontId="0" fillId="0" borderId="0" xfId="0" applyFont="1" applyNumberFormat="1">
      <alignment vertical="center"/>
    </xf>
    <xf numFmtId="0" fontId="0" fillId="0" borderId="15" xfId="0" applyFont="1" applyBorder="1" applyNumberFormat="1">
      <alignment horizontal="center"/>
    </xf>
    <xf numFmtId="49" fontId="23" fillId="53" borderId="0" xfId="0" applyFont="1" applyFill="1" applyNumberFormat="1">
      <alignment horizontal="center" vertical="center"/>
    </xf>
    <xf numFmtId="49" fontId="23" fillId="0" borderId="0" xfId="0" applyFont="1" applyNumberFormat="1">
      <alignment vertical="top"/>
    </xf>
    <xf numFmtId="49" fontId="0" fillId="34" borderId="35" xfId="0" applyFont="1" applyFill="1" applyBorder="1" applyNumberFormat="1">
      <alignment horizontal="left" vertical="center"/>
      <protection locked="0"/>
    </xf>
    <xf numFmtId="49" fontId="0" fillId="0" borderId="16" xfId="0" applyFont="1" applyBorder="1" applyNumberFormat="1">
      <alignment horizontal="center" vertical="center"/>
    </xf>
    <xf numFmtId="49" fontId="0" fillId="0" borderId="35" xfId="0" applyFont="1" applyBorder="1" applyNumberFormat="1">
      <alignment horizontal="right" vertical="center"/>
    </xf>
    <xf numFmtId="0" fontId="0" fillId="42" borderId="35" xfId="0" applyFont="1" applyFill="1" applyBorder="1" applyNumberFormat="1">
      <alignment horizontal="center" vertical="center"/>
    </xf>
    <xf numFmtId="49" fontId="0" fillId="0" borderId="35"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110" fillId="0" borderId="50" xfId="0" applyFont="1" applyBorder="1" applyNumberFormat="1">
      <alignment horizontal="center" vertical="center"/>
    </xf>
    <xf numFmtId="0" fontId="0" fillId="0" borderId="50" xfId="0" applyFont="1" applyBorder="1" applyNumberFormat="1">
      <alignment horizontal="center" vertical="center"/>
    </xf>
    <xf numFmtId="49" fontId="43" fillId="52" borderId="16" xfId="0" applyFont="1" applyFill="1" applyBorder="1" applyNumberFormat="1">
      <alignment horizontal="right" vertical="center"/>
    </xf>
    <xf numFmtId="49" fontId="23" fillId="34" borderId="41" xfId="0" applyFont="1" applyFill="1" applyBorder="1" applyNumberFormat="1">
      <alignment vertical="top"/>
      <protection locked="0"/>
    </xf>
    <xf numFmtId="0" fontId="23" fillId="0" borderId="16" xfId="0" applyFont="1" applyBorder="1" applyNumberFormat="1">
      <alignment vertical="top"/>
    </xf>
    <xf numFmtId="0" fontId="0" fillId="35" borderId="16" xfId="0" applyFont="1" applyFill="1" applyBorder="1" applyNumberFormat="1">
      <alignment horizontal="right" vertical="center"/>
    </xf>
    <xf numFmtId="49" fontId="23" fillId="35" borderId="27" xfId="0" applyFont="1" applyFill="1" applyBorder="1" applyNumberFormat="1">
      <alignment vertical="top"/>
    </xf>
    <xf numFmtId="49" fontId="23" fillId="35" borderId="16" xfId="0" applyFont="1" applyFill="1" applyBorder="1" applyNumberFormat="1">
      <alignment vertical="top"/>
    </xf>
    <xf numFmtId="49" fontId="23" fillId="0" borderId="18" xfId="0" applyFont="1" applyBorder="1" applyNumberFormat="1">
      <alignment horizontal="center" vertical="top"/>
    </xf>
    <xf numFmtId="49" fontId="23" fillId="0" borderId="17" xfId="0" applyFont="1" applyBorder="1" applyNumberFormat="1">
      <alignment horizontal="center" vertical="top"/>
    </xf>
    <xf numFmtId="0" fontId="23" fillId="42" borderId="31" xfId="0" applyFont="1" applyFill="1" applyBorder="1" applyNumberFormat="1">
      <alignment horizontal="center" vertical="top"/>
    </xf>
    <xf numFmtId="0" fontId="23" fillId="42" borderId="31" xfId="0" applyFont="1" applyFill="1" applyBorder="1" applyNumberFormat="1">
      <alignment horizontal="left" vertical="top"/>
    </xf>
    <xf numFmtId="0" fontId="0" fillId="0" borderId="36" xfId="0" applyFont="1" applyBorder="1" applyNumberFormat="1">
      <alignment horizontal="center" vertical="center"/>
    </xf>
    <xf numFmtId="0" fontId="0" fillId="0" borderId="38" xfId="0" applyFont="1" applyBorder="1" applyNumberFormat="1">
      <alignment horizontal="center" vertical="center"/>
    </xf>
    <xf numFmtId="0" fontId="23" fillId="0" borderId="16" xfId="0" applyFont="1" applyBorder="1" applyNumberFormat="1">
      <alignment horizontal="left" vertical="top"/>
    </xf>
    <xf numFmtId="49" fontId="23" fillId="0" borderId="0" xfId="0" applyFont="1" applyNumberFormat="1">
      <alignment horizontal="left" vertical="top"/>
    </xf>
    <xf numFmtId="0" fontId="0" fillId="0" borderId="35" xfId="0" applyFont="1" applyBorder="1" applyNumberFormat="1">
      <alignment horizontal="center" vertical="center"/>
    </xf>
    <xf numFmtId="0" fontId="0" fillId="0" borderId="37" xfId="0" applyFont="1" applyBorder="1" applyNumberFormat="1">
      <alignment horizontal="center" vertical="center"/>
    </xf>
    <xf numFmtId="49" fontId="43" fillId="52" borderId="18" xfId="0" applyFont="1" applyFill="1" applyBorder="1" applyNumberFormat="1">
      <alignment horizontal="right" vertical="center"/>
    </xf>
    <xf numFmtId="49" fontId="23" fillId="0" borderId="16"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23" fillId="0" borderId="0" xfId="0" applyFont="1" applyNumberFormat="1">
      <alignment vertical="center"/>
    </xf>
    <xf numFmtId="49" fontId="0"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49" fontId="0" fillId="0" borderId="0" xfId="0" applyFont="1" applyNumberFormat="1">
      <alignment vertical="center" wrapText="1"/>
    </xf>
    <xf numFmtId="49" fontId="0" fillId="0" borderId="0" xfId="0" applyFont="1" applyNumberFormat="1">
      <alignment vertical="center"/>
    </xf>
    <xf numFmtId="49" fontId="23" fillId="0" borderId="0" xfId="0" applyFont="1" applyNumberFormat="1">
      <alignment vertical="top"/>
    </xf>
    <xf numFmtId="49" fontId="0" fillId="0" borderId="0" xfId="0" applyFont="1" applyNumberFormat="1">
      <alignment vertical="top"/>
    </xf>
    <xf numFmtId="49" fontId="0" fillId="43" borderId="0" xfId="0" applyFont="1" applyFill="1" applyNumberFormat="1">
      <alignment vertical="top"/>
    </xf>
    <xf numFmtId="49" fontId="0" fillId="43" borderId="0" xfId="0" applyFont="1" applyFill="1" applyNumberFormat="1">
      <alignment vertical="top"/>
    </xf>
    <xf numFmtId="0" fontId="23" fillId="0" borderId="0" xfId="0" applyFont="1" applyNumberFormat="1"/>
    <xf numFmtId="0" fontId="48" fillId="38" borderId="0" xfId="0" applyFont="1" applyFill="1" applyNumberFormat="1">
      <alignment horizontal="center" vertical="center" wrapText="1"/>
    </xf>
    <xf numFmtId="0"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48" fillId="38" borderId="0" xfId="0" applyFont="1" applyFill="1" applyNumberFormat="1">
      <alignment horizontal="center"/>
    </xf>
    <xf numFmtId="49" fontId="23" fillId="34"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0" fontId="58" fillId="0" borderId="16" xfId="0" applyFont="1" applyBorder="1" applyNumberFormat="1">
      <alignment horizontal="center" vertical="center"/>
    </xf>
    <xf numFmtId="49" fontId="0" fillId="44" borderId="19" xfId="0" applyFont="1" applyFill="1" applyBorder="1" applyNumberFormat="1">
      <alignment horizontal="right" vertical="center" wrapText="1"/>
    </xf>
    <xf numFmtId="49" fontId="0" fillId="44" borderId="17" xfId="0" applyFont="1" applyFill="1" applyBorder="1" applyNumberFormat="1">
      <alignment horizontal="right" vertical="center" wrapText="1"/>
    </xf>
    <xf numFmtId="49" fontId="61" fillId="43" borderId="0" xfId="0" applyFont="1" applyFill="1" applyNumberFormat="1">
      <alignment vertical="top"/>
    </xf>
    <xf numFmtId="49" fontId="61" fillId="0" borderId="0" xfId="0" applyFont="1" applyNumberFormat="1">
      <alignment vertical="top"/>
    </xf>
    <xf numFmtId="0" fontId="47" fillId="0" borderId="28" xfId="0" applyFont="1" applyBorder="1" applyNumberFormat="1">
      <alignment horizontal="center" vertical="center" wrapText="1"/>
    </xf>
    <xf numFmtId="0" fontId="23" fillId="46" borderId="16" xfId="0" applyFont="1" applyFill="1" applyBorder="1" applyNumberFormat="1">
      <alignment horizontal="center" vertical="center" wrapText="1"/>
    </xf>
    <xf numFmtId="14" fontId="89" fillId="0" borderId="21" xfId="0" applyFont="1" applyBorder="1" applyNumberFormat="1">
      <alignment horizontal="center" vertical="center" wrapText="1"/>
    </xf>
    <xf numFmtId="0" fontId="83" fillId="0" borderId="16" xfId="0" applyFont="1" applyBorder="1" applyNumberFormat="1">
      <alignment horizontal="left" vertical="center" wrapText="1" indent="1"/>
    </xf>
    <xf numFmtId="0" fontId="89"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0" fontId="82" fillId="0" borderId="0" xfId="0" applyFont="1" applyNumberFormat="1">
      <alignment vertical="center"/>
    </xf>
    <xf numFmtId="14" fontId="89" fillId="0" borderId="40" xfId="0" applyFont="1" applyBorder="1" applyNumberFormat="1">
      <alignment horizontal="center" vertical="center" wrapText="1"/>
    </xf>
    <xf numFmtId="0" fontId="83" fillId="0" borderId="16" xfId="0" applyFont="1" applyBorder="1" applyNumberFormat="1">
      <alignment horizontal="left" vertical="top" indent="1"/>
    </xf>
    <xf numFmtId="49" fontId="0" fillId="0" borderId="16" xfId="0" applyFont="1" applyBorder="1" applyNumberFormat="1">
      <alignment vertical="top"/>
    </xf>
    <xf numFmtId="0" fontId="47" fillId="0" borderId="16" xfId="0" applyFont="1" applyBorder="1" applyNumberFormat="1">
      <alignment horizontal="center" vertical="center" wrapText="1"/>
    </xf>
    <xf numFmtId="0" fontId="23" fillId="46" borderId="16" xfId="0" applyFont="1" applyFill="1" applyBorder="1" applyNumberFormat="1">
      <alignment horizontal="left" vertical="center" wrapText="1" indent="1"/>
    </xf>
    <xf numFmtId="0" fontId="47" fillId="0" borderId="16" xfId="0" applyFont="1" applyBorder="1" applyNumberFormat="1">
      <alignment horizontal="center" vertical="center" wrapText="1"/>
    </xf>
    <xf numFmtId="49" fontId="23" fillId="0" borderId="17" xfId="0" applyFont="1" applyBorder="1" applyNumberFormat="1">
      <alignment horizontal="center" vertical="center" wrapText="1"/>
    </xf>
    <xf numFmtId="49" fontId="83" fillId="45" borderId="16" xfId="0" applyFont="1" applyFill="1" applyBorder="1" applyNumberFormat="1">
      <alignment horizontal="left" vertical="center" wrapText="1" indent="1"/>
      <protection locked="0"/>
    </xf>
    <xf numFmtId="0" fontId="23" fillId="38" borderId="0" xfId="0" applyFont="1" applyFill="1" applyNumberFormat="1">
      <alignment horizontal="center" vertical="top" wrapText="1"/>
    </xf>
    <xf numFmtId="49" fontId="23" fillId="46" borderId="18" xfId="0" applyFont="1" applyFill="1" applyBorder="1" applyNumberFormat="1">
      <alignment horizontal="left" vertical="center" wrapText="1"/>
    </xf>
    <xf numFmtId="49" fontId="0" fillId="0" borderId="16" xfId="0" applyFont="1" applyBorder="1" applyNumberFormat="1">
      <alignment vertical="top"/>
    </xf>
    <xf numFmtId="49" fontId="0" fillId="0" borderId="0" xfId="0" applyFont="1" applyNumberFormat="1">
      <alignment vertical="top"/>
    </xf>
    <xf numFmtId="0" fontId="23" fillId="38" borderId="18" xfId="0" applyFont="1" applyFill="1" applyBorder="1" applyNumberFormat="1">
      <alignment horizontal="center" vertical="center" wrapText="1"/>
    </xf>
    <xf numFmtId="0" fontId="58" fillId="38" borderId="16" xfId="0" applyFont="1" applyFill="1" applyBorder="1" applyNumberFormat="1">
      <alignment horizontal="center" vertical="center" wrapText="1"/>
    </xf>
    <xf numFmtId="14" fontId="23" fillId="46" borderId="34" xfId="0" applyFont="1" applyFill="1" applyBorder="1" applyNumberFormat="1">
      <alignment horizontal="left" vertical="center" wrapText="1"/>
    </xf>
    <xf numFmtId="49" fontId="30" fillId="45" borderId="16" xfId="0" applyFont="1" applyFill="1" applyBorder="1" applyNumberFormat="1">
      <alignment horizontal="left" vertical="center" wrapText="1"/>
      <protection locked="0"/>
    </xf>
    <xf numFmtId="49" fontId="0" fillId="0" borderId="16" xfId="0" applyFont="1" applyBorder="1" applyNumberFormat="1">
      <alignment horizontal="left" vertical="center" wrapText="1"/>
    </xf>
    <xf numFmtId="49" fontId="23" fillId="0" borderId="0" xfId="0" applyFont="1" applyNumberFormat="1">
      <alignment vertical="top"/>
    </xf>
    <xf numFmtId="49" fontId="57"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wrapText="1"/>
    </xf>
    <xf numFmtId="49"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170" fontId="0" fillId="45" borderId="16" xfId="0" applyFont="1" applyFill="1" applyBorder="1" applyNumberFormat="1">
      <alignment horizontal="center" vertical="center" wrapText="1"/>
      <protection locked="0"/>
    </xf>
    <xf numFmtId="49" fontId="30" fillId="45" borderId="16" xfId="0" applyFont="1" applyFill="1" applyBorder="1" applyNumberFormat="1">
      <alignment horizontal="left" vertical="center" wrapText="1"/>
      <protection locked="0"/>
    </xf>
    <xf numFmtId="49" fontId="0" fillId="45" borderId="16" xfId="0" applyFont="1" applyFill="1" applyBorder="1" applyNumberFormat="1">
      <alignment horizontal="center" vertical="center" wrapText="1"/>
      <protection locked="0"/>
    </xf>
    <xf numFmtId="0" fontId="58" fillId="0" borderId="0" xfId="0" applyFont="1" applyNumberFormat="1">
      <alignment vertical="top"/>
    </xf>
    <xf numFmtId="49" fontId="58" fillId="0" borderId="0" xfId="0" applyFont="1" applyNumberFormat="1">
      <alignment vertical="top"/>
    </xf>
    <xf numFmtId="49" fontId="23" fillId="0" borderId="0" xfId="0" applyFont="1" applyNumberFormat="1">
      <alignment vertical="top"/>
    </xf>
    <xf numFmtId="0" fontId="50" fillId="38" borderId="0" xfId="0" applyFont="1" applyFill="1" applyNumberFormat="1">
      <alignment vertical="center" wrapText="1"/>
    </xf>
    <xf numFmtId="49" fontId="0" fillId="38" borderId="16" xfId="0" applyFont="1" applyFill="1" applyBorder="1" applyNumberFormat="1">
      <alignment horizontal="center" vertical="center" wrapText="1"/>
    </xf>
    <xf numFmtId="0" fontId="134" fillId="45" borderId="18" xfId="0" applyFont="1" applyFill="1" applyBorder="1" applyNumberFormat="1">
      <alignment horizontal="left" vertical="center" wrapText="1" indent="2"/>
      <protection locked="0"/>
    </xf>
    <xf numFmtId="0" fontId="23" fillId="0" borderId="0" xfId="0" applyFont="1" applyNumberFormat="1">
      <alignment vertical="center" wrapText="1"/>
    </xf>
    <xf numFmtId="49" fontId="57" fillId="0" borderId="0" xfId="0" applyFont="1" applyNumberFormat="1">
      <alignment horizontal="center" vertical="center" wrapText="1"/>
    </xf>
    <xf numFmtId="0" fontId="57" fillId="0" borderId="0" xfId="0" applyFont="1" applyNumberFormat="1">
      <alignment vertical="center" wrapText="1"/>
    </xf>
    <xf numFmtId="0" fontId="48" fillId="0" borderId="28" xfId="0" applyFont="1" applyBorder="1" applyNumberFormat="1">
      <alignment horizontal="center" vertical="center" wrapText="1"/>
    </xf>
    <xf numFmtId="49" fontId="23" fillId="0" borderId="16" xfId="0" applyFont="1" applyBorder="1" applyNumberFormat="1">
      <alignment horizontal="center" vertical="top" wrapText="1"/>
    </xf>
    <xf numFmtId="0" fontId="0" fillId="42" borderId="16" xfId="0" applyFont="1" applyFill="1" applyBorder="1" applyNumberFormat="1">
      <alignment horizontal="left" vertical="top" wrapText="1" indent="1"/>
    </xf>
    <xf numFmtId="49" fontId="23" fillId="46" borderId="21" xfId="0" applyFont="1" applyFill="1" applyBorder="1" applyNumberFormat="1">
      <alignment horizontal="center" vertical="top" wrapText="1"/>
    </xf>
    <xf numFmtId="170" fontId="0" fillId="45" borderId="16" xfId="0" applyFont="1" applyFill="1" applyBorder="1" applyNumberFormat="1">
      <alignment horizontal="center" vertical="top" wrapText="1"/>
      <protection locked="0"/>
    </xf>
    <xf numFmtId="170" fontId="0" fillId="34" borderId="16" xfId="0" applyFont="1" applyFill="1" applyBorder="1" applyNumberFormat="1">
      <alignment horizontal="center" vertical="top" wrapText="1"/>
      <protection locked="0"/>
    </xf>
    <xf numFmtId="49" fontId="23" fillId="46" borderId="16" xfId="0" applyFont="1" applyFill="1" applyBorder="1" applyNumberFormat="1">
      <alignment horizontal="left" vertical="top" wrapText="1"/>
    </xf>
    <xf numFmtId="49" fontId="23" fillId="45" borderId="16" xfId="0" applyFont="1" applyFill="1" applyBorder="1" applyNumberFormat="1">
      <alignment horizontal="left" vertical="top" wrapText="1"/>
      <protection locked="0"/>
    </xf>
    <xf numFmtId="49" fontId="0" fillId="42" borderId="16" xfId="0" applyFont="1" applyFill="1" applyBorder="1" applyNumberFormat="1">
      <alignment horizontal="center" vertical="top" wrapText="1"/>
    </xf>
    <xf numFmtId="0" fontId="23" fillId="42" borderId="16" xfId="0" applyFont="1" applyFill="1" applyBorder="1" applyNumberFormat="1">
      <alignment horizontal="center" vertical="top" wrapText="1"/>
    </xf>
    <xf numFmtId="0" fontId="23" fillId="34" borderId="16" xfId="0" applyFont="1" applyFill="1" applyBorder="1" applyNumberFormat="1">
      <alignment horizontal="left" vertical="top" wrapText="1"/>
      <protection locked="0"/>
    </xf>
    <xf numFmtId="49" fontId="23" fillId="46" borderId="16" xfId="0" applyFont="1" applyFill="1" applyBorder="1" applyNumberFormat="1">
      <alignment horizontal="center" vertical="top" wrapText="1"/>
    </xf>
    <xf numFmtId="0" fontId="23" fillId="0" borderId="40" xfId="0" applyFont="1" applyBorder="1" applyNumberFormat="1">
      <alignment horizontal="center" vertical="center" wrapText="1"/>
    </xf>
    <xf numFmtId="0" fontId="23" fillId="0" borderId="16" xfId="0" applyFont="1" applyBorder="1" applyNumberFormat="1">
      <alignment horizontal="center" vertical="center" wrapText="1"/>
    </xf>
    <xf numFmtId="49" fontId="23" fillId="45" borderId="21" xfId="0" applyFont="1" applyFill="1" applyBorder="1" applyNumberFormat="1">
      <alignment horizontal="left" vertical="center" wrapText="1" indent="1"/>
      <protection locked="0"/>
    </xf>
    <xf numFmtId="0" fontId="23" fillId="0" borderId="28" xfId="0" applyFont="1" applyBorder="1" applyNumberFormat="1">
      <alignment vertical="top" wrapText="1"/>
    </xf>
    <xf numFmtId="49" fontId="23" fillId="46" borderId="27" xfId="0" applyFont="1" applyFill="1" applyBorder="1" applyNumberFormat="1">
      <alignment horizontal="center" vertical="top" wrapText="1"/>
    </xf>
    <xf numFmtId="49" fontId="0" fillId="45" borderId="16" xfId="0" applyFont="1" applyFill="1" applyBorder="1" applyNumberFormat="1">
      <alignment horizontal="center" vertical="top" wrapText="1"/>
      <protection locked="0"/>
    </xf>
    <xf numFmtId="49" fontId="0" fillId="34" borderId="16" xfId="0" applyFont="1" applyFill="1" applyBorder="1" applyNumberFormat="1">
      <alignment horizontal="center" vertical="top" wrapText="1"/>
      <protection locked="0"/>
    </xf>
    <xf numFmtId="49" fontId="23" fillId="46" borderId="18" xfId="0" applyFont="1" applyFill="1" applyBorder="1" applyNumberFormat="1">
      <alignment horizontal="center" vertical="top" wrapText="1"/>
    </xf>
    <xf numFmtId="0" fontId="23" fillId="44" borderId="18" xfId="0" applyFont="1" applyFill="1" applyBorder="1" applyNumberFormat="1">
      <alignment vertical="center" wrapText="1"/>
    </xf>
    <xf numFmtId="0" fontId="23" fillId="44" borderId="19" xfId="0" applyFont="1" applyFill="1" applyBorder="1" applyNumberFormat="1">
      <alignment vertical="center" wrapText="1"/>
    </xf>
    <xf numFmtId="49" fontId="51" fillId="44" borderId="17" xfId="0" applyFont="1" applyFill="1" applyBorder="1" applyNumberFormat="1">
      <alignment horizontal="left" vertical="center" indent="1"/>
    </xf>
    <xf numFmtId="0" fontId="23" fillId="0" borderId="0" xfId="0" applyFont="1" applyNumberFormat="1">
      <alignment vertical="center" wrapText="1"/>
    </xf>
    <xf numFmtId="0" fontId="48" fillId="0" borderId="28" xfId="0" applyFont="1" applyBorder="1" applyNumberFormat="1">
      <alignment horizontal="center" vertical="center" wrapText="1"/>
    </xf>
    <xf numFmtId="49" fontId="23" fillId="0" borderId="40" xfId="0" applyFont="1" applyBorder="1" applyNumberFormat="1">
      <alignment horizontal="center" vertical="top" wrapText="1"/>
    </xf>
    <xf numFmtId="0" fontId="0" fillId="42" borderId="40" xfId="0" applyFont="1" applyFill="1" applyBorder="1" applyNumberFormat="1">
      <alignment horizontal="left" vertical="top" wrapText="1" indent="1"/>
    </xf>
    <xf numFmtId="49" fontId="23" fillId="46" borderId="40" xfId="0" applyFont="1" applyFill="1" applyBorder="1" applyNumberFormat="1">
      <alignment horizontal="center" vertical="top" wrapText="1"/>
    </xf>
    <xf numFmtId="49" fontId="0" fillId="45" borderId="40" xfId="0" applyFont="1" applyFill="1" applyBorder="1" applyNumberFormat="1">
      <alignment horizontal="center" vertical="top" wrapText="1"/>
      <protection locked="0"/>
    </xf>
    <xf numFmtId="49" fontId="0" fillId="34" borderId="40" xfId="0" applyFont="1" applyFill="1" applyBorder="1" applyNumberFormat="1">
      <alignment horizontal="center" vertical="top" wrapText="1"/>
      <protection locked="0"/>
    </xf>
    <xf numFmtId="49" fontId="23" fillId="46" borderId="40" xfId="0" applyFont="1" applyFill="1" applyBorder="1" applyNumberFormat="1">
      <alignment horizontal="left" vertical="top" wrapText="1"/>
    </xf>
    <xf numFmtId="49" fontId="23" fillId="45" borderId="40" xfId="0" applyFont="1" applyFill="1" applyBorder="1" applyNumberFormat="1">
      <alignment horizontal="left" vertical="top" wrapText="1"/>
      <protection locked="0"/>
    </xf>
    <xf numFmtId="49" fontId="0" fillId="42" borderId="40" xfId="0" applyFont="1" applyFill="1" applyBorder="1" applyNumberFormat="1">
      <alignment horizontal="center" vertical="top" wrapText="1"/>
    </xf>
    <xf numFmtId="0" fontId="23" fillId="42" borderId="40" xfId="0" applyFont="1" applyFill="1" applyBorder="1" applyNumberFormat="1">
      <alignment horizontal="center" vertical="top" wrapText="1"/>
    </xf>
    <xf numFmtId="0" fontId="23" fillId="34" borderId="40" xfId="0" applyFont="1" applyFill="1" applyBorder="1" applyNumberFormat="1">
      <alignment horizontal="left" vertical="top" wrapText="1"/>
      <protection locked="0"/>
    </xf>
    <xf numFmtId="0" fontId="23" fillId="0" borderId="40" xfId="0" applyFont="1" applyBorder="1" applyNumberFormat="1">
      <alignment horizontal="center" vertical="center" wrapText="1"/>
    </xf>
    <xf numFmtId="0" fontId="23" fillId="0" borderId="16" xfId="0" applyFont="1" applyBorder="1" applyNumberFormat="1">
      <alignment horizontal="center" vertical="center" wrapText="1"/>
    </xf>
    <xf numFmtId="0" fontId="58" fillId="0" borderId="0" xfId="0" applyFont="1" applyNumberFormat="1">
      <alignment vertical="center" wrapText="1"/>
    </xf>
    <xf numFmtId="49" fontId="58" fillId="0" borderId="0" xfId="0" applyFont="1" applyNumberFormat="1">
      <alignment horizontal="center" vertical="center" wrapText="1"/>
    </xf>
    <xf numFmtId="0" fontId="23" fillId="38" borderId="0" xfId="0" applyFont="1" applyFill="1" applyNumberFormat="1">
      <alignment vertical="center" wrapText="1"/>
    </xf>
    <xf numFmtId="0" fontId="111" fillId="0" borderId="52" xfId="0" applyFont="1" applyBorder="1" applyNumberFormat="1">
      <alignment horizontal="left" vertical="center" indent="1"/>
    </xf>
    <xf numFmtId="0" fontId="111" fillId="0" borderId="53" xfId="0" applyFont="1" applyBorder="1" applyNumberFormat="1">
      <alignment horizontal="left" vertical="center" indent="1"/>
    </xf>
    <xf numFmtId="0" fontId="0" fillId="0" borderId="53" xfId="0" applyFont="1" applyBorder="1" applyNumberFormat="1">
      <alignment horizontal="left" vertical="center" wrapText="1"/>
    </xf>
    <xf numFmtId="0" fontId="23" fillId="0" borderId="53" xfId="0" applyFont="1" applyBorder="1" applyNumberFormat="1">
      <alignment vertical="center" wrapText="1"/>
    </xf>
    <xf numFmtId="0" fontId="23" fillId="0" borderId="58" xfId="0" applyFont="1" applyBorder="1" applyNumberFormat="1">
      <alignment vertical="center" wrapText="1"/>
    </xf>
    <xf numFmtId="0" fontId="23" fillId="0" borderId="59" xfId="0" applyFont="1" applyBorder="1" applyNumberFormat="1">
      <alignment vertical="center" wrapText="1"/>
    </xf>
    <xf numFmtId="0" fontId="23" fillId="0" borderId="42" xfId="0" applyFont="1" applyBorder="1" applyNumberFormat="1">
      <alignment vertical="center" wrapText="1"/>
    </xf>
    <xf numFmtId="49" fontId="23" fillId="0" borderId="0" xfId="0" applyFont="1" applyNumberFormat="1">
      <alignment vertical="top"/>
    </xf>
    <xf numFmtId="49" fontId="23" fillId="42" borderId="16" xfId="0" applyFont="1" applyFill="1" applyBorder="1" applyNumberFormat="1">
      <alignment horizontal="center" vertical="center" wrapText="1"/>
    </xf>
    <xf numFmtId="49" fontId="23" fillId="0" borderId="17" xfId="0" applyFont="1" applyBorder="1" applyNumberFormat="1">
      <alignment horizontal="center" vertical="center" wrapText="1"/>
    </xf>
    <xf numFmtId="49" fontId="23" fillId="46" borderId="17" xfId="0" applyFont="1" applyFill="1" applyBorder="1" applyNumberFormat="1">
      <alignment horizontal="left" vertical="center" wrapText="1"/>
    </xf>
    <xf numFmtId="49" fontId="23" fillId="46" borderId="16" xfId="0" applyFont="1" applyFill="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46" borderId="18" xfId="0" applyFont="1" applyFill="1" applyBorder="1" applyNumberFormat="1">
      <alignment horizontal="center" vertical="center" wrapText="1"/>
    </xf>
    <xf numFmtId="49" fontId="23" fillId="0" borderId="16" xfId="0" applyFont="1" applyBorder="1" applyNumberFormat="1">
      <alignment horizontal="center" vertical="center" wrapText="1"/>
    </xf>
    <xf numFmtId="49" fontId="113" fillId="44" borderId="47" xfId="0" applyFont="1" applyFill="1" applyBorder="1" applyNumberFormat="1">
      <alignment horizontal="left" vertical="center" indent="1"/>
    </xf>
    <xf numFmtId="49" fontId="102" fillId="44" borderId="47" xfId="0" applyFont="1" applyFill="1" applyBorder="1" applyNumberFormat="1">
      <alignment horizontal="center" vertical="center"/>
    </xf>
    <xf numFmtId="3" fontId="23" fillId="45" borderId="16" xfId="0" applyFont="1" applyFill="1" applyBorder="1" applyNumberFormat="1">
      <alignment horizontal="center" vertical="center" wrapText="1"/>
      <protection locked="0"/>
    </xf>
    <xf numFmtId="0" fontId="23" fillId="0" borderId="0" xfId="0" applyFont="1" applyNumberFormat="1">
      <alignment vertical="center" wrapText="1"/>
    </xf>
    <xf numFmtId="49" fontId="114" fillId="0" borderId="17" xfId="0" applyFont="1" applyBorder="1" applyNumberFormat="1">
      <alignment horizontal="center" vertical="center" wrapText="1"/>
    </xf>
    <xf numFmtId="0" fontId="56" fillId="0" borderId="16" xfId="0" applyFont="1" applyBorder="1" applyNumberFormat="1">
      <alignment horizontal="center" vertical="center"/>
    </xf>
    <xf numFmtId="49" fontId="131" fillId="46" borderId="21" xfId="0" applyFont="1" applyFill="1" applyBorder="1" applyNumberFormat="1">
      <alignment horizontal="left" vertical="center" wrapText="1" indent="1"/>
    </xf>
    <xf numFmtId="49" fontId="131" fillId="0" borderId="16" xfId="0" applyFont="1" applyBorder="1" applyNumberFormat="1">
      <alignment horizontal="left" vertical="center" wrapText="1"/>
    </xf>
    <xf numFmtId="49" fontId="113" fillId="44" borderId="18" xfId="0" applyFont="1" applyFill="1" applyBorder="1" applyNumberFormat="1">
      <alignment horizontal="left" vertical="center" indent="1"/>
    </xf>
    <xf numFmtId="49" fontId="113" fillId="44" borderId="19" xfId="0" applyFont="1" applyFill="1" applyBorder="1" applyNumberFormat="1">
      <alignment horizontal="left" vertical="center" indent="1"/>
    </xf>
    <xf numFmtId="49" fontId="135" fillId="44" borderId="19" xfId="0" applyFont="1" applyFill="1" applyBorder="1" applyNumberFormat="1">
      <alignment vertical="top" wrapText="1"/>
    </xf>
    <xf numFmtId="49" fontId="135" fillId="44" borderId="17" xfId="0" applyFont="1" applyFill="1" applyBorder="1" applyNumberFormat="1">
      <alignment vertical="top" wrapText="1"/>
    </xf>
    <xf numFmtId="49" fontId="131" fillId="46" borderId="40" xfId="0" applyFont="1" applyFill="1" applyBorder="1" applyNumberFormat="1">
      <alignment horizontal="left" vertical="center" wrapText="1" indent="1"/>
    </xf>
    <xf numFmtId="49" fontId="131" fillId="42" borderId="16" xfId="0" applyFont="1" applyFill="1" applyBorder="1" applyNumberFormat="1">
      <alignment horizontal="left" vertical="center" wrapText="1"/>
    </xf>
    <xf numFmtId="49" fontId="114" fillId="0" borderId="0" xfId="0" applyFont="1" applyNumberFormat="1">
      <alignment horizontal="center" vertical="top" wrapText="1"/>
    </xf>
    <xf numFmtId="0" fontId="56" fillId="0" borderId="16" xfId="0" applyFont="1" applyBorder="1" applyNumberFormat="1">
      <alignment horizontal="center" vertical="center"/>
    </xf>
    <xf numFmtId="0" fontId="135" fillId="46" borderId="16" xfId="0" applyFont="1" applyFill="1" applyBorder="1" applyNumberFormat="1">
      <alignment horizontal="left" vertical="center" wrapText="1" indent="1"/>
    </xf>
    <xf numFmtId="4" fontId="23" fillId="45" borderId="35" xfId="0" applyFont="1" applyFill="1" applyBorder="1" applyNumberFormat="1">
      <alignment horizontal="right" vertical="center" wrapText="1"/>
      <protection locked="0"/>
    </xf>
    <xf numFmtId="49" fontId="131" fillId="46" borderId="27" xfId="0" applyFont="1" applyFill="1" applyBorder="1" applyNumberFormat="1">
      <alignment horizontal="left" vertical="center" wrapText="1" indent="1"/>
    </xf>
    <xf numFmtId="49" fontId="51" fillId="44" borderId="19" xfId="0" applyFont="1" applyFill="1" applyBorder="1" applyNumberFormat="1">
      <alignment horizontal="left" vertical="center" indent="1"/>
    </xf>
    <xf numFmtId="49" fontId="135" fillId="44" borderId="56" xfId="0" applyFont="1" applyFill="1" applyBorder="1" applyNumberFormat="1">
      <alignment vertical="top" wrapText="1"/>
    </xf>
    <xf numFmtId="49" fontId="51" fillId="44" borderId="19" xfId="0" applyFont="1" applyFill="1" applyBorder="1" applyNumberFormat="1">
      <alignment horizontal="left" vertical="center" indent="1"/>
    </xf>
    <xf numFmtId="49" fontId="113" fillId="44" borderId="56" xfId="0" applyFont="1" applyFill="1" applyBorder="1" applyNumberFormat="1">
      <alignment horizontal="left" vertical="center" indent="1"/>
    </xf>
    <xf numFmtId="49" fontId="23" fillId="42" borderId="62" xfId="0" applyFont="1" applyFill="1" applyBorder="1" applyNumberFormat="1">
      <alignment horizontal="center" vertical="center" wrapText="1"/>
    </xf>
    <xf numFmtId="0" fontId="0" fillId="44" borderId="54" xfId="0" applyFont="1" applyFill="1" applyBorder="1" applyNumberFormat="1">
      <alignment horizontal="left" vertical="center"/>
    </xf>
    <xf numFmtId="49" fontId="51" fillId="44" borderId="55" xfId="0" applyFont="1" applyFill="1" applyBorder="1" applyNumberFormat="1">
      <alignment horizontal="left" vertical="center" indent="1"/>
    </xf>
    <xf numFmtId="0" fontId="23" fillId="44" borderId="54" xfId="0" applyFont="1" applyFill="1" applyBorder="1" applyNumberFormat="1">
      <alignment vertical="center" wrapText="1"/>
    </xf>
    <xf numFmtId="0" fontId="23" fillId="44" borderId="55" xfId="0" applyFont="1" applyFill="1" applyBorder="1" applyNumberFormat="1">
      <alignment vertical="center" wrapText="1"/>
    </xf>
    <xf numFmtId="0" fontId="23" fillId="44" borderId="57" xfId="0" applyFont="1" applyFill="1" applyBorder="1" applyNumberFormat="1">
      <alignment vertical="center" wrapText="1"/>
    </xf>
    <xf numFmtId="49" fontId="0" fillId="42" borderId="40" xfId="0" applyFont="1" applyFill="1" applyBorder="1" applyNumberFormat="1">
      <alignment vertical="top"/>
    </xf>
    <xf numFmtId="49" fontId="0" fillId="0" borderId="40" xfId="0" applyFont="1" applyBorder="1" applyNumberFormat="1">
      <alignment vertical="top"/>
    </xf>
    <xf numFmtId="49" fontId="131" fillId="46" borderId="21" xfId="0" applyFont="1" applyFill="1" applyBorder="1" applyNumberFormat="1">
      <alignment vertical="center" wrapText="1"/>
    </xf>
    <xf numFmtId="49" fontId="0" fillId="45" borderId="40" xfId="0" applyFont="1" applyFill="1" applyBorder="1" applyNumberFormat="1">
      <alignment vertical="top"/>
      <protection locked="0"/>
    </xf>
    <xf numFmtId="49" fontId="114" fillId="0" borderId="16" xfId="0" applyFont="1" applyBorder="1" applyNumberFormat="1">
      <alignment horizontal="center" vertical="center" wrapText="1"/>
    </xf>
    <xf numFmtId="49" fontId="0" fillId="45" borderId="21" xfId="0" applyFont="1" applyFill="1" applyBorder="1" applyNumberFormat="1">
      <alignment vertical="top"/>
      <protection locked="0"/>
    </xf>
    <xf numFmtId="14" fontId="23" fillId="46" borderId="40" xfId="0" applyFont="1" applyFill="1" applyBorder="1" applyNumberFormat="1">
      <alignment horizontal="left" vertical="center" wrapText="1" indent="1"/>
    </xf>
    <xf numFmtId="49" fontId="131" fillId="46" borderId="40" xfId="0" applyFont="1" applyFill="1" applyBorder="1" applyNumberFormat="1">
      <alignment vertical="center" wrapText="1"/>
    </xf>
    <xf numFmtId="0" fontId="56" fillId="0" borderId="16" xfId="0" applyFont="1" applyBorder="1" applyNumberFormat="1">
      <alignment horizontal="center" vertical="center"/>
    </xf>
    <xf numFmtId="4" fontId="23" fillId="45" borderId="37" xfId="0" applyFont="1" applyFill="1" applyBorder="1" applyNumberFormat="1">
      <alignment horizontal="right" vertical="center" wrapText="1"/>
      <protection locked="0"/>
    </xf>
    <xf numFmtId="49" fontId="131" fillId="46" borderId="27" xfId="0" applyFont="1" applyFill="1" applyBorder="1" applyNumberFormat="1">
      <alignment vertical="center" wrapText="1"/>
    </xf>
    <xf numFmtId="49" fontId="0" fillId="45" borderId="27" xfId="0" applyFont="1" applyFill="1" applyBorder="1" applyNumberFormat="1">
      <alignment vertical="top"/>
      <protection locked="0"/>
    </xf>
    <xf numFmtId="49" fontId="56" fillId="0" borderId="0" xfId="0" applyFont="1" applyNumberFormat="1">
      <alignment vertical="center"/>
    </xf>
    <xf numFmtId="49" fontId="107" fillId="0" borderId="0" xfId="0" applyFont="1" applyNumberFormat="1">
      <alignment vertical="center"/>
    </xf>
    <xf numFmtId="49" fontId="56" fillId="0" borderId="0" xfId="0" applyFont="1" applyNumberFormat="1">
      <alignment vertical="center"/>
    </xf>
    <xf numFmtId="49" fontId="56" fillId="38" borderId="0" xfId="0" applyFont="1" applyFill="1" applyNumberFormat="1">
      <alignment vertical="center"/>
    </xf>
    <xf numFmtId="0" fontId="111" fillId="0" borderId="51" xfId="0" applyFont="1" applyBorder="1" applyNumberFormat="1">
      <alignment horizontal="left" vertical="center" indent="1"/>
    </xf>
    <xf numFmtId="49" fontId="23" fillId="0" borderId="60" xfId="0" applyFont="1" applyBorder="1" applyNumberFormat="1">
      <alignment horizontal="center" vertical="center"/>
    </xf>
    <xf numFmtId="0" fontId="23" fillId="0" borderId="60" xfId="0" applyFont="1" applyBorder="1" applyNumberFormat="1">
      <alignment horizontal="right" vertical="center"/>
    </xf>
    <xf numFmtId="0" fontId="23" fillId="0" borderId="60" xfId="0" applyFont="1" applyBorder="1" applyNumberFormat="1">
      <alignment horizontal="center" vertical="center"/>
    </xf>
    <xf numFmtId="0" fontId="23" fillId="0" borderId="19" xfId="0" applyFont="1" applyBorder="1" applyNumberFormat="1">
      <alignment horizontal="right" vertical="center"/>
    </xf>
    <xf numFmtId="0" fontId="23" fillId="0" borderId="17" xfId="0" applyFont="1" applyBorder="1" applyNumberFormat="1">
      <alignment horizontal="right" vertical="center"/>
    </xf>
    <xf numFmtId="0" fontId="23" fillId="0" borderId="16" xfId="0" applyFont="1" applyBorder="1" applyNumberFormat="1">
      <alignment horizontal="right" vertical="center"/>
    </xf>
    <xf numFmtId="49" fontId="23" fillId="0" borderId="0" xfId="0" applyFont="1" applyNumberFormat="1">
      <alignment vertical="center"/>
    </xf>
    <xf numFmtId="49" fontId="107" fillId="0" borderId="0" xfId="0" applyFont="1" applyNumberFormat="1">
      <alignment vertical="center"/>
    </xf>
    <xf numFmtId="49" fontId="0" fillId="0" borderId="0" xfId="0" applyFont="1" applyNumberFormat="1">
      <alignment vertical="top"/>
    </xf>
    <xf numFmtId="0" fontId="23" fillId="38" borderId="16" xfId="0" applyFont="1" applyFill="1" applyBorder="1" applyNumberFormat="1">
      <alignment horizontal="center" vertical="center"/>
    </xf>
    <xf numFmtId="0" fontId="131" fillId="46" borderId="16" xfId="0" applyFont="1" applyFill="1" applyBorder="1" applyNumberFormat="1">
      <alignment horizontal="left" vertical="center" wrapText="1" indent="1"/>
    </xf>
    <xf numFmtId="0" fontId="131" fillId="45" borderId="16" xfId="0" applyFont="1" applyFill="1" applyBorder="1" applyNumberFormat="1">
      <alignment horizontal="left" vertical="center" wrapText="1" indent="1"/>
      <protection locked="0"/>
    </xf>
    <xf numFmtId="0" fontId="23" fillId="34" borderId="16" xfId="0" applyFont="1" applyFill="1" applyBorder="1" applyNumberFormat="1">
      <alignment horizontal="left" vertical="center" indent="1"/>
      <protection locked="0"/>
    </xf>
    <xf numFmtId="0" fontId="23" fillId="35" borderId="16" xfId="0" applyFont="1" applyFill="1" applyBorder="1" applyNumberFormat="1">
      <alignment horizontal="right" vertical="center"/>
    </xf>
    <xf numFmtId="3" fontId="23" fillId="34" borderId="16" xfId="0" applyFont="1" applyFill="1" applyBorder="1" applyNumberFormat="1">
      <alignment horizontal="right" vertical="center"/>
      <protection locked="0"/>
    </xf>
    <xf numFmtId="4" fontId="23" fillId="34" borderId="16" xfId="0" applyFont="1" applyFill="1" applyBorder="1" applyNumberFormat="1">
      <alignment horizontal="right" vertical="center"/>
      <protection locked="0"/>
    </xf>
    <xf numFmtId="49" fontId="51" fillId="44" borderId="61"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44" borderId="55" xfId="0" applyFont="1" applyFill="1" applyBorder="1" applyNumberFormat="1">
      <alignment horizontal="left" vertical="center" indent="1"/>
    </xf>
    <xf numFmtId="49" fontId="51" fillId="57" borderId="17" xfId="0" applyFont="1" applyFill="1" applyBorder="1" applyNumberFormat="1">
      <alignment horizontal="left" vertical="center" indent="1"/>
    </xf>
    <xf numFmtId="49" fontId="23" fillId="0" borderId="0" xfId="0" applyFont="1" applyNumberFormat="1">
      <alignment vertical="top"/>
    </xf>
    <xf numFmtId="49" fontId="56"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23" fillId="0" borderId="21" xfId="0" applyFont="1" applyBorder="1" applyNumberFormat="1">
      <alignment horizontal="center" vertical="center" wrapText="1"/>
    </xf>
    <xf numFmtId="0" fontId="0" fillId="0" borderId="18" xfId="0" applyFont="1" applyBorder="1" applyNumberFormat="1">
      <alignment horizontal="right" vertical="center" wrapText="1" indent="1"/>
    </xf>
    <xf numFmtId="0" fontId="0" fillId="0" borderId="19" xfId="0" applyFont="1" applyBorder="1" applyNumberFormat="1">
      <alignment horizontal="right" vertical="center" wrapText="1" indent="1"/>
    </xf>
    <xf numFmtId="0" fontId="0" fillId="0" borderId="17" xfId="0" applyFont="1" applyBorder="1" applyNumberFormat="1">
      <alignment horizontal="right" vertical="center" wrapText="1" indent="1"/>
    </xf>
    <xf numFmtId="0" fontId="0" fillId="42" borderId="16" xfId="0" applyFont="1" applyFill="1" applyBorder="1" applyNumberFormat="1">
      <alignment horizontal="left" vertical="center" wrapText="1" indent="1"/>
    </xf>
    <xf numFmtId="0" fontId="23" fillId="0" borderId="17" xfId="0" applyFont="1" applyBorder="1" applyNumberFormat="1">
      <alignment horizontal="left" vertical="center" wrapText="1" indent="1"/>
    </xf>
    <xf numFmtId="49" fontId="58" fillId="0" borderId="26" xfId="0" applyFont="1" applyBorder="1" applyNumberFormat="1">
      <alignment vertical="top"/>
    </xf>
    <xf numFmtId="49" fontId="58" fillId="0" borderId="0" xfId="0" applyFont="1" applyNumberFormat="1">
      <alignment vertical="top"/>
    </xf>
    <xf numFmtId="49" fontId="57" fillId="0" borderId="0" xfId="0" applyFont="1" applyNumberFormat="1">
      <alignment vertical="top"/>
    </xf>
    <xf numFmtId="49" fontId="58" fillId="0" borderId="0" xfId="0" applyFont="1" applyNumberFormat="1">
      <alignment vertical="top"/>
    </xf>
    <xf numFmtId="49" fontId="57" fillId="0" borderId="0" xfId="0" applyFont="1" applyNumberFormat="1">
      <alignment vertical="top"/>
    </xf>
    <xf numFmtId="0" fontId="57" fillId="0" borderId="0" xfId="0" applyFont="1" applyNumberFormat="1">
      <alignment horizontal="center" vertical="top"/>
    </xf>
    <xf numFmtId="49" fontId="57" fillId="0" borderId="0" xfId="0" applyFont="1" applyNumberFormat="1">
      <alignment vertical="top"/>
    </xf>
    <xf numFmtId="0" fontId="57" fillId="0" borderId="0" xfId="0" applyFont="1" applyNumberFormat="1">
      <alignment vertical="top"/>
    </xf>
    <xf numFmtId="0" fontId="82" fillId="0" borderId="0" xfId="0" applyFont="1" applyNumberFormat="1">
      <alignment vertical="top"/>
    </xf>
    <xf numFmtId="0" fontId="95" fillId="0" borderId="0" xfId="0" applyFont="1" applyNumberFormat="1">
      <alignment vertical="top"/>
    </xf>
    <xf numFmtId="49" fontId="23" fillId="0" borderId="40" xfId="0" applyFont="1" applyBorder="1" applyNumberFormat="1">
      <alignment horizontal="center" vertical="center" wrapText="1"/>
    </xf>
    <xf numFmtId="0" fontId="57" fillId="0" borderId="0" xfId="0" applyFont="1" applyNumberFormat="1">
      <alignment horizontal="center" vertical="center" wrapText="1"/>
    </xf>
    <xf numFmtId="0" fontId="23" fillId="0" borderId="27" xfId="0" applyFont="1" applyBorder="1" applyNumberFormat="1">
      <alignment horizontal="left" vertical="center" wrapText="1"/>
    </xf>
    <xf numFmtId="4" fontId="23" fillId="42" borderId="16" xfId="0" applyFont="1" applyFill="1" applyBorder="1" applyNumberFormat="1">
      <alignment horizontal="right" vertical="center" wrapText="1"/>
    </xf>
    <xf numFmtId="2" fontId="23" fillId="0" borderId="27" xfId="0" applyFont="1" applyBorder="1" applyNumberFormat="1">
      <alignment horizontal="center" vertical="center" wrapText="1"/>
    </xf>
    <xf numFmtId="0" fontId="23" fillId="0" borderId="16" xfId="0" applyFont="1" applyBorder="1" applyNumberFormat="1">
      <alignment horizontal="left" vertical="center" wrapText="1"/>
    </xf>
    <xf numFmtId="49" fontId="58" fillId="0" borderId="26" xfId="0" applyFont="1" applyBorder="1" applyNumberFormat="1">
      <alignment vertical="top"/>
    </xf>
    <xf numFmtId="0" fontId="58" fillId="0" borderId="0" xfId="0" applyFont="1" applyNumberFormat="1">
      <alignment horizontal="center" vertical="center" wrapText="1"/>
    </xf>
    <xf numFmtId="0" fontId="58" fillId="0" borderId="0" xfId="0" applyFont="1" applyNumberFormat="1">
      <alignment horizontal="center" vertical="center" wrapText="1"/>
    </xf>
    <xf numFmtId="0" fontId="58" fillId="0" borderId="16" xfId="0" applyFont="1" applyBorder="1" applyNumberFormat="1">
      <alignment horizontal="left" vertical="center" wrapText="1"/>
    </xf>
    <xf numFmtId="0" fontId="58" fillId="0" borderId="16" xfId="0" applyFont="1" applyBorder="1" applyNumberFormat="1">
      <alignment vertical="center" wrapText="1"/>
    </xf>
    <xf numFmtId="0" fontId="58" fillId="0" borderId="26" xfId="0" applyFont="1" applyBorder="1" applyNumberFormat="1">
      <alignment vertical="center" wrapText="1"/>
    </xf>
    <xf numFmtId="49" fontId="51" fillId="44" borderId="18" xfId="0" applyFont="1" applyFill="1" applyBorder="1" applyNumberFormat="1">
      <alignment horizontal="left" vertical="center"/>
    </xf>
    <xf numFmtId="49" fontId="51" fillId="44" borderId="19" xfId="0" applyFont="1" applyFill="1" applyBorder="1" applyNumberFormat="1">
      <alignment horizontal="left" vertical="center" indent="1"/>
    </xf>
    <xf numFmtId="49" fontId="51" fillId="44" borderId="19" xfId="0" applyFont="1" applyFill="1" applyBorder="1" applyNumberFormat="1">
      <alignment horizontal="left" vertical="center"/>
    </xf>
    <xf numFmtId="0" fontId="51" fillId="0" borderId="16" xfId="0" applyFont="1" applyBorder="1" applyNumberFormat="1">
      <alignment horizontal="left" vertical="center" indent="1"/>
    </xf>
    <xf numFmtId="0" fontId="57" fillId="0" borderId="0" xfId="0" applyFont="1" applyNumberFormat="1">
      <alignment horizontal="center" vertical="top"/>
    </xf>
    <xf numFmtId="49" fontId="23" fillId="0" borderId="27" xfId="0" applyFont="1" applyBorder="1" applyNumberFormat="1">
      <alignment horizontal="center" vertical="center" wrapText="1"/>
    </xf>
    <xf numFmtId="0" fontId="23" fillId="0" borderId="16" xfId="0" applyFont="1" applyBorder="1" applyNumberFormat="1">
      <alignment horizontal="left" vertical="center" wrapText="1"/>
    </xf>
    <xf numFmtId="0" fontId="58" fillId="0" borderId="0" xfId="0" applyFont="1" applyNumberFormat="1">
      <alignment horizontal="center" vertical="center" wrapText="1"/>
    </xf>
    <xf numFmtId="0" fontId="58" fillId="0" borderId="27" xfId="0" applyFont="1" applyBorder="1" applyNumberFormat="1">
      <alignment vertical="center" wrapText="1"/>
    </xf>
    <xf numFmtId="4" fontId="58" fillId="0" borderId="16" xfId="0" applyFont="1" applyBorder="1" applyNumberFormat="1">
      <alignment horizontal="right" vertical="center" wrapText="1"/>
    </xf>
    <xf numFmtId="2" fontId="58" fillId="0" borderId="27" xfId="0" applyFont="1" applyBorder="1" applyNumberFormat="1">
      <alignment horizontal="center" vertical="center" wrapText="1"/>
    </xf>
    <xf numFmtId="0" fontId="58" fillId="0" borderId="16" xfId="0" applyFont="1" applyBorder="1" applyNumberFormat="1">
      <alignment horizontal="left" vertical="center" wrapText="1"/>
    </xf>
    <xf numFmtId="0" fontId="58" fillId="0" borderId="0" xfId="0" applyFont="1" applyNumberFormat="1">
      <alignment horizontal="center" vertical="top"/>
    </xf>
    <xf numFmtId="49" fontId="58" fillId="0" borderId="0" xfId="0" applyFont="1" applyNumberFormat="1">
      <alignment vertical="top"/>
    </xf>
    <xf numFmtId="49" fontId="58" fillId="0" borderId="18" xfId="0" applyFont="1" applyBorder="1" applyNumberFormat="1">
      <alignment horizontal="left" vertical="center"/>
    </xf>
    <xf numFmtId="49" fontId="58" fillId="0" borderId="19" xfId="0" applyFont="1" applyBorder="1" applyNumberFormat="1">
      <alignment horizontal="left" vertical="center" indent="1"/>
    </xf>
    <xf numFmtId="49" fontId="58" fillId="0" borderId="19" xfId="0" applyFont="1" applyBorder="1" applyNumberFormat="1">
      <alignment horizontal="left" vertical="center"/>
    </xf>
    <xf numFmtId="49" fontId="58" fillId="0" borderId="17" xfId="0" applyFont="1" applyBorder="1" applyNumberFormat="1">
      <alignment horizontal="left" vertical="center" indent="1"/>
    </xf>
    <xf numFmtId="0" fontId="58" fillId="0" borderId="16" xfId="0" applyFont="1" applyBorder="1" applyNumberFormat="1">
      <alignment horizontal="left" vertical="center" indent="1"/>
    </xf>
    <xf numFmtId="49" fontId="0" fillId="0" borderId="23" xfId="0" applyFont="1" applyBorder="1" applyNumberFormat="1">
      <alignment vertical="top"/>
    </xf>
    <xf numFmtId="49" fontId="48" fillId="0" borderId="21" xfId="0" applyFont="1" applyBorder="1" applyNumberFormat="1">
      <alignment horizontal="center" vertical="top" wrapText="1"/>
    </xf>
    <xf numFmtId="49" fontId="23" fillId="45" borderId="18" xfId="0" applyFont="1" applyFill="1" applyBorder="1" applyNumberFormat="1">
      <alignment horizontal="left" vertical="center" wrapText="1" indent="1"/>
      <protection locked="0"/>
    </xf>
    <xf numFmtId="0" fontId="23" fillId="0" borderId="16" xfId="0" applyFont="1" applyBorder="1" applyNumberFormat="1">
      <alignment vertical="center" wrapText="1"/>
    </xf>
    <xf numFmtId="49" fontId="0" fillId="0" borderId="17" xfId="0" applyFont="1" applyBorder="1" applyNumberFormat="1">
      <alignment horizontal="center" vertical="center" wrapText="1"/>
    </xf>
    <xf numFmtId="0" fontId="0" fillId="0" borderId="16" xfId="0" applyFont="1" applyBorder="1" applyNumberFormat="1">
      <alignment horizontal="left" vertical="center" wrapText="1"/>
    </xf>
    <xf numFmtId="49" fontId="0" fillId="0" borderId="16" xfId="0" applyFont="1" applyBorder="1" applyNumberFormat="1">
      <alignment horizontal="center" vertical="center"/>
    </xf>
    <xf numFmtId="0" fontId="0" fillId="0" borderId="16" xfId="0" applyFont="1" applyBorder="1" applyNumberFormat="1">
      <alignment horizontal="center" vertical="center" wrapText="1"/>
    </xf>
    <xf numFmtId="4" fontId="0" fillId="42" borderId="16" xfId="0" applyFont="1" applyFill="1" applyBorder="1" applyNumberFormat="1">
      <alignment horizontal="right" vertical="center" wrapText="1"/>
    </xf>
    <xf numFmtId="0" fontId="23" fillId="0" borderId="16" xfId="0" applyFont="1" applyBorder="1" applyNumberFormat="1">
      <alignment horizontal="left" vertical="center" wrapText="1"/>
    </xf>
    <xf numFmtId="49" fontId="23" fillId="0" borderId="40" xfId="0" applyFont="1" applyBorder="1" applyNumberFormat="1">
      <alignment horizontal="center" vertical="top" wrapText="1"/>
    </xf>
    <xf numFmtId="0" fontId="0" fillId="45" borderId="16" xfId="0" applyFont="1" applyFill="1" applyBorder="1" applyNumberFormat="1">
      <alignment horizontal="left" vertical="center" wrapText="1"/>
      <protection locked="0"/>
    </xf>
    <xf numFmtId="49" fontId="0" fillId="45" borderId="18" xfId="0" applyFont="1" applyFill="1" applyBorder="1" applyNumberFormat="1">
      <alignment horizontal="left" vertical="center" wrapText="1"/>
      <protection locked="0"/>
    </xf>
    <xf numFmtId="0" fontId="0" fillId="0" borderId="16" xfId="0" applyFont="1" applyBorder="1" applyNumberFormat="1">
      <alignment vertical="center" wrapText="1"/>
    </xf>
    <xf numFmtId="49" fontId="0" fillId="0" borderId="34"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 fontId="0" fillId="45" borderId="16" xfId="0" applyFont="1" applyFill="1" applyBorder="1" applyNumberFormat="1">
      <alignment horizontal="right" vertical="center" wrapText="1"/>
      <protection locked="0"/>
    </xf>
    <xf numFmtId="49" fontId="0" fillId="45" borderId="16" xfId="0" applyFont="1" applyFill="1" applyBorder="1" applyNumberFormat="1">
      <alignment horizontal="center" vertical="center" wrapText="1"/>
      <protection locked="0"/>
    </xf>
    <xf numFmtId="4" fontId="57" fillId="0" borderId="16" xfId="0" applyFont="1" applyBorder="1" applyNumberFormat="1">
      <alignment horizontal="right" vertical="center" wrapText="1"/>
    </xf>
    <xf numFmtId="49" fontId="0" fillId="45" borderId="16" xfId="0" applyFont="1" applyFill="1" applyBorder="1" applyNumberFormat="1">
      <alignment horizontal="left" vertical="center" wrapText="1"/>
      <protection locked="0"/>
    </xf>
    <xf numFmtId="49" fontId="0" fillId="44" borderId="31" xfId="0" applyFont="1" applyFill="1" applyBorder="1" applyNumberFormat="1">
      <alignment horizontal="center" vertical="center"/>
    </xf>
    <xf numFmtId="49" fontId="0" fillId="44" borderId="19" xfId="0" applyFont="1" applyFill="1" applyBorder="1" applyNumberFormat="1">
      <alignment horizontal="center" vertical="center"/>
    </xf>
    <xf numFmtId="49" fontId="51" fillId="44" borderId="19" xfId="0" applyFont="1" applyFill="1" applyBorder="1" applyNumberFormat="1">
      <alignment horizontal="left" vertical="center"/>
    </xf>
    <xf numFmtId="49" fontId="51" fillId="44" borderId="17" xfId="0" applyFont="1" applyFill="1" applyBorder="1" applyNumberFormat="1">
      <alignment horizontal="left" vertical="center" indent="1"/>
    </xf>
    <xf numFmtId="49" fontId="23" fillId="0" borderId="27" xfId="0" applyFont="1" applyBorder="1" applyNumberFormat="1">
      <alignment horizontal="center" vertical="top" wrapText="1"/>
    </xf>
    <xf numFmtId="49" fontId="23" fillId="45" borderId="16" xfId="0" applyFont="1" applyFill="1" applyBorder="1" applyNumberFormat="1">
      <alignment horizontal="left" vertical="center" wrapText="1" indent="1"/>
      <protection locked="0"/>
    </xf>
    <xf numFmtId="0" fontId="57" fillId="0" borderId="0" xfId="0" applyFont="1" applyNumberFormat="1">
      <alignment horizontal="center" vertical="center" wrapText="1"/>
    </xf>
    <xf numFmtId="49" fontId="0" fillId="45" borderId="16" xfId="0" applyFont="1" applyFill="1" applyBorder="1" applyNumberFormat="1">
      <alignment horizontal="left" vertical="center" wrapText="1"/>
      <protection locked="0"/>
    </xf>
    <xf numFmtId="49" fontId="0" fillId="0" borderId="26" xfId="0" applyFont="1" applyBorder="1" applyNumberFormat="1">
      <alignment vertical="top"/>
    </xf>
    <xf numFmtId="49" fontId="0" fillId="0" borderId="0" xfId="0" applyFont="1" applyNumberFormat="1">
      <alignment vertical="top"/>
    </xf>
    <xf numFmtId="49" fontId="0" fillId="0" borderId="28"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top"/>
    </xf>
    <xf numFmtId="0" fontId="0" fillId="0" borderId="16" xfId="0" applyFont="1" applyBorder="1" applyNumberFormat="1">
      <alignment horizontal="center" vertical="center"/>
    </xf>
    <xf numFmtId="49" fontId="23" fillId="34" borderId="16" xfId="0" applyFont="1" applyFill="1" applyBorder="1" applyNumberFormat="1">
      <alignment horizontal="left" vertical="center" wrapText="1"/>
      <protection locked="0"/>
    </xf>
    <xf numFmtId="0" fontId="0" fillId="46" borderId="16" xfId="0" applyFont="1" applyFill="1" applyBorder="1" applyNumberFormat="1">
      <alignment horizontal="left" vertical="center" wrapText="1"/>
      <protection locked="0"/>
    </xf>
    <xf numFmtId="49" fontId="0" fillId="45" borderId="16" xfId="0" applyFont="1" applyFill="1" applyBorder="1" applyNumberFormat="1">
      <alignment horizontal="left" vertical="center" wrapText="1"/>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0" fontId="51" fillId="44" borderId="18" xfId="0" applyFont="1" applyFill="1" applyBorder="1" applyNumberFormat="1">
      <alignment horizontal="left" vertical="center"/>
    </xf>
    <xf numFmtId="0" fontId="51" fillId="44" borderId="19" xfId="0" applyFont="1" applyFill="1" applyBorder="1" applyNumberFormat="1">
      <alignment horizontal="left" vertical="center"/>
    </xf>
    <xf numFmtId="0" fontId="51" fillId="44" borderId="17" xfId="0" applyFont="1" applyFill="1" applyBorder="1" applyNumberFormat="1">
      <alignment horizontal="left" vertical="center"/>
    </xf>
    <xf numFmtId="49" fontId="0" fillId="0" borderId="16" xfId="0" applyFont="1" applyBorder="1" applyNumberFormat="1">
      <alignment vertical="top"/>
    </xf>
    <xf numFmtId="49" fontId="0" fillId="34" borderId="16" xfId="0" applyFont="1" applyFill="1" applyBorder="1" applyNumberFormat="1">
      <alignment horizontal="left" vertical="top"/>
      <protection locked="0"/>
    </xf>
    <xf numFmtId="49" fontId="0" fillId="46" borderId="16" xfId="0" applyFont="1" applyFill="1" applyBorder="1" applyNumberFormat="1">
      <alignment horizontal="left" vertical="center" wrapText="1"/>
      <protection locked="0"/>
    </xf>
    <xf numFmtId="0" fontId="0" fillId="44" borderId="19" xfId="0" applyFont="1" applyFill="1" applyBorder="1" applyNumberFormat="1">
      <alignment vertical="center"/>
    </xf>
    <xf numFmtId="49" fontId="0" fillId="0" borderId="40" xfId="0" applyFont="1" applyBorder="1" applyNumberFormat="1">
      <alignment horizontal="left" vertical="top"/>
    </xf>
    <xf numFmtId="0" fontId="23" fillId="46" borderId="40" xfId="0" applyFont="1" applyFill="1" applyBorder="1" applyNumberFormat="1">
      <alignment horizontal="center" vertical="top" wrapText="1"/>
    </xf>
    <xf numFmtId="49" fontId="0" fillId="46" borderId="40" xfId="0" applyFont="1" applyFill="1" applyBorder="1" applyNumberFormat="1">
      <alignment horizontal="left" vertical="top"/>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34" borderId="40" xfId="0" applyFont="1" applyFill="1" applyBorder="1" applyNumberFormat="1">
      <alignment horizontal="left" vertical="top"/>
      <protection locked="0"/>
    </xf>
    <xf numFmtId="49" fontId="23" fillId="46" borderId="0" xfId="0" applyFont="1" applyFill="1" applyNumberFormat="1">
      <alignment horizontal="center" vertical="center" wrapText="1"/>
    </xf>
    <xf numFmtId="0" fontId="51" fillId="0" borderId="40" xfId="0" applyFont="1" applyBorder="1" applyNumberFormat="1">
      <alignment horizontal="left" vertical="center"/>
    </xf>
    <xf numFmtId="49" fontId="0" fillId="46" borderId="40" xfId="0" applyFont="1" applyFill="1" applyBorder="1" applyNumberFormat="1">
      <alignment horizontal="left" vertical="center" wrapText="1"/>
      <protection locked="0"/>
    </xf>
    <xf numFmtId="49" fontId="23" fillId="46" borderId="40" xfId="0" applyFont="1" applyFill="1" applyBorder="1" applyNumberFormat="1">
      <alignment horizontal="center" vertical="center" wrapText="1"/>
    </xf>
    <xf numFmtId="0" fontId="23" fillId="46" borderId="40" xfId="0" applyFont="1" applyFill="1" applyBorder="1" applyNumberFormat="1">
      <alignment horizontal="center" vertical="top" wrapText="1"/>
    </xf>
    <xf numFmtId="0" fontId="51" fillId="34" borderId="40" xfId="0" applyFont="1" applyFill="1" applyBorder="1" applyNumberFormat="1">
      <alignment horizontal="left" vertical="center"/>
      <protection locked="0"/>
    </xf>
    <xf numFmtId="0" fontId="51" fillId="45" borderId="40" xfId="0" applyFont="1" applyFill="1" applyBorder="1" applyNumberFormat="1">
      <alignment horizontal="left" vertical="center"/>
      <protection locked="0"/>
    </xf>
    <xf numFmtId="49" fontId="23" fillId="0" borderId="16" xfId="0" applyFont="1" applyBorder="1" applyNumberFormat="1">
      <alignment horizontal="center" vertical="center" wrapText="1"/>
    </xf>
    <xf numFmtId="49" fontId="0" fillId="45" borderId="16"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protection locked="0"/>
    </xf>
    <xf numFmtId="49" fontId="0" fillId="0" borderId="0" xfId="0" applyFont="1" applyNumberFormat="1">
      <alignment vertical="top"/>
    </xf>
    <xf numFmtId="49"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49" fontId="58" fillId="0" borderId="18" xfId="0" applyFont="1" applyBorder="1" applyNumberFormat="1">
      <alignment horizontal="left" vertical="center" wrapText="1"/>
    </xf>
    <xf numFmtId="49" fontId="23" fillId="34" borderId="16" xfId="0" applyFont="1" applyFill="1" applyBorder="1" applyNumberFormat="1">
      <alignment horizontal="left" vertical="center" wrapText="1"/>
      <protection locked="0"/>
    </xf>
    <xf numFmtId="0" fontId="58" fillId="0" borderId="18" xfId="0" applyFont="1" applyBorder="1" applyNumberFormat="1">
      <alignment horizontal="left" vertical="center"/>
    </xf>
    <xf numFmtId="0" fontId="58" fillId="0" borderId="19" xfId="0" applyFont="1" applyBorder="1" applyNumberFormat="1">
      <alignment horizontal="left" vertical="center"/>
    </xf>
    <xf numFmtId="0" fontId="51" fillId="44" borderId="34" xfId="0" applyFont="1" applyFill="1" applyBorder="1" applyNumberFormat="1">
      <alignment horizontal="left" vertical="center"/>
    </xf>
    <xf numFmtId="49" fontId="0" fillId="0" borderId="0" xfId="0" applyFont="1" applyNumberFormat="1">
      <alignment vertical="top"/>
    </xf>
    <xf numFmtId="49" fontId="58" fillId="0" borderId="16" xfId="0" applyFont="1" applyBorder="1" applyNumberFormat="1">
      <alignment horizontal="center" vertical="center" wrapText="1"/>
    </xf>
    <xf numFmtId="49" fontId="0" fillId="34" borderId="40" xfId="0" applyFont="1" applyFill="1" applyBorder="1" applyNumberFormat="1">
      <alignment vertical="top"/>
      <protection locked="0"/>
    </xf>
    <xf numFmtId="49" fontId="23" fillId="46" borderId="40" xfId="0" applyFont="1" applyFill="1" applyBorder="1" applyNumberFormat="1">
      <alignment horizontal="center" vertical="center" wrapText="1"/>
    </xf>
    <xf numFmtId="49" fontId="0"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0" fontId="0" fillId="0" borderId="16" xfId="0" applyFont="1" applyBorder="1" applyNumberFormat="1">
      <alignment horizontal="center" vertical="center"/>
    </xf>
    <xf numFmtId="0" fontId="23" fillId="0" borderId="16" xfId="0" applyFont="1" applyBorder="1" applyNumberFormat="1">
      <alignment horizontal="center" vertical="center" wrapText="1"/>
    </xf>
    <xf numFmtId="49" fontId="23" fillId="0" borderId="23" xfId="0" applyFont="1" applyBorder="1" applyNumberFormat="1">
      <alignment horizontal="center" vertical="center" wrapText="1"/>
    </xf>
    <xf numFmtId="49" fontId="0" fillId="0" borderId="23" xfId="0" applyFont="1" applyBorder="1" applyNumberFormat="1">
      <alignment horizontal="left" vertical="center" wrapText="1"/>
    </xf>
    <xf numFmtId="49" fontId="0" fillId="0" borderId="0" xfId="0" applyFont="1" applyNumberFormat="1">
      <alignment vertical="top"/>
    </xf>
    <xf numFmtId="0" fontId="0" fillId="0" borderId="0" xfId="0" applyFont="1" applyNumberFormat="1">
      <alignment vertical="center"/>
    </xf>
    <xf numFmtId="49" fontId="23" fillId="0" borderId="0" xfId="0" applyFont="1" applyNumberFormat="1">
      <alignment horizontal="center" vertical="center" wrapText="1"/>
    </xf>
    <xf numFmtId="49" fontId="23" fillId="0" borderId="40" xfId="0" applyFont="1" applyBorder="1" applyNumberFormat="1">
      <alignment horizontal="center" vertical="center"/>
    </xf>
    <xf numFmtId="0" fontId="23" fillId="0" borderId="40" xfId="0" applyFont="1" applyBorder="1" applyNumberFormat="1">
      <alignment horizontal="center" vertical="center" wrapText="1"/>
    </xf>
    <xf numFmtId="0" fontId="23" fillId="0" borderId="40" xfId="0" applyFont="1" applyBorder="1" applyNumberFormat="1">
      <alignment horizontal="center" vertical="center" wrapText="1"/>
    </xf>
    <xf numFmtId="49" fontId="23" fillId="0" borderId="40" xfId="0" applyFont="1" applyBorder="1" applyNumberFormat="1">
      <alignment vertical="center" wrapText="1"/>
    </xf>
    <xf numFmtId="0" fontId="23" fillId="0" borderId="28" xfId="0" applyFont="1" applyBorder="1" applyNumberFormat="1">
      <alignment horizontal="center" vertical="center"/>
    </xf>
    <xf numFmtId="49" fontId="23" fillId="0" borderId="21" xfId="0" applyFont="1" applyBorder="1" applyNumberFormat="1">
      <alignment horizontal="left" vertical="center" wrapText="1"/>
    </xf>
    <xf numFmtId="49" fontId="23" fillId="45" borderId="16" xfId="0" applyFont="1" applyFill="1" applyBorder="1" applyNumberFormat="1">
      <alignment horizontal="left" vertical="center" wrapText="1"/>
      <protection locked="0"/>
    </xf>
    <xf numFmtId="49" fontId="23" fillId="0" borderId="21" xfId="0" applyFont="1" applyBorder="1" applyNumberFormat="1">
      <alignment horizontal="left" vertical="center" wrapText="1"/>
    </xf>
    <xf numFmtId="49" fontId="23" fillId="46" borderId="21" xfId="0" applyFont="1" applyFill="1" applyBorder="1" applyNumberFormat="1">
      <alignment horizontal="center" vertical="center" wrapText="1"/>
    </xf>
    <xf numFmtId="49" fontId="48" fillId="0" borderId="40" xfId="0" applyFont="1" applyBorder="1" applyNumberFormat="1">
      <alignment vertical="center" wrapText="1"/>
    </xf>
    <xf numFmtId="0" fontId="23" fillId="46" borderId="21" xfId="0" applyFont="1" applyFill="1" applyBorder="1" applyNumberFormat="1">
      <alignment horizontal="left" vertical="center" wrapText="1"/>
    </xf>
    <xf numFmtId="49" fontId="23" fillId="0" borderId="21" xfId="0" applyFont="1" applyBorder="1" applyNumberFormat="1">
      <alignment horizontal="center" vertical="center" wrapText="1"/>
    </xf>
    <xf numFmtId="49" fontId="23" fillId="46" borderId="21" xfId="0" applyFont="1" applyFill="1" applyBorder="1" applyNumberFormat="1">
      <alignment horizontal="left" vertical="center" wrapText="1"/>
    </xf>
    <xf numFmtId="0" fontId="23" fillId="0" borderId="21" xfId="0" applyFont="1" applyBorder="1" applyNumberFormat="1">
      <alignment horizontal="left" vertical="center" wrapText="1"/>
    </xf>
    <xf numFmtId="49"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49" fontId="23" fillId="46" borderId="21" xfId="0" applyFont="1" applyFill="1" applyBorder="1" applyNumberFormat="1">
      <alignment vertical="center" wrapText="1"/>
    </xf>
    <xf numFmtId="49" fontId="23" fillId="34" borderId="16" xfId="0" applyFont="1" applyFill="1" applyBorder="1" applyNumberFormat="1">
      <alignment horizontal="left" vertical="center" wrapText="1"/>
      <protection locked="0"/>
    </xf>
    <xf numFmtId="0" fontId="23" fillId="0" borderId="40" xfId="0" applyFont="1" applyBorder="1" applyNumberFormat="1">
      <alignment horizontal="left" vertical="center" wrapText="1"/>
    </xf>
    <xf numFmtId="49" fontId="23" fillId="0" borderId="40" xfId="0" applyFont="1" applyBorder="1" applyNumberFormat="1">
      <alignment horizontal="left" vertical="center" wrapText="1"/>
    </xf>
    <xf numFmtId="49" fontId="23" fillId="46" borderId="40" xfId="0" applyFont="1" applyFill="1" applyBorder="1" applyNumberFormat="1">
      <alignment horizontal="center" vertical="center" wrapText="1"/>
    </xf>
    <xf numFmtId="0" fontId="23" fillId="46" borderId="40" xfId="0" applyFont="1" applyFill="1" applyBorder="1" applyNumberFormat="1">
      <alignment horizontal="left" vertical="center" wrapText="1"/>
    </xf>
    <xf numFmtId="49" fontId="23" fillId="0" borderId="40" xfId="0" applyFont="1" applyBorder="1" applyNumberFormat="1">
      <alignment horizontal="center" vertical="center" wrapText="1"/>
    </xf>
    <xf numFmtId="49" fontId="23" fillId="46" borderId="27" xfId="0" applyFont="1" applyFill="1" applyBorder="1" applyNumberFormat="1">
      <alignment horizontal="left" vertical="center" wrapText="1"/>
    </xf>
    <xf numFmtId="0" fontId="23" fillId="0" borderId="27" xfId="0" applyFont="1" applyBorder="1" applyNumberFormat="1">
      <alignment horizontal="left" vertical="center" wrapText="1"/>
    </xf>
    <xf numFmtId="0" fontId="51" fillId="0" borderId="27" xfId="0" applyFont="1" applyBorder="1" applyNumberFormat="1">
      <alignment horizontal="left" vertical="center"/>
    </xf>
    <xf numFmtId="0" fontId="51" fillId="44" borderId="18" xfId="0" applyFont="1" applyFill="1" applyBorder="1" applyNumberFormat="1">
      <alignment horizontal="left" vertical="center"/>
    </xf>
    <xf numFmtId="0" fontId="51" fillId="44" borderId="19" xfId="0" applyFont="1" applyFill="1" applyBorder="1" applyNumberFormat="1">
      <alignment horizontal="left" vertical="center"/>
    </xf>
    <xf numFmtId="0" fontId="51" fillId="44" borderId="17" xfId="0" applyFont="1" applyFill="1" applyBorder="1" applyNumberFormat="1">
      <alignment horizontal="left" vertical="center"/>
    </xf>
    <xf numFmtId="49" fontId="23" fillId="0" borderId="40" xfId="0" applyFont="1" applyBorder="1" applyNumberFormat="1">
      <alignment horizontal="center" vertical="center" wrapText="1"/>
    </xf>
    <xf numFmtId="0" fontId="51" fillId="44" borderId="41" xfId="0" applyFont="1" applyFill="1" applyBorder="1" applyNumberFormat="1">
      <alignment horizontal="left" vertical="center"/>
    </xf>
    <xf numFmtId="0" fontId="51" fillId="44" borderId="23" xfId="0" applyFont="1" applyFill="1" applyBorder="1" applyNumberFormat="1">
      <alignment horizontal="left" vertical="center"/>
    </xf>
    <xf numFmtId="0" fontId="51" fillId="44" borderId="24" xfId="0" applyFont="1" applyFill="1" applyBorder="1" applyNumberFormat="1">
      <alignment horizontal="left" vertical="center"/>
    </xf>
    <xf numFmtId="49" fontId="23" fillId="45" borderId="21" xfId="0" applyFont="1" applyFill="1" applyBorder="1" applyNumberFormat="1">
      <alignment horizontal="left" vertical="center" wrapText="1"/>
      <protection locked="0"/>
    </xf>
    <xf numFmtId="49" fontId="48" fillId="0" borderId="40" xfId="0" applyFont="1" applyBorder="1" applyNumberFormat="1">
      <alignment horizontal="center" vertical="center" wrapText="1"/>
    </xf>
    <xf numFmtId="0" fontId="51" fillId="44" borderId="41" xfId="0" applyFont="1" applyFill="1" applyBorder="1" applyNumberFormat="1">
      <alignment vertical="center"/>
    </xf>
    <xf numFmtId="0" fontId="51" fillId="0" borderId="40" xfId="0" applyFont="1" applyBorder="1" applyNumberFormat="1">
      <alignment horizontal="left" vertical="center"/>
    </xf>
    <xf numFmtId="49" fontId="23" fillId="34" borderId="21" xfId="0" applyFont="1" applyFill="1" applyBorder="1" applyNumberFormat="1">
      <alignment horizontal="left" vertical="center" wrapText="1"/>
      <protection locked="0"/>
    </xf>
    <xf numFmtId="49" fontId="75" fillId="44" borderId="18" xfId="0" applyFont="1" applyFill="1" applyBorder="1" applyNumberFormat="1">
      <alignment vertical="top"/>
    </xf>
    <xf numFmtId="49" fontId="75" fillId="44" borderId="19" xfId="0" applyFont="1" applyFill="1" applyBorder="1" applyNumberFormat="1">
      <alignment vertical="top"/>
    </xf>
    <xf numFmtId="0" fontId="23" fillId="0" borderId="0" xfId="0" applyFont="1" applyNumberFormat="1">
      <alignment horizontal="left" vertical="center" wrapText="1" indent="2"/>
    </xf>
    <xf numFmtId="0" fontId="50" fillId="38" borderId="0" xfId="0" applyFont="1" applyFill="1" applyNumberFormat="1">
      <alignment vertical="center" wrapText="1"/>
    </xf>
    <xf numFmtId="0" fontId="23" fillId="38" borderId="0" xfId="0" applyFont="1" applyFill="1" applyNumberFormat="1">
      <alignment vertical="center" wrapText="1"/>
    </xf>
    <xf numFmtId="0" fontId="23" fillId="38" borderId="0" xfId="0" applyFont="1" applyFill="1" applyNumberFormat="1">
      <alignment horizontal="right"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49" fontId="23" fillId="0" borderId="0" xfId="0" applyFont="1" applyNumberFormat="1">
      <alignment vertical="center"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23" fillId="38" borderId="0" xfId="0" applyFont="1" applyFill="1" applyNumberFormat="1">
      <alignment horizontal="center" vertical="center" wrapText="1"/>
    </xf>
    <xf numFmtId="0" fontId="23" fillId="38" borderId="0" xfId="0" applyFont="1" applyFill="1" applyNumberFormat="1">
      <alignment horizontal="right" vertical="center"/>
    </xf>
    <xf numFmtId="49" fontId="23" fillId="0" borderId="0" xfId="0" applyFont="1" applyNumberFormat="1">
      <alignment vertical="center" wrapText="1"/>
    </xf>
    <xf numFmtId="0" fontId="23" fillId="38" borderId="0" xfId="0" applyFont="1" applyFill="1" applyNumberFormat="1">
      <alignment vertical="center" wrapText="1"/>
    </xf>
    <xf numFmtId="0" fontId="23" fillId="38" borderId="0" xfId="0" applyFont="1" applyFill="1" applyNumberFormat="1">
      <alignment horizontal="center" vertical="center" wrapText="1"/>
    </xf>
    <xf numFmtId="0" fontId="23" fillId="38" borderId="16" xfId="0" applyFont="1" applyFill="1" applyBorder="1" applyNumberFormat="1">
      <alignment horizontal="center" vertical="center"/>
    </xf>
    <xf numFmtId="0" fontId="23" fillId="38" borderId="16" xfId="0" applyFont="1" applyFill="1" applyBorder="1" applyNumberFormat="1">
      <alignment horizontal="center" vertical="center" wrapText="1"/>
    </xf>
    <xf numFmtId="0" fontId="0" fillId="0" borderId="16" xfId="0" applyFont="1" applyBorder="1" applyNumberFormat="1">
      <alignment horizontal="center" vertical="center" wrapText="1"/>
    </xf>
    <xf numFmtId="49" fontId="47" fillId="38" borderId="0" xfId="0" applyFont="1" applyFill="1" applyNumberFormat="1">
      <alignment horizontal="center" vertical="center" wrapText="1"/>
    </xf>
    <xf numFmtId="49" fontId="23" fillId="0" borderId="0" xfId="0" applyFont="1" applyNumberFormat="1">
      <alignment vertical="top"/>
    </xf>
    <xf numFmtId="49" fontId="0" fillId="38" borderId="16" xfId="0" applyFont="1" applyFill="1" applyBorder="1" applyNumberFormat="1">
      <alignment horizontal="center" vertical="center" wrapText="1"/>
    </xf>
    <xf numFmtId="0" fontId="0" fillId="0" borderId="16" xfId="0" applyFont="1" applyBorder="1" applyNumberFormat="1">
      <alignment vertical="center" wrapText="1"/>
    </xf>
    <xf numFmtId="0" fontId="0" fillId="0" borderId="16" xfId="0" applyFont="1" applyBorder="1" applyNumberFormat="1">
      <alignment horizontal="center" vertical="center" wrapText="1"/>
    </xf>
    <xf numFmtId="0" fontId="23" fillId="0" borderId="16" xfId="0" applyFont="1" applyBorder="1" applyNumberFormat="1">
      <alignment vertical="center" wrapText="1"/>
    </xf>
    <xf numFmtId="0" fontId="0" fillId="0" borderId="16" xfId="0" applyFont="1" applyBorder="1" applyNumberFormat="1">
      <alignment horizontal="left" vertical="center" wrapText="1" indent="1"/>
    </xf>
    <xf numFmtId="0" fontId="134" fillId="45" borderId="16" xfId="0" applyFont="1" applyFill="1" applyBorder="1" applyNumberFormat="1">
      <alignment horizontal="left" vertical="center" wrapText="1" indent="2"/>
      <protection locked="0"/>
    </xf>
    <xf numFmtId="49" fontId="30" fillId="45" borderId="16" xfId="0" applyFont="1" applyFill="1" applyBorder="1" applyNumberFormat="1">
      <alignment horizontal="left" vertical="center" wrapText="1"/>
      <protection locked="0"/>
    </xf>
    <xf numFmtId="0" fontId="23" fillId="44" borderId="18" xfId="0" applyFont="1" applyFill="1" applyBorder="1" applyNumberFormat="1">
      <alignment vertical="center" wrapText="1"/>
    </xf>
    <xf numFmtId="49" fontId="51" fillId="44" borderId="19" xfId="0" applyFont="1" applyFill="1" applyBorder="1" applyNumberFormat="1">
      <alignment horizontal="left" vertical="center" indent="2"/>
    </xf>
    <xf numFmtId="49" fontId="55" fillId="44" borderId="17" xfId="0" applyFont="1" applyFill="1" applyBorder="1" applyNumberFormat="1">
      <alignment horizontal="center" vertical="top"/>
    </xf>
    <xf numFmtId="0" fontId="23" fillId="0" borderId="21" xfId="0" applyFont="1" applyBorder="1" applyNumberFormat="1">
      <alignment vertical="center" wrapText="1"/>
    </xf>
    <xf numFmtId="49" fontId="30" fillId="45" borderId="18" xfId="0" applyFont="1" applyFill="1" applyBorder="1" applyNumberFormat="1">
      <alignment horizontal="left" vertical="center" wrapText="1"/>
      <protection locked="0"/>
    </xf>
    <xf numFmtId="0" fontId="23" fillId="0" borderId="0" xfId="0" applyFont="1" applyNumberFormat="1">
      <alignment vertical="center" wrapText="1"/>
    </xf>
    <xf numFmtId="0" fontId="57" fillId="0" borderId="0" xfId="0" applyFont="1" applyNumberFormat="1">
      <alignment vertical="center" wrapText="1"/>
    </xf>
    <xf numFmtId="0" fontId="50" fillId="38" borderId="0" xfId="0" applyFont="1" applyFill="1" applyNumberFormat="1">
      <alignment vertical="center" wrapText="1"/>
    </xf>
    <xf numFmtId="49" fontId="55" fillId="44" borderId="19" xfId="0" applyFont="1" applyFill="1" applyBorder="1" applyNumberFormat="1">
      <alignment horizontal="center" vertical="top"/>
    </xf>
    <xf numFmtId="0" fontId="58" fillId="0" borderId="0" xfId="0" applyFont="1" applyNumberFormat="1">
      <alignment vertical="center"/>
    </xf>
    <xf numFmtId="0" fontId="0" fillId="0" borderId="16" xfId="0" applyFont="1" applyBorder="1" applyNumberFormat="1">
      <alignment horizontal="left" vertical="center" wrapText="1" indent="1"/>
    </xf>
    <xf numFmtId="0" fontId="0" fillId="38" borderId="16" xfId="0" applyFont="1" applyFill="1" applyBorder="1" applyNumberFormat="1">
      <alignment horizontal="center" vertical="center" wrapText="1"/>
    </xf>
    <xf numFmtId="0" fontId="0" fillId="0" borderId="16" xfId="0" applyFont="1" applyBorder="1" applyNumberFormat="1">
      <alignment horizontal="left" vertical="center" wrapText="1" indent="1"/>
    </xf>
    <xf numFmtId="49" fontId="75" fillId="0" borderId="16" xfId="0" applyFont="1" applyBorder="1" applyNumberFormat="1">
      <alignment horizontal="center" vertical="center" wrapText="1"/>
    </xf>
    <xf numFmtId="0" fontId="136" fillId="0" borderId="16" xfId="0" applyFont="1" applyBorder="1" applyNumberFormat="1">
      <alignment horizontal="left" vertical="center" wrapText="1" indent="2"/>
    </xf>
    <xf numFmtId="49" fontId="79" fillId="0" borderId="18" xfId="0" applyFont="1" applyBorder="1" applyNumberFormat="1">
      <alignment horizontal="left" vertical="center" wrapText="1"/>
    </xf>
    <xf numFmtId="0" fontId="23" fillId="0" borderId="21" xfId="0" applyFont="1" applyBorder="1" applyNumberFormat="1">
      <alignment vertical="top" wrapText="1"/>
    </xf>
    <xf numFmtId="0" fontId="80" fillId="0" borderId="0" xfId="0" applyFont="1" applyNumberFormat="1">
      <alignment vertical="center" wrapText="1"/>
    </xf>
    <xf numFmtId="49" fontId="51" fillId="44" borderId="19" xfId="0" applyFont="1" applyFill="1" applyBorder="1" applyNumberFormat="1">
      <alignment horizontal="left" vertical="center" indent="1"/>
    </xf>
    <xf numFmtId="0" fontId="23" fillId="0" borderId="27" xfId="0" applyFont="1" applyBorder="1" applyNumberFormat="1">
      <alignment vertical="top" wrapText="1"/>
    </xf>
    <xf numFmtId="49" fontId="0" fillId="38" borderId="16" xfId="0" applyFont="1" applyFill="1" applyBorder="1" applyNumberFormat="1">
      <alignment horizontal="center" vertical="center" wrapText="1"/>
    </xf>
    <xf numFmtId="0" fontId="0" fillId="0" borderId="16" xfId="0" applyFont="1" applyBorder="1" applyNumberFormat="1">
      <alignment horizontal="center" vertical="center" wrapText="1"/>
    </xf>
    <xf numFmtId="0" fontId="23" fillId="0" borderId="16" xfId="0" applyFont="1" applyBorder="1" applyNumberFormat="1">
      <alignment vertical="center" wrapText="1"/>
    </xf>
    <xf numFmtId="0" fontId="0" fillId="0" borderId="16" xfId="0" applyFont="1" applyBorder="1" applyNumberFormat="1">
      <alignment horizontal="left" vertical="center" wrapText="1" indent="1"/>
    </xf>
    <xf numFmtId="0" fontId="23" fillId="0" borderId="0" xfId="0" applyFont="1" applyNumberFormat="1">
      <alignment vertical="top"/>
    </xf>
    <xf numFmtId="0" fontId="23" fillId="0" borderId="0" xfId="0" applyFont="1" applyNumberFormat="1">
      <alignment vertical="top" wrapText="1"/>
    </xf>
    <xf numFmtId="0" fontId="23" fillId="0" borderId="0" xfId="0" applyFont="1" applyNumberFormat="1">
      <alignment vertical="center"/>
    </xf>
    <xf numFmtId="49" fontId="23" fillId="0" borderId="0" xfId="0" applyFont="1" applyNumberFormat="1">
      <alignment vertical="center" wrapText="1"/>
    </xf>
    <xf numFmtId="0" fontId="57" fillId="0" borderId="0" xfId="0" applyFont="1" applyNumberFormat="1">
      <alignment vertical="center" wrapText="1"/>
    </xf>
    <xf numFmtId="0" fontId="50" fillId="0" borderId="0" xfId="0" applyFont="1" applyNumberFormat="1">
      <alignment vertical="center" wrapText="1"/>
    </xf>
    <xf numFmtId="0" fontId="23" fillId="0" borderId="0" xfId="0" applyFont="1" applyNumberFormat="1">
      <alignment vertical="center" wrapText="1"/>
    </xf>
    <xf numFmtId="0" fontId="57" fillId="0" borderId="0" xfId="0" applyFont="1" applyNumberFormat="1">
      <alignment horizontal="left" vertical="center" indent="1"/>
    </xf>
    <xf numFmtId="0" fontId="57" fillId="0" borderId="16" xfId="0" applyFont="1" applyBorder="1" applyNumberFormat="1">
      <alignment horizontal="center" vertical="center"/>
    </xf>
    <xf numFmtId="0" fontId="57" fillId="0" borderId="0" xfId="0" applyFont="1" applyNumberFormat="1">
      <alignment horizontal="center" vertical="center"/>
    </xf>
    <xf numFmtId="0" fontId="57" fillId="0" borderId="0" xfId="0" applyFont="1" applyNumberFormat="1">
      <alignment horizontal="left" vertical="center" wrapText="1"/>
    </xf>
    <xf numFmtId="49" fontId="23" fillId="0" borderId="0" xfId="0" applyFont="1" applyNumberFormat="1">
      <alignment vertical="center" wrapText="1"/>
    </xf>
    <xf numFmtId="49" fontId="23" fillId="0" borderId="0" xfId="0" applyFont="1" applyNumberFormat="1">
      <alignment vertical="top"/>
    </xf>
    <xf numFmtId="49" fontId="23" fillId="0" borderId="28" xfId="0" applyFont="1" applyBorder="1" applyNumberFormat="1">
      <alignment vertical="top"/>
    </xf>
    <xf numFmtId="0" fontId="23" fillId="38" borderId="16" xfId="0" applyFont="1" applyFill="1" applyBorder="1" applyNumberFormat="1">
      <alignment horizontal="left" vertical="center" wrapText="1"/>
    </xf>
    <xf numFmtId="0" fontId="23" fillId="0" borderId="16" xfId="0" applyFont="1" applyBorder="1" applyNumberFormat="1">
      <alignment vertical="center" wrapText="1"/>
    </xf>
    <xf numFmtId="0" fontId="23" fillId="0" borderId="16" xfId="0" applyFont="1" applyBorder="1" applyNumberFormat="1">
      <alignment horizontal="left" vertical="center" wrapText="1" indent="6"/>
    </xf>
    <xf numFmtId="4" fontId="131" fillId="42" borderId="18" xfId="0" applyFont="1" applyFill="1" applyBorder="1" applyNumberFormat="1">
      <alignment horizontal="left" vertical="center" wrapText="1"/>
    </xf>
    <xf numFmtId="4" fontId="131" fillId="42" borderId="19" xfId="0" applyFont="1" applyFill="1" applyBorder="1" applyNumberFormat="1">
      <alignment horizontal="left" vertical="center" wrapText="1"/>
    </xf>
    <xf numFmtId="4" fontId="131" fillId="42" borderId="17" xfId="0" applyFont="1" applyFill="1" applyBorder="1" applyNumberFormat="1">
      <alignment horizontal="left" vertical="center" wrapText="1"/>
    </xf>
    <xf numFmtId="0" fontId="56" fillId="0" borderId="16" xfId="0" applyFont="1" applyBorder="1" applyNumberFormat="1">
      <alignment vertical="top" wrapText="1"/>
    </xf>
    <xf numFmtId="0" fontId="57" fillId="0" borderId="18" xfId="0" applyFont="1" applyBorder="1" applyNumberFormat="1">
      <alignment horizontal="center" vertical="center"/>
    </xf>
    <xf numFmtId="0" fontId="23" fillId="0" borderId="0" xfId="0" applyFont="1" applyNumberFormat="1">
      <alignment horizontal="center" vertical="center" wrapText="1"/>
    </xf>
    <xf numFmtId="0" fontId="53" fillId="38" borderId="0" xfId="0" applyFont="1" applyFill="1" applyNumberFormat="1">
      <alignment horizontal="center" vertical="center" wrapText="1"/>
    </xf>
    <xf numFmtId="0" fontId="23" fillId="0" borderId="28" xfId="0" applyFont="1" applyBorder="1" applyNumberFormat="1">
      <alignment vertical="center" wrapText="1"/>
    </xf>
    <xf numFmtId="0" fontId="23" fillId="38" borderId="16" xfId="0" applyFont="1" applyFill="1" applyBorder="1" applyNumberFormat="1">
      <alignment horizontal="left" vertical="center" wrapText="1" indent="1"/>
    </xf>
    <xf numFmtId="0" fontId="48" fillId="0" borderId="0" xfId="0" applyFont="1" applyNumberFormat="1">
      <alignment vertical="center" wrapText="1"/>
    </xf>
    <xf numFmtId="0" fontId="23" fillId="38" borderId="16" xfId="0" applyFont="1" applyFill="1" applyBorder="1" applyNumberFormat="1">
      <alignment horizontal="left" vertical="center" wrapText="1" indent="2"/>
    </xf>
    <xf numFmtId="0" fontId="23" fillId="38" borderId="16" xfId="0" applyFont="1" applyFill="1" applyBorder="1" applyNumberFormat="1">
      <alignment horizontal="left" vertical="center" wrapText="1" indent="3"/>
    </xf>
    <xf numFmtId="0" fontId="57" fillId="0" borderId="16" xfId="0" applyFont="1" applyBorder="1" applyNumberFormat="1">
      <alignment horizontal="center" vertical="center" wrapText="1"/>
    </xf>
    <xf numFmtId="0" fontId="57" fillId="0" borderId="0" xfId="0" applyFont="1" applyNumberFormat="1">
      <alignment vertical="center" wrapText="1"/>
    </xf>
    <xf numFmtId="0" fontId="58" fillId="0" borderId="0" xfId="0" applyFont="1" applyNumberFormat="1">
      <alignment horizontal="center" vertical="center" wrapText="1"/>
    </xf>
    <xf numFmtId="0" fontId="58" fillId="0" borderId="0" xfId="0" applyFont="1" applyNumberFormat="1">
      <alignment horizontal="center" vertical="center" wrapText="1"/>
    </xf>
    <xf numFmtId="0" fontId="58" fillId="0" borderId="28" xfId="0" applyFont="1" applyBorder="1" applyNumberFormat="1">
      <alignment horizontal="center" vertical="center" wrapText="1"/>
    </xf>
    <xf numFmtId="0" fontId="23" fillId="38" borderId="16" xfId="0" applyFont="1" applyFill="1" applyBorder="1" applyNumberFormat="1">
      <alignment horizontal="left" vertical="center" wrapText="1" indent="4"/>
    </xf>
    <xf numFmtId="0" fontId="23" fillId="46" borderId="18" xfId="0" applyFont="1" applyFill="1" applyBorder="1" applyNumberFormat="1">
      <alignment horizontal="left" vertical="center" wrapText="1"/>
    </xf>
    <xf numFmtId="0" fontId="23" fillId="46" borderId="19" xfId="0" applyFont="1" applyFill="1" applyBorder="1" applyNumberFormat="1">
      <alignment horizontal="left" vertical="center" wrapText="1"/>
    </xf>
    <xf numFmtId="0" fontId="23" fillId="46" borderId="17" xfId="0" applyFont="1" applyFill="1" applyBorder="1" applyNumberFormat="1">
      <alignment horizontal="left" vertical="center" wrapText="1"/>
    </xf>
    <xf numFmtId="0" fontId="57" fillId="0" borderId="18" xfId="0" applyFont="1" applyBorder="1" applyNumberFormat="1">
      <alignment horizontal="center" vertical="center" wrapText="1"/>
    </xf>
    <xf numFmtId="0" fontId="57" fillId="0" borderId="16" xfId="0" applyFont="1" applyBorder="1" applyNumberFormat="1">
      <alignment horizontal="center" vertical="center" wrapText="1"/>
    </xf>
    <xf numFmtId="0" fontId="57" fillId="0" borderId="0" xfId="0" applyFont="1" applyNumberFormat="1">
      <alignment vertical="center" wrapText="1"/>
    </xf>
    <xf numFmtId="0" fontId="58" fillId="0" borderId="28" xfId="0" applyFont="1" applyBorder="1" applyNumberFormat="1">
      <alignment vertical="center" wrapText="1"/>
    </xf>
    <xf numFmtId="0" fontId="23" fillId="38" borderId="16" xfId="0" applyFont="1" applyFill="1" applyBorder="1" applyNumberFormat="1">
      <alignment horizontal="left" vertical="center" wrapText="1" indent="5"/>
    </xf>
    <xf numFmtId="0" fontId="57" fillId="0" borderId="18" xfId="0" applyFont="1" applyBorder="1" applyNumberFormat="1">
      <alignment horizontal="center" vertical="center" wrapText="1"/>
    </xf>
    <xf numFmtId="0" fontId="23" fillId="46" borderId="16" xfId="0" applyFont="1" applyFill="1" applyBorder="1" applyNumberFormat="1">
      <alignment horizontal="left" vertical="center" wrapText="1" indent="6"/>
    </xf>
    <xf numFmtId="4" fontId="131" fillId="34" borderId="16" xfId="0" applyFont="1" applyFill="1" applyBorder="1" applyNumberFormat="1">
      <alignment horizontal="right" vertical="center" wrapText="1"/>
      <protection locked="0"/>
    </xf>
    <xf numFmtId="4" fontId="131" fillId="0" borderId="16" xfId="0" applyFont="1" applyBorder="1" applyNumberFormat="1">
      <alignment horizontal="right" vertical="center" wrapText="1"/>
    </xf>
    <xf numFmtId="165" fontId="131" fillId="34" borderId="16" xfId="0" applyFont="1" applyFill="1" applyBorder="1" applyNumberFormat="1">
      <alignment horizontal="right" vertical="center" wrapText="1"/>
      <protection locked="0"/>
    </xf>
    <xf numFmtId="170" fontId="0" fillId="45" borderId="16" xfId="0" applyFont="1" applyFill="1" applyBorder="1" applyNumberFormat="1">
      <alignment horizontal="center" vertical="center" wrapText="1"/>
      <protection locked="0"/>
    </xf>
    <xf numFmtId="0" fontId="56" fillId="0" borderId="21" xfId="0" applyFont="1" applyBorder="1" applyNumberFormat="1">
      <alignment horizontal="left" vertical="top" wrapText="1"/>
    </xf>
    <xf numFmtId="49" fontId="23" fillId="0" borderId="16" xfId="0" applyFont="1" applyBorder="1" applyNumberFormat="1">
      <alignment horizontal="left" vertical="center" wrapText="1"/>
    </xf>
    <xf numFmtId="4" fontId="133" fillId="0" borderId="16" xfId="0" applyFont="1" applyBorder="1" applyNumberFormat="1">
      <alignment horizontal="center" vertical="center" wrapText="1"/>
    </xf>
    <xf numFmtId="49" fontId="0" fillId="45" borderId="16" xfId="0" applyFont="1" applyFill="1" applyBorder="1" applyNumberFormat="1">
      <alignment horizontal="center" vertical="center" wrapText="1"/>
      <protection locked="0"/>
    </xf>
    <xf numFmtId="0" fontId="56" fillId="0" borderId="40" xfId="0" applyFont="1" applyBorder="1" applyNumberFormat="1">
      <alignment horizontal="left" vertical="top" wrapText="1"/>
    </xf>
    <xf numFmtId="49" fontId="78" fillId="44" borderId="18" xfId="0" applyFont="1" applyFill="1" applyBorder="1" applyNumberFormat="1">
      <alignment horizontal="left" vertical="center"/>
    </xf>
    <xf numFmtId="49" fontId="51" fillId="44" borderId="19" xfId="0" applyFont="1" applyFill="1" applyBorder="1" applyNumberFormat="1">
      <alignment horizontal="left" vertical="center" indent="6"/>
    </xf>
    <xf numFmtId="49" fontId="23" fillId="44" borderId="17" xfId="0" applyFont="1" applyFill="1" applyBorder="1" applyNumberFormat="1">
      <alignment horizontal="center" vertical="center" wrapText="1"/>
    </xf>
    <xf numFmtId="0" fontId="56" fillId="0" borderId="27" xfId="0" applyFont="1" applyBorder="1" applyNumberFormat="1">
      <alignment horizontal="left" vertical="top" wrapText="1"/>
    </xf>
    <xf numFmtId="49" fontId="51" fillId="44" borderId="19" xfId="0" applyFont="1" applyFill="1" applyBorder="1" applyNumberFormat="1">
      <alignment horizontal="left" vertical="center" indent="5"/>
    </xf>
    <xf numFmtId="49" fontId="0" fillId="44" borderId="19" xfId="0" applyFont="1" applyFill="1" applyBorder="1" applyNumberFormat="1">
      <alignment horizontal="center" vertical="center" wrapText="1"/>
    </xf>
    <xf numFmtId="49" fontId="0" fillId="44" borderId="17" xfId="0" applyFont="1" applyFill="1" applyBorder="1" applyNumberFormat="1">
      <alignment horizontal="center" vertical="center" wrapText="1"/>
    </xf>
    <xf numFmtId="49" fontId="50" fillId="0" borderId="0" xfId="0" applyFont="1" applyNumberFormat="1">
      <alignment vertical="top"/>
    </xf>
    <xf numFmtId="49" fontId="51" fillId="44" borderId="19" xfId="0" applyFont="1" applyFill="1" applyBorder="1" applyNumberFormat="1">
      <alignment horizontal="left" vertical="center" indent="4"/>
    </xf>
    <xf numFmtId="0" fontId="58" fillId="0" borderId="0" xfId="0" applyFont="1" applyNumberFormat="1">
      <alignment vertical="center" wrapText="1"/>
    </xf>
    <xf numFmtId="0" fontId="58" fillId="0" borderId="0" xfId="0" applyFont="1" applyNumberFormat="1">
      <alignment horizontal="left" vertical="center" indent="1"/>
    </xf>
    <xf numFmtId="0" fontId="58" fillId="0" borderId="0" xfId="0" applyFont="1" applyNumberFormat="1">
      <alignment horizontal="center" vertical="center"/>
    </xf>
    <xf numFmtId="0" fontId="58" fillId="0" borderId="0" xfId="0" applyFont="1" applyNumberFormat="1">
      <alignment horizontal="left" vertical="center" wrapText="1"/>
    </xf>
    <xf numFmtId="49" fontId="58" fillId="0" borderId="0" xfId="0" applyFont="1" applyNumberFormat="1">
      <alignment vertical="top"/>
    </xf>
    <xf numFmtId="49" fontId="116" fillId="0" borderId="0" xfId="0" applyFont="1" applyNumberFormat="1">
      <alignment vertical="top"/>
    </xf>
    <xf numFmtId="49" fontId="105" fillId="0" borderId="23" xfId="0" applyFont="1" applyBorder="1" applyNumberFormat="1">
      <alignment horizontal="left" vertical="center"/>
    </xf>
    <xf numFmtId="49" fontId="58" fillId="0" borderId="23" xfId="0" applyFont="1" applyBorder="1" applyNumberFormat="1">
      <alignment horizontal="left" vertical="center" indent="3"/>
    </xf>
    <xf numFmtId="49" fontId="58" fillId="0" borderId="23" xfId="0" applyFont="1" applyBorder="1" applyNumberFormat="1">
      <alignment horizontal="center" vertical="center" wrapText="1"/>
    </xf>
    <xf numFmtId="49" fontId="58" fillId="0" borderId="0" xfId="0" applyFont="1" applyNumberFormat="1">
      <alignment horizontal="left" vertical="center"/>
    </xf>
    <xf numFmtId="49" fontId="105" fillId="0" borderId="0" xfId="0" applyFont="1" applyNumberFormat="1">
      <alignment horizontal="left" vertical="center"/>
    </xf>
    <xf numFmtId="49" fontId="58" fillId="0" borderId="0" xfId="0" applyFont="1" applyNumberFormat="1">
      <alignment horizontal="left" vertical="center" indent="2"/>
    </xf>
    <xf numFmtId="49" fontId="58" fillId="0" borderId="0" xfId="0" applyFont="1" applyNumberFormat="1">
      <alignment horizontal="center" vertical="center" wrapText="1"/>
    </xf>
    <xf numFmtId="49" fontId="58" fillId="0" borderId="0" xfId="0" applyFont="1" applyNumberFormat="1">
      <alignment horizontal="left" vertical="center" indent="1"/>
    </xf>
    <xf numFmtId="49" fontId="23" fillId="0" borderId="0" xfId="0" applyFont="1" applyNumberFormat="1">
      <alignment vertical="center" wrapText="1"/>
    </xf>
    <xf numFmtId="4" fontId="132" fillId="0" borderId="16" xfId="0" applyFont="1" applyBorder="1" applyNumberFormat="1">
      <alignment horizontal="right" vertical="center" wrapText="1"/>
    </xf>
    <xf numFmtId="165" fontId="132" fillId="0" borderId="16" xfId="0" applyFont="1" applyBorder="1" applyNumberFormat="1">
      <alignment horizontal="right" vertical="center" wrapText="1"/>
    </xf>
    <xf numFmtId="170" fontId="57" fillId="0" borderId="16" xfId="0" applyFont="1" applyBorder="1" applyNumberFormat="1">
      <alignment horizontal="center" vertical="center" wrapText="1"/>
    </xf>
    <xf numFmtId="49" fontId="57" fillId="0" borderId="16" xfId="0" applyFont="1" applyBorder="1" applyNumberFormat="1">
      <alignment horizontal="center" vertical="center" wrapText="1"/>
    </xf>
    <xf numFmtId="0" fontId="57" fillId="0" borderId="0" xfId="0" applyFont="1" applyNumberFormat="1">
      <alignment vertical="center" wrapText="1"/>
    </xf>
    <xf numFmtId="0" fontId="57" fillId="0" borderId="0" xfId="0" applyFont="1" applyNumberFormat="1">
      <alignment horizontal="center" vertical="center" wrapText="1"/>
    </xf>
    <xf numFmtId="49" fontId="57" fillId="0" borderId="0" xfId="0" applyFont="1" applyNumberFormat="1">
      <alignment vertical="center" wrapText="1"/>
    </xf>
    <xf numFmtId="49" fontId="57" fillId="0" borderId="16" xfId="0" applyFont="1" applyBorder="1" applyNumberFormat="1">
      <alignment vertical="center" wrapText="1"/>
    </xf>
    <xf numFmtId="0" fontId="77" fillId="0" borderId="0" xfId="0" applyFont="1" applyNumberFormat="1">
      <alignment vertical="center" wrapText="1"/>
    </xf>
    <xf numFmtId="0" fontId="57" fillId="0" borderId="0" xfId="0" applyFont="1" applyNumberFormat="1">
      <alignment horizontal="left" vertical="center" wrapText="1"/>
    </xf>
    <xf numFmtId="0" fontId="23" fillId="38" borderId="0" xfId="0" applyFont="1" applyFill="1" applyNumberFormat="1">
      <alignment horizontal="left" vertical="center" wrapText="1"/>
    </xf>
    <xf numFmtId="0" fontId="22" fillId="0" borderId="23" xfId="0" applyFont="1" applyBorder="1" applyNumberFormat="1">
      <alignment horizontal="left" vertical="center" wrapText="1" indent="1"/>
    </xf>
    <xf numFmtId="0" fontId="22" fillId="0" borderId="0" xfId="0" applyFont="1" applyNumberFormat="1">
      <alignment vertical="center" wrapText="1"/>
    </xf>
    <xf numFmtId="0" fontId="22" fillId="0" borderId="32" xfId="0" applyFont="1" applyBorder="1" applyNumberFormat="1">
      <alignment horizontal="left" vertical="center" wrapText="1" indent="1"/>
    </xf>
    <xf numFmtId="0" fontId="36" fillId="38" borderId="0" xfId="0" applyFont="1" applyFill="1" applyNumberFormat="1">
      <alignment horizontal="center" vertical="center" wrapText="1"/>
    </xf>
    <xf numFmtId="0" fontId="0" fillId="0" borderId="0" xfId="0" applyFont="1" applyNumberFormat="1">
      <alignment vertical="center"/>
    </xf>
    <xf numFmtId="0" fontId="57" fillId="0" borderId="0" xfId="0" applyFont="1" applyNumberFormat="1">
      <alignment vertical="center"/>
    </xf>
    <xf numFmtId="0" fontId="57" fillId="0" borderId="0" xfId="0" applyFont="1" applyNumberFormat="1">
      <alignment horizontal="center" vertical="center"/>
    </xf>
    <xf numFmtId="0" fontId="0" fillId="38" borderId="16" xfId="0" applyFont="1" applyFill="1" applyBorder="1" applyNumberFormat="1">
      <alignment horizontal="right" vertical="center" wrapText="1" indent="1"/>
    </xf>
    <xf numFmtId="0" fontId="0" fillId="0" borderId="19" xfId="0" applyFont="1" applyBorder="1" applyNumberFormat="1">
      <alignment vertical="center"/>
    </xf>
    <xf numFmtId="0" fontId="23" fillId="42" borderId="16" xfId="0" applyFont="1" applyFill="1" applyBorder="1" applyNumberFormat="1">
      <alignment horizontal="left" vertical="center" wrapText="1" indent="1"/>
    </xf>
    <xf numFmtId="0" fontId="23" fillId="0" borderId="0" xfId="0" applyFont="1" applyNumberFormat="1">
      <alignment vertical="center" wrapText="1"/>
    </xf>
    <xf numFmtId="0" fontId="76" fillId="0" borderId="0" xfId="0" applyFont="1" applyNumberFormat="1">
      <alignment vertical="center"/>
    </xf>
    <xf numFmtId="0" fontId="58" fillId="0" borderId="0" xfId="0" applyFont="1" applyNumberFormat="1">
      <alignment vertical="center"/>
    </xf>
    <xf numFmtId="49" fontId="23" fillId="0" borderId="0" xfId="0" applyFont="1" applyNumberFormat="1">
      <alignment vertical="center" wrapText="1"/>
    </xf>
    <xf numFmtId="0" fontId="23" fillId="0" borderId="0" xfId="0" applyFont="1" applyNumberFormat="1">
      <alignment horizontal="right" vertical="center" wrapText="1"/>
    </xf>
    <xf numFmtId="0" fontId="58" fillId="0" borderId="0" xfId="0" applyFont="1" applyNumberFormat="1">
      <alignment vertical="center" wrapText="1"/>
    </xf>
    <xf numFmtId="0" fontId="23" fillId="38" borderId="32" xfId="0" applyFont="1" applyFill="1" applyBorder="1" applyNumberFormat="1">
      <alignment vertical="center" wrapText="1"/>
    </xf>
    <xf numFmtId="0" fontId="48" fillId="0" borderId="32" xfId="0" applyFont="1" applyBorder="1" applyNumberFormat="1">
      <alignment horizontal="center" vertical="center" wrapText="1"/>
    </xf>
    <xf numFmtId="0" fontId="23" fillId="38" borderId="16" xfId="0" applyFont="1" applyFill="1" applyBorder="1" applyNumberFormat="1">
      <alignment horizontal="left" vertical="center" wrapText="1"/>
    </xf>
    <xf numFmtId="0" fontId="23" fillId="0" borderId="21" xfId="0" applyFont="1" applyBorder="1" applyNumberFormat="1">
      <alignment vertical="center" wrapText="1"/>
    </xf>
    <xf numFmtId="0" fontId="0" fillId="38" borderId="18" xfId="0" applyFont="1" applyFill="1" applyBorder="1" applyNumberFormat="1">
      <alignment horizontal="center" vertical="center" wrapText="1"/>
    </xf>
    <xf numFmtId="0" fontId="0" fillId="38" borderId="19" xfId="0" applyFont="1" applyFill="1" applyBorder="1" applyNumberFormat="1">
      <alignment horizontal="center" vertical="center" wrapText="1"/>
    </xf>
    <xf numFmtId="0" fontId="0" fillId="38" borderId="17" xfId="0" applyFont="1" applyFill="1" applyBorder="1" applyNumberFormat="1">
      <alignment horizontal="center" vertical="center" wrapText="1"/>
    </xf>
    <xf numFmtId="0" fontId="23" fillId="38" borderId="21" xfId="0" applyFont="1" applyFill="1" applyBorder="1" applyNumberFormat="1">
      <alignment horizontal="center" vertical="center" wrapText="1"/>
    </xf>
    <xf numFmtId="49" fontId="51" fillId="44" borderId="21" xfId="0" applyFont="1" applyFill="1" applyBorder="1" applyNumberFormat="1">
      <alignment horizontal="center" vertical="center" textRotation="90" wrapText="1"/>
    </xf>
    <xf numFmtId="0" fontId="23" fillId="0" borderId="40" xfId="0" applyFont="1" applyBorder="1" applyNumberFormat="1">
      <alignment vertical="center" wrapText="1"/>
    </xf>
    <xf numFmtId="0" fontId="23" fillId="0" borderId="21" xfId="0" applyFont="1" applyBorder="1" applyNumberFormat="1">
      <alignment horizontal="center" vertical="center" wrapText="1"/>
    </xf>
    <xf numFmtId="0" fontId="57" fillId="0" borderId="2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7"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9" xfId="0" applyFont="1" applyBorder="1" applyNumberFormat="1">
      <alignment horizontal="center" vertical="center" wrapText="1"/>
    </xf>
    <xf numFmtId="0" fontId="23" fillId="0" borderId="17" xfId="0" applyFont="1" applyBorder="1" applyNumberFormat="1">
      <alignment horizontal="center" vertical="center" wrapText="1"/>
    </xf>
    <xf numFmtId="0" fontId="23" fillId="38" borderId="40" xfId="0" applyFont="1" applyFill="1" applyBorder="1" applyNumberFormat="1">
      <alignment horizontal="center" vertical="center" wrapText="1"/>
    </xf>
    <xf numFmtId="49" fontId="51" fillId="44" borderId="40" xfId="0" applyFont="1" applyFill="1" applyBorder="1" applyNumberFormat="1">
      <alignment horizontal="center" vertical="center" textRotation="90" wrapText="1"/>
    </xf>
    <xf numFmtId="0" fontId="23" fillId="0" borderId="27" xfId="0" applyFont="1" applyBorder="1" applyNumberFormat="1">
      <alignment vertical="center" wrapText="1"/>
    </xf>
    <xf numFmtId="0" fontId="23" fillId="0" borderId="27" xfId="0" applyFont="1" applyBorder="1" applyNumberFormat="1">
      <alignment horizontal="center" vertical="center" wrapText="1"/>
    </xf>
    <xf numFmtId="0" fontId="57" fillId="0" borderId="27"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7" xfId="0" applyFont="1" applyBorder="1" applyNumberFormat="1">
      <alignment horizontal="center" vertical="center" wrapText="1"/>
    </xf>
    <xf numFmtId="0" fontId="23" fillId="38" borderId="27" xfId="0" applyFont="1" applyFill="1" applyBorder="1" applyNumberFormat="1">
      <alignment horizontal="center" vertical="center" wrapText="1"/>
    </xf>
    <xf numFmtId="0" fontId="0" fillId="0" borderId="16" xfId="0" applyFont="1" applyBorder="1" applyNumberFormat="1">
      <alignment horizontal="center" vertical="center" wrapText="1"/>
    </xf>
    <xf numFmtId="49" fontId="51" fillId="44" borderId="27" xfId="0" applyFont="1" applyFill="1" applyBorder="1" applyNumberFormat="1">
      <alignment horizontal="center" vertical="center" textRotation="90" wrapText="1"/>
    </xf>
    <xf numFmtId="49" fontId="81" fillId="0" borderId="0" xfId="0" applyFont="1" applyNumberFormat="1">
      <alignment vertical="center" wrapText="1"/>
    </xf>
    <xf numFmtId="0" fontId="115" fillId="38" borderId="0" xfId="0" applyFont="1" applyFill="1" applyNumberFormat="1">
      <alignment vertical="center" wrapText="1"/>
    </xf>
    <xf numFmtId="0" fontId="116" fillId="38" borderId="0" xfId="0" applyFont="1" applyFill="1" applyNumberFormat="1">
      <alignment vertical="center" wrapText="1"/>
    </xf>
    <xf numFmtId="49" fontId="88" fillId="38" borderId="23" xfId="0" applyFont="1" applyFill="1" applyBorder="1" applyNumberFormat="1">
      <alignment horizontal="left" vertical="center" wrapText="1"/>
    </xf>
    <xf numFmtId="49" fontId="88" fillId="38" borderId="23" xfId="0" applyFont="1" applyFill="1" applyBorder="1" applyNumberFormat="1">
      <alignment horizontal="center" vertical="center" wrapText="1"/>
    </xf>
    <xf numFmtId="0" fontId="5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170" fontId="0" fillId="45" borderId="21" xfId="0" applyFont="1" applyFill="1" applyBorder="1" applyNumberFormat="1">
      <alignment horizontal="center" vertical="center" wrapText="1"/>
      <protection locked="0"/>
    </xf>
    <xf numFmtId="4" fontId="131" fillId="0" borderId="21" xfId="0" applyFont="1" applyBorder="1" applyNumberFormat="1">
      <alignment horizontal="right" vertical="center" wrapText="1"/>
    </xf>
    <xf numFmtId="49" fontId="23" fillId="0" borderId="16" xfId="0" applyFont="1" applyBorder="1" applyNumberFormat="1">
      <alignment horizontal="left" vertical="center" wrapText="1"/>
    </xf>
    <xf numFmtId="49" fontId="0" fillId="45" borderId="27" xfId="0" applyFont="1" applyFill="1" applyBorder="1" applyNumberFormat="1">
      <alignment horizontal="center" vertical="center" wrapText="1"/>
      <protection locked="0"/>
    </xf>
    <xf numFmtId="4" fontId="131" fillId="0" borderId="27" xfId="0" applyFont="1" applyBorder="1" applyNumberFormat="1">
      <alignment horizontal="right" vertical="center" wrapText="1"/>
    </xf>
    <xf numFmtId="0" fontId="58" fillId="0" borderId="0" xfId="0" applyFont="1" applyNumberFormat="1">
      <alignment vertical="center" wrapText="1"/>
    </xf>
    <xf numFmtId="0" fontId="58" fillId="0" borderId="0" xfId="0" applyFont="1" applyNumberFormat="1">
      <alignment horizontal="center" vertical="center"/>
    </xf>
    <xf numFmtId="0" fontId="58" fillId="0" borderId="0" xfId="0" applyFont="1" applyNumberFormat="1">
      <alignment vertical="center" wrapText="1"/>
    </xf>
    <xf numFmtId="49" fontId="58" fillId="0" borderId="0" xfId="0" applyFont="1" applyNumberFormat="1">
      <alignment vertical="top"/>
    </xf>
    <xf numFmtId="49" fontId="116" fillId="0" borderId="0" xfId="0" applyFont="1" applyNumberFormat="1">
      <alignment vertical="top"/>
    </xf>
    <xf numFmtId="0" fontId="23" fillId="0" borderId="0" xfId="0" applyFont="1" applyNumberFormat="1">
      <alignment horizontal="right" vertical="top" wrapText="1"/>
    </xf>
    <xf numFmtId="0" fontId="23" fillId="0" borderId="0" xfId="0" applyFont="1" applyNumberFormat="1">
      <alignment horizontal="left" vertical="top" wrapText="1"/>
    </xf>
    <xf numFmtId="49" fontId="23" fillId="0" borderId="0" xfId="0" applyFont="1" applyNumberFormat="1">
      <alignment vertical="center" wrapText="1"/>
    </xf>
    <xf numFmtId="0" fontId="57" fillId="0" borderId="0" xfId="0" applyFont="1" applyNumberFormat="1">
      <alignment horizontal="center" vertical="center" wrapText="1"/>
    </xf>
    <xf numFmtId="49" fontId="57" fillId="0" borderId="0" xfId="0" applyFont="1" applyNumberFormat="1">
      <alignment vertical="center" wrapText="1"/>
    </xf>
    <xf numFmtId="49" fontId="23" fillId="0" borderId="0" xfId="0" applyFont="1" applyNumberFormat="1">
      <alignment vertical="center" wrapText="1"/>
    </xf>
    <xf numFmtId="0" fontId="50" fillId="0" borderId="0" xfId="0" applyFont="1" applyNumberFormat="1">
      <alignment vertical="center" wrapText="1"/>
    </xf>
    <xf numFmtId="0" fontId="23" fillId="0" borderId="0" xfId="0" applyFont="1" applyNumberFormat="1">
      <alignment horizontal="left"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23" fillId="0" borderId="0" xfId="0" applyFont="1" applyNumberFormat="1">
      <alignment horizontal="right"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49" fontId="23" fillId="0" borderId="0" xfId="0" applyFont="1" applyNumberFormat="1">
      <alignment vertical="center" wrapText="1"/>
    </xf>
    <xf numFmtId="165" fontId="131" fillId="0" borderId="16" xfId="0" applyFont="1" applyBorder="1" applyNumberFormat="1">
      <alignment horizontal="right" vertical="center" wrapText="1"/>
    </xf>
    <xf numFmtId="0" fontId="0" fillId="38" borderId="23" xfId="0" applyFont="1" applyFill="1" applyBorder="1" applyNumberFormat="1">
      <alignment horizontal="center" vertical="center" wrapText="1"/>
    </xf>
    <xf numFmtId="0" fontId="58" fillId="0" borderId="21" xfId="0" applyFont="1" applyBorder="1" applyNumberFormat="1">
      <alignment horizontal="center" vertical="center" wrapText="1"/>
    </xf>
    <xf numFmtId="0" fontId="23" fillId="0" borderId="41" xfId="0" applyFont="1" applyBorder="1" applyNumberFormat="1">
      <alignment horizontal="center" vertical="center" wrapText="1"/>
    </xf>
    <xf numFmtId="0" fontId="58" fillId="0" borderId="16" xfId="0" applyFont="1" applyBorder="1" applyNumberFormat="1">
      <alignment vertical="center" wrapText="1"/>
    </xf>
    <xf numFmtId="0" fontId="23" fillId="0" borderId="0" xfId="0" applyFont="1" applyNumberFormat="1">
      <alignment vertical="center"/>
    </xf>
    <xf numFmtId="0" fontId="58" fillId="0" borderId="27" xfId="0" applyFont="1" applyBorder="1" applyNumberFormat="1">
      <alignment horizontal="center" vertical="center" wrapText="1"/>
    </xf>
    <xf numFmtId="0" fontId="23" fillId="0" borderId="31" xfId="0" applyFont="1" applyBorder="1" applyNumberFormat="1">
      <alignment horizontal="center" vertical="center" wrapText="1"/>
    </xf>
    <xf numFmtId="0" fontId="58" fillId="0" borderId="16" xfId="0" applyFont="1" applyBorder="1" applyNumberFormat="1">
      <alignment horizontal="center" vertical="center" wrapText="1"/>
    </xf>
    <xf numFmtId="0" fontId="0" fillId="0" borderId="17" xfId="0" applyFont="1" applyBorder="1" applyNumberFormat="1">
      <alignment horizontal="center" vertical="center" wrapText="1"/>
    </xf>
    <xf numFmtId="0" fontId="88" fillId="38" borderId="0" xfId="0" applyFont="1" applyFill="1" applyNumberFormat="1">
      <alignment horizontal="center" vertical="center" wrapText="1"/>
    </xf>
    <xf numFmtId="0" fontId="58" fillId="0" borderId="16" xfId="0" applyFont="1" applyBorder="1" applyNumberFormat="1">
      <alignment horizontal="left" vertical="center" wrapText="1" indent="4"/>
    </xf>
    <xf numFmtId="0" fontId="58" fillId="0" borderId="16" xfId="0" applyFont="1" applyBorder="1" applyNumberFormat="1">
      <alignment horizontal="left" vertical="center" wrapText="1" indent="6"/>
    </xf>
    <xf numFmtId="0" fontId="58" fillId="0" borderId="18" xfId="0" applyFont="1" applyBorder="1" applyNumberFormat="1">
      <alignment horizontal="left" vertical="center" wrapText="1"/>
    </xf>
    <xf numFmtId="0" fontId="58" fillId="0" borderId="19" xfId="0" applyFont="1" applyBorder="1" applyNumberFormat="1">
      <alignment horizontal="left" vertical="center" wrapText="1"/>
    </xf>
    <xf numFmtId="0" fontId="58" fillId="0" borderId="17" xfId="0" applyFont="1" applyBorder="1" applyNumberFormat="1">
      <alignment horizontal="left" vertical="center" wrapText="1"/>
    </xf>
    <xf numFmtId="0" fontId="58" fillId="0" borderId="16" xfId="0" applyFont="1" applyBorder="1" applyNumberFormat="1">
      <alignment vertical="top" wrapText="1"/>
    </xf>
    <xf numFmtId="49" fontId="105" fillId="0" borderId="18" xfId="0" applyFont="1" applyBorder="1" applyNumberFormat="1">
      <alignment horizontal="left" vertical="center"/>
    </xf>
    <xf numFmtId="49" fontId="58" fillId="0" borderId="19" xfId="0" applyFont="1" applyBorder="1" applyNumberFormat="1">
      <alignment horizontal="left" vertical="center" indent="4"/>
    </xf>
    <xf numFmtId="49" fontId="58" fillId="0" borderId="19" xfId="0" applyFont="1" applyBorder="1" applyNumberFormat="1">
      <alignment horizontal="center" vertical="center" wrapText="1"/>
    </xf>
    <xf numFmtId="49" fontId="58" fillId="0" borderId="17" xfId="0" applyFont="1" applyBorder="1" applyNumberFormat="1">
      <alignment horizontal="center" vertical="center" wrapText="1"/>
    </xf>
    <xf numFmtId="49" fontId="58" fillId="0" borderId="0" xfId="0" applyFont="1" applyNumberFormat="1">
      <alignment vertical="center" wrapText="1"/>
    </xf>
    <xf numFmtId="0" fontId="0" fillId="0" borderId="0" xfId="0" applyFont="1" applyNumberFormat="1">
      <alignment horizontal="left" vertical="top" wrapText="1"/>
    </xf>
    <xf numFmtId="0" fontId="23" fillId="0" borderId="16" xfId="0" applyFont="1" applyBorder="1" applyNumberFormat="1">
      <alignment horizontal="center" vertical="center"/>
    </xf>
    <xf numFmtId="0" fontId="23" fillId="0" borderId="0" xfId="0" applyFont="1" applyNumberFormat="1">
      <alignment horizontal="center" vertical="center"/>
    </xf>
    <xf numFmtId="0" fontId="23" fillId="0" borderId="0" xfId="0" applyFont="1" applyNumberFormat="1">
      <alignment horizontal="left" vertical="center" wrapText="1"/>
    </xf>
    <xf numFmtId="0" fontId="23" fillId="0" borderId="18" xfId="0" applyFont="1" applyBorder="1" applyNumberFormat="1">
      <alignment horizontal="center" vertical="center"/>
    </xf>
    <xf numFmtId="0" fontId="23" fillId="0" borderId="16" xfId="0" applyFont="1" applyBorder="1" applyNumberFormat="1">
      <alignment horizontal="center" vertical="center" wrapText="1"/>
    </xf>
    <xf numFmtId="0" fontId="23" fillId="46" borderId="23" xfId="0" applyFont="1" applyFill="1" applyBorder="1" applyNumberFormat="1">
      <alignment horizontal="left" vertical="center" wrapText="1"/>
    </xf>
    <xf numFmtId="0" fontId="23" fillId="46" borderId="24" xfId="0" applyFont="1" applyFill="1" applyBorder="1" applyNumberFormat="1">
      <alignment horizontal="left" vertical="center" wrapText="1"/>
    </xf>
    <xf numFmtId="0" fontId="23" fillId="0" borderId="18" xfId="0" applyFont="1" applyBorder="1" applyNumberFormat="1">
      <alignment horizontal="center" vertical="center" wrapText="1"/>
    </xf>
    <xf numFmtId="0" fontId="23" fillId="0" borderId="0" xfId="0" applyFont="1" applyNumberFormat="1">
      <alignment horizontal="center" vertical="center" wrapText="1"/>
    </xf>
    <xf numFmtId="165" fontId="131" fillId="34" borderId="18" xfId="0" applyFont="1" applyFill="1" applyBorder="1" applyNumberFormat="1">
      <alignment horizontal="right" vertical="center" wrapText="1"/>
      <protection locked="0"/>
    </xf>
    <xf numFmtId="4" fontId="131" fillId="34" borderId="17" xfId="0" applyFont="1" applyFill="1" applyBorder="1" applyNumberFormat="1">
      <alignment horizontal="right" vertical="center" wrapText="1"/>
      <protection locked="0"/>
    </xf>
    <xf numFmtId="0" fontId="56" fillId="0" borderId="21" xfId="0" applyFont="1" applyBorder="1" applyNumberFormat="1">
      <alignment vertical="top" wrapText="1"/>
    </xf>
    <xf numFmtId="0" fontId="23" fillId="34" borderId="16" xfId="0" applyFont="1" applyFill="1" applyBorder="1" applyNumberFormat="1">
      <alignment horizontal="left" vertical="center" wrapText="1" indent="7"/>
      <protection locked="0"/>
    </xf>
    <xf numFmtId="49" fontId="0" fillId="45" borderId="16" xfId="0" applyFont="1" applyFill="1" applyBorder="1" applyNumberFormat="1">
      <alignment horizontal="center" vertical="center" wrapText="1"/>
      <protection locked="0"/>
    </xf>
    <xf numFmtId="4" fontId="133" fillId="0" borderId="18" xfId="0" applyFont="1" applyBorder="1" applyNumberFormat="1">
      <alignment horizontal="center" vertical="center" wrapText="1"/>
    </xf>
    <xf numFmtId="4" fontId="131" fillId="0" borderId="17" xfId="0" applyFont="1" applyBorder="1" applyNumberFormat="1">
      <alignment horizontal="right" vertical="center" wrapText="1"/>
    </xf>
    <xf numFmtId="0" fontId="23" fillId="44" borderId="19" xfId="0" applyFont="1" applyFill="1" applyBorder="1" applyNumberFormat="1">
      <alignment horizontal="left" vertical="center" wrapText="1" indent="6"/>
    </xf>
    <xf numFmtId="4" fontId="131" fillId="44" borderId="19" xfId="0" applyFont="1" applyFill="1" applyBorder="1" applyNumberFormat="1">
      <alignment horizontal="right" vertical="center" wrapText="1"/>
    </xf>
    <xf numFmtId="4" fontId="133" fillId="44" borderId="19" xfId="0" applyFont="1" applyFill="1" applyBorder="1" applyNumberFormat="1">
      <alignment horizontal="center" vertical="center" wrapText="1"/>
    </xf>
    <xf numFmtId="4" fontId="131" fillId="44" borderId="17" xfId="0" applyFont="1" applyFill="1" applyBorder="1" applyNumberFormat="1">
      <alignment horizontal="right" vertical="center" wrapText="1"/>
    </xf>
    <xf numFmtId="49" fontId="23" fillId="44" borderId="32" xfId="0" applyFont="1" applyFill="1" applyBorder="1" applyNumberFormat="1">
      <alignment horizontal="center" vertical="center" wrapText="1"/>
    </xf>
    <xf numFmtId="0" fontId="81" fillId="0" borderId="0" xfId="0" applyFont="1" applyNumberFormat="1">
      <alignment horizontal="left" vertical="center" indent="1"/>
    </xf>
    <xf numFmtId="0" fontId="81" fillId="0" borderId="0" xfId="0" applyFont="1" applyNumberFormat="1">
      <alignment horizontal="center" vertical="center"/>
    </xf>
    <xf numFmtId="0" fontId="81" fillId="0" borderId="0" xfId="0" applyFont="1" applyNumberFormat="1">
      <alignment horizontal="left" vertical="center" wrapText="1"/>
    </xf>
    <xf numFmtId="0" fontId="81" fillId="0" borderId="0" xfId="0" applyFont="1" applyNumberFormat="1">
      <alignment vertical="center" wrapText="1"/>
    </xf>
    <xf numFmtId="49" fontId="81" fillId="0" borderId="0" xfId="0" applyFont="1" applyNumberFormat="1">
      <alignment horizontal="left" vertical="center"/>
    </xf>
    <xf numFmtId="0" fontId="23" fillId="0" borderId="0" xfId="0" applyFont="1" applyNumberFormat="1">
      <alignment horizontal="center" vertical="center" wrapText="1"/>
    </xf>
    <xf numFmtId="49" fontId="23" fillId="0" borderId="16" xfId="0" applyFont="1" applyBorder="1" applyNumberFormat="1">
      <alignment vertical="center" wrapText="1"/>
    </xf>
    <xf numFmtId="0" fontId="23" fillId="0" borderId="0" xfId="0" applyFont="1" applyNumberFormat="1">
      <alignment vertical="center"/>
    </xf>
    <xf numFmtId="0" fontId="23" fillId="0" borderId="0" xfId="0" applyFont="1" applyNumberFormat="1">
      <alignment horizontal="center" vertical="center"/>
    </xf>
    <xf numFmtId="0" fontId="23" fillId="0" borderId="16" xfId="0" applyFont="1" applyBorder="1" applyNumberFormat="1">
      <alignment horizontal="center" vertical="center" wrapText="1"/>
    </xf>
    <xf numFmtId="0" fontId="23" fillId="0" borderId="41" xfId="0" applyFont="1" applyBorder="1" applyNumberFormat="1">
      <alignment horizontal="center" vertical="center" wrapText="1"/>
    </xf>
    <xf numFmtId="0" fontId="23" fillId="0" borderId="23" xfId="0" applyFont="1" applyBorder="1" applyNumberFormat="1">
      <alignment horizontal="center" vertical="center" wrapText="1"/>
    </xf>
    <xf numFmtId="0" fontId="23" fillId="0" borderId="24" xfId="0" applyFont="1" applyBorder="1" applyNumberFormat="1">
      <alignment horizontal="center" vertical="center" wrapText="1"/>
    </xf>
    <xf numFmtId="0" fontId="23" fillId="0" borderId="26"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9" xfId="0" applyFont="1" applyBorder="1" applyNumberFormat="1">
      <alignment horizontal="center" vertical="center" wrapText="1"/>
    </xf>
    <xf numFmtId="0" fontId="0" fillId="0" borderId="17" xfId="0" applyFont="1" applyBorder="1" applyNumberFormat="1">
      <alignment horizontal="center" vertical="center" wrapText="1"/>
    </xf>
    <xf numFmtId="0" fontId="23" fillId="0" borderId="31" xfId="0" applyFont="1" applyBorder="1" applyNumberFormat="1">
      <alignment horizontal="center" vertical="center" wrapText="1"/>
    </xf>
    <xf numFmtId="0" fontId="23" fillId="0" borderId="32" xfId="0" applyFont="1" applyBorder="1" applyNumberFormat="1">
      <alignment horizontal="center" vertical="center" wrapText="1"/>
    </xf>
    <xf numFmtId="0" fontId="23" fillId="0" borderId="34" xfId="0" applyFont="1" applyBorder="1" applyNumberFormat="1">
      <alignment horizontal="center" vertical="center" wrapText="1"/>
    </xf>
    <xf numFmtId="0" fontId="0" fillId="0" borderId="40" xfId="0" applyFont="1" applyBorder="1" applyNumberFormat="1">
      <alignment horizontal="center" vertical="center" wrapText="1"/>
    </xf>
    <xf numFmtId="0" fontId="0" fillId="0" borderId="21" xfId="0" applyFont="1" applyBorder="1" applyNumberFormat="1">
      <alignment horizontal="center" vertical="center" wrapText="1"/>
    </xf>
    <xf numFmtId="0" fontId="0" fillId="0" borderId="41" xfId="0" applyFont="1" applyBorder="1" applyNumberFormat="1">
      <alignment horizontal="center" vertical="center" wrapText="1"/>
    </xf>
    <xf numFmtId="0" fontId="0" fillId="0" borderId="24"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1" xfId="0" applyFont="1" applyBorder="1" applyNumberFormat="1">
      <alignment horizontal="center" vertical="center" wrapText="1"/>
    </xf>
    <xf numFmtId="0" fontId="0" fillId="0" borderId="34" xfId="0" applyFont="1" applyBorder="1" applyNumberFormat="1">
      <alignment horizontal="center" vertical="center" wrapText="1"/>
    </xf>
    <xf numFmtId="0" fontId="23" fillId="0" borderId="16" xfId="0" applyFont="1" applyBorder="1" applyNumberFormat="1">
      <alignment horizontal="center" vertical="center"/>
    </xf>
    <xf numFmtId="0" fontId="81" fillId="0" borderId="0" xfId="0" applyFont="1" applyNumberFormat="1">
      <alignment horizontal="left" vertical="center" indent="1"/>
    </xf>
    <xf numFmtId="0" fontId="23" fillId="0" borderId="18" xfId="0" applyFont="1" applyBorder="1" applyNumberFormat="1">
      <alignment horizontal="center" vertical="center"/>
    </xf>
    <xf numFmtId="0" fontId="81" fillId="0" borderId="0" xfId="0" applyFont="1" applyNumberFormat="1">
      <alignment horizontal="center" vertical="center"/>
    </xf>
    <xf numFmtId="0" fontId="23" fillId="0" borderId="0" xfId="0" applyFont="1" applyNumberFormat="1">
      <alignment horizontal="center" vertical="center" wrapText="1"/>
    </xf>
    <xf numFmtId="49" fontId="57" fillId="0" borderId="0" xfId="0" applyFont="1" applyNumberFormat="1">
      <alignment vertical="center" wrapText="1"/>
    </xf>
    <xf numFmtId="0" fontId="57" fillId="0" borderId="0" xfId="0" applyFont="1" applyNumberFormat="1">
      <alignment horizontal="center" vertical="center" wrapText="1"/>
    </xf>
    <xf numFmtId="0" fontId="64" fillId="38" borderId="0" xfId="0" applyFont="1" applyFill="1" applyNumberFormat="1">
      <alignment horizontal="center" vertical="center" wrapText="1"/>
    </xf>
    <xf numFmtId="0" fontId="64" fillId="0" borderId="0" xfId="0" applyFont="1" applyNumberFormat="1">
      <alignment vertical="center" wrapText="1"/>
    </xf>
    <xf numFmtId="0" fontId="58" fillId="0" borderId="16" xfId="0" applyFont="1" applyBorder="1" applyNumberFormat="1">
      <alignment horizontal="left" vertical="center" wrapText="1" indent="5"/>
    </xf>
    <xf numFmtId="0" fontId="58" fillId="0" borderId="28" xfId="0" applyFont="1" applyBorder="1" applyNumberFormat="1">
      <alignment horizontal="center" vertical="top" wrapText="1"/>
    </xf>
    <xf numFmtId="0" fontId="23" fillId="38" borderId="21" xfId="0" applyFont="1" applyFill="1" applyBorder="1" applyNumberFormat="1">
      <alignment horizontal="left" vertical="center" wrapText="1"/>
    </xf>
    <xf numFmtId="49" fontId="23" fillId="45" borderId="21" xfId="0" applyFont="1" applyFill="1" applyBorder="1" applyNumberFormat="1">
      <alignment horizontal="left" vertical="center" wrapText="1" indent="6"/>
      <protection locked="0"/>
    </xf>
    <xf numFmtId="0" fontId="48" fillId="0" borderId="16" xfId="0" applyFont="1" applyBorder="1" applyNumberFormat="1">
      <alignment horizontal="center" vertical="center" wrapText="1"/>
    </xf>
    <xf numFmtId="49" fontId="23" fillId="38" borderId="16" xfId="0" applyFont="1" applyFill="1" applyBorder="1" applyNumberFormat="1">
      <alignment horizontal="center" vertical="center" wrapText="1"/>
    </xf>
    <xf numFmtId="49" fontId="23" fillId="46" borderId="16" xfId="0" applyFont="1" applyFill="1" applyBorder="1" applyNumberFormat="1">
      <alignment horizontal="left" vertical="center" wrapText="1" indent="1"/>
    </xf>
    <xf numFmtId="0" fontId="23" fillId="0" borderId="16" xfId="0" applyFont="1" applyBorder="1" applyNumberFormat="1">
      <alignment horizontal="left" vertical="center" wrapText="1" indent="4"/>
    </xf>
    <xf numFmtId="49" fontId="23" fillId="38" borderId="16" xfId="0" applyFont="1" applyFill="1" applyBorder="1" applyNumberFormat="1">
      <alignment horizontal="center" vertical="center" wrapText="1"/>
    </xf>
    <xf numFmtId="0" fontId="23" fillId="46" borderId="16" xfId="0" applyFont="1" applyFill="1" applyBorder="1" applyNumberFormat="1">
      <alignment horizontal="left" vertical="center" wrapText="1" indent="1"/>
    </xf>
    <xf numFmtId="49" fontId="23" fillId="46" borderId="16" xfId="0" applyFont="1" applyFill="1" applyBorder="1" applyNumberFormat="1">
      <alignment horizontal="center" vertical="center" wrapText="1"/>
    </xf>
    <xf numFmtId="0" fontId="23" fillId="38" borderId="40" xfId="0" applyFont="1" applyFill="1" applyBorder="1" applyNumberFormat="1">
      <alignment horizontal="left" vertical="center" wrapText="1"/>
    </xf>
    <xf numFmtId="49" fontId="23" fillId="45" borderId="40" xfId="0" applyFont="1" applyFill="1" applyBorder="1" applyNumberFormat="1">
      <alignment horizontal="left" vertical="center" wrapText="1" indent="6"/>
      <protection locked="0"/>
    </xf>
    <xf numFmtId="165" fontId="131" fillId="44" borderId="17" xfId="0" applyFont="1" applyFill="1" applyBorder="1" applyNumberFormat="1">
      <alignment horizontal="right" vertical="center" wrapText="1"/>
    </xf>
    <xf numFmtId="49" fontId="51" fillId="44" borderId="18" xfId="0" applyFont="1" applyFill="1" applyBorder="1" applyNumberFormat="1">
      <alignment horizontal="left" vertical="center"/>
    </xf>
    <xf numFmtId="165" fontId="131" fillId="44" borderId="19" xfId="0" applyFont="1" applyFill="1" applyBorder="1" applyNumberFormat="1">
      <alignment horizontal="right" vertical="center" wrapText="1"/>
    </xf>
    <xf numFmtId="4" fontId="131" fillId="0" borderId="40" xfId="0" applyFont="1" applyBorder="1" applyNumberFormat="1">
      <alignment horizontal="right" vertical="center" wrapText="1"/>
    </xf>
    <xf numFmtId="49" fontId="51" fillId="44" borderId="18" xfId="0" applyFont="1" applyFill="1" applyBorder="1" applyNumberFormat="1">
      <alignment horizontal="left" vertical="center" indent="1"/>
    </xf>
    <xf numFmtId="0" fontId="23" fillId="38" borderId="27" xfId="0" applyFont="1" applyFill="1" applyBorder="1" applyNumberFormat="1">
      <alignment horizontal="left" vertical="center" wrapText="1"/>
    </xf>
    <xf numFmtId="49" fontId="23" fillId="45" borderId="27" xfId="0" applyFont="1" applyFill="1" applyBorder="1" applyNumberFormat="1">
      <alignment horizontal="left" vertical="center" wrapText="1" indent="6"/>
      <protection locked="0"/>
    </xf>
    <xf numFmtId="4" fontId="133" fillId="44" borderId="17" xfId="0" applyFont="1" applyFill="1" applyBorder="1" applyNumberFormat="1">
      <alignment horizontal="center" vertical="center" wrapText="1"/>
    </xf>
    <xf numFmtId="49" fontId="51" fillId="44" borderId="18" xfId="0" applyFont="1" applyFill="1" applyBorder="1" applyNumberFormat="1">
      <alignment vertical="center" wrapText="1"/>
    </xf>
    <xf numFmtId="49" fontId="51" fillId="44" borderId="19" xfId="0" applyFont="1" applyFill="1" applyBorder="1" applyNumberFormat="1">
      <alignment vertical="center" wrapText="1"/>
    </xf>
    <xf numFmtId="49" fontId="58" fillId="0" borderId="28" xfId="0" applyFont="1" applyBorder="1" applyNumberFormat="1">
      <alignment vertical="top"/>
    </xf>
    <xf numFmtId="0" fontId="120" fillId="0" borderId="0" xfId="0" applyFont="1" applyNumberFormat="1">
      <alignment horizontal="center" vertical="center" wrapText="1"/>
    </xf>
    <xf numFmtId="49" fontId="58" fillId="0" borderId="0" xfId="0" applyFont="1" applyNumberFormat="1">
      <alignment horizontal="center" vertical="center" wrapText="1"/>
    </xf>
    <xf numFmtId="49" fontId="58" fillId="0" borderId="0" xfId="0" applyFont="1" applyNumberFormat="1">
      <alignment horizontal="left" vertical="center" wrapText="1" indent="1"/>
    </xf>
    <xf numFmtId="0" fontId="58" fillId="0" borderId="0" xfId="0" applyFont="1" applyNumberFormat="1">
      <alignment horizontal="left" vertical="center" wrapText="1" indent="4"/>
    </xf>
    <xf numFmtId="0" fontId="58" fillId="0" borderId="28" xfId="0" applyFont="1" applyBorder="1" applyNumberFormat="1">
      <alignment horizontal="left" vertical="center" wrapText="1" indent="1"/>
    </xf>
    <xf numFmtId="4" fontId="133" fillId="0" borderId="16" xfId="0" applyFont="1" applyBorder="1" applyNumberFormat="1">
      <alignment horizontal="right" vertical="center" wrapText="1"/>
    </xf>
    <xf numFmtId="165" fontId="133" fillId="0" borderId="16" xfId="0" applyFont="1" applyBorder="1" applyNumberFormat="1">
      <alignment horizontal="right" vertical="center" wrapText="1"/>
    </xf>
    <xf numFmtId="170" fontId="58" fillId="0" borderId="16" xfId="0" applyFont="1" applyBorder="1" applyNumberFormat="1">
      <alignment horizontal="center" vertical="center" wrapText="1"/>
    </xf>
    <xf numFmtId="49" fontId="58" fillId="0" borderId="16" xfId="0" applyFont="1" applyBorder="1" applyNumberFormat="1">
      <alignment horizontal="center" vertical="center" wrapText="1"/>
    </xf>
    <xf numFmtId="0" fontId="57" fillId="0" borderId="0" xfId="0" applyFont="1" applyNumberFormat="1">
      <alignment horizontal="left" vertical="center"/>
    </xf>
    <xf numFmtId="49" fontId="57" fillId="0" borderId="0" xfId="0" applyFont="1" applyNumberFormat="1">
      <alignment horizontal="left" vertical="center"/>
    </xf>
    <xf numFmtId="0" fontId="57" fillId="0" borderId="0" xfId="0" applyFont="1" applyNumberFormat="1">
      <alignment horizontal="left" vertical="center"/>
    </xf>
    <xf numFmtId="0" fontId="77" fillId="0" borderId="0" xfId="0" applyFont="1" applyNumberFormat="1">
      <alignment horizontal="left" vertical="center"/>
    </xf>
    <xf numFmtId="0" fontId="57" fillId="0" borderId="0" xfId="0" applyFont="1" applyNumberFormat="1">
      <alignment horizontal="left" vertical="center"/>
    </xf>
    <xf numFmtId="0" fontId="58" fillId="0" borderId="0" xfId="0" applyFont="1" applyNumberFormat="1">
      <alignment horizontal="left" vertical="center"/>
    </xf>
    <xf numFmtId="0" fontId="77" fillId="38" borderId="0" xfId="0" applyFont="1" applyFill="1" applyNumberFormat="1">
      <alignment vertical="center" wrapText="1"/>
    </xf>
    <xf numFmtId="0" fontId="0" fillId="38" borderId="41" xfId="0" applyFont="1" applyFill="1" applyBorder="1" applyNumberFormat="1">
      <alignment horizontal="center" vertical="center" wrapText="1"/>
    </xf>
    <xf numFmtId="0" fontId="0" fillId="38" borderId="24" xfId="0" applyFont="1" applyFill="1" applyBorder="1" applyNumberFormat="1">
      <alignment horizontal="center" vertical="center" wrapText="1"/>
    </xf>
    <xf numFmtId="0" fontId="0" fillId="38" borderId="26" xfId="0" applyFont="1" applyFill="1" applyBorder="1" applyNumberFormat="1">
      <alignment horizontal="center" vertical="center" wrapText="1"/>
    </xf>
    <xf numFmtId="0" fontId="0" fillId="38" borderId="0" xfId="0" applyFont="1" applyFill="1" applyNumberFormat="1">
      <alignment horizontal="center" vertical="center" wrapText="1"/>
    </xf>
    <xf numFmtId="0" fontId="0" fillId="38" borderId="28"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0" fillId="38" borderId="31" xfId="0" applyFont="1" applyFill="1" applyBorder="1" applyNumberFormat="1">
      <alignment horizontal="center" vertical="center" wrapText="1"/>
    </xf>
    <xf numFmtId="0" fontId="0" fillId="38" borderId="32" xfId="0" applyFont="1" applyFill="1" applyBorder="1" applyNumberFormat="1">
      <alignment horizontal="center" vertical="center" wrapText="1"/>
    </xf>
    <xf numFmtId="0" fontId="0" fillId="38" borderId="34" xfId="0" applyFont="1" applyFill="1" applyBorder="1" applyNumberFormat="1">
      <alignment horizontal="center" vertical="center" wrapText="1"/>
    </xf>
    <xf numFmtId="49" fontId="23" fillId="0" borderId="16" xfId="0" applyFont="1" applyBorder="1" applyNumberFormat="1">
      <alignment horizontal="left" vertical="center" wrapText="1" indent="1"/>
    </xf>
    <xf numFmtId="0" fontId="23" fillId="0" borderId="16" xfId="0" applyFont="1" applyBorder="1" applyNumberFormat="1">
      <alignment horizontal="left" vertical="center" wrapText="1" indent="1"/>
    </xf>
    <xf numFmtId="49" fontId="23" fillId="44" borderId="18" xfId="0" applyFont="1" applyFill="1" applyBorder="1" applyNumberFormat="1">
      <alignment horizontal="center" vertical="center" wrapText="1"/>
    </xf>
    <xf numFmtId="49" fontId="81" fillId="0" borderId="28" xfId="0" applyFont="1" applyBorder="1" applyNumberFormat="1">
      <alignment vertical="top"/>
    </xf>
    <xf numFmtId="0" fontId="23" fillId="0" borderId="0" xfId="0" applyFont="1" applyNumberFormat="1">
      <alignment horizontal="left" vertical="top" wrapText="1"/>
    </xf>
    <xf numFmtId="0" fontId="77" fillId="0" borderId="0" xfId="0" applyFont="1" applyNumberFormat="1">
      <alignment vertical="center" wrapText="1"/>
    </xf>
    <xf numFmtId="0" fontId="0" fillId="0" borderId="0" xfId="0" applyFont="1" applyNumberFormat="1">
      <alignment horizontal="left" vertical="center"/>
    </xf>
    <xf numFmtId="0" fontId="0" fillId="38" borderId="16" xfId="0" applyFont="1" applyFill="1" applyBorder="1" applyNumberFormat="1">
      <alignment horizontal="right" vertical="center" wrapText="1" indent="1"/>
    </xf>
    <xf numFmtId="0" fontId="0" fillId="0" borderId="18" xfId="0" applyFont="1" applyBorder="1" applyNumberFormat="1">
      <alignment vertical="center"/>
    </xf>
    <xf numFmtId="0" fontId="23" fillId="0" borderId="0" xfId="0" applyFont="1" applyNumberFormat="1">
      <alignment horizontal="left" vertical="center" wrapText="1"/>
    </xf>
    <xf numFmtId="0" fontId="23" fillId="0" borderId="0" xfId="0" applyFont="1" applyNumberFormat="1">
      <alignment horizontal="right" vertical="center" wrapText="1"/>
    </xf>
    <xf numFmtId="0" fontId="23" fillId="0" borderId="0" xfId="0" applyFont="1" applyNumberFormat="1">
      <alignment horizontal="right"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4" fontId="131" fillId="42" borderId="16" xfId="0" applyFont="1" applyFill="1" applyBorder="1" applyNumberFormat="1">
      <alignment horizontal="left" vertical="center" wrapText="1"/>
    </xf>
    <xf numFmtId="0" fontId="23" fillId="0" borderId="0" xfId="0" applyFont="1" applyNumberFormat="1">
      <alignment horizontal="center" vertical="center" wrapText="1"/>
    </xf>
    <xf numFmtId="0" fontId="57" fillId="0" borderId="0" xfId="0" applyFont="1" applyNumberFormat="1">
      <alignment horizontal="center" vertical="center" wrapText="1"/>
    </xf>
    <xf numFmtId="0" fontId="58" fillId="0" borderId="0" xfId="0" applyFont="1" applyNumberFormat="1">
      <alignment horizontal="center" vertical="center" wrapText="1"/>
    </xf>
    <xf numFmtId="0" fontId="23" fillId="46" borderId="16" xfId="0" applyFont="1" applyFill="1" applyBorder="1" applyNumberFormat="1">
      <alignment horizontal="left" vertical="center" wrapText="1"/>
      <protection locked="0"/>
    </xf>
    <xf numFmtId="0" fontId="57" fillId="0" borderId="0" xfId="0" applyFont="1" applyNumberFormat="1">
      <alignment horizontal="center" vertical="center" wrapText="1"/>
    </xf>
    <xf numFmtId="0" fontId="23" fillId="46" borderId="18" xfId="0" applyFont="1" applyFill="1" applyBorder="1" applyNumberFormat="1">
      <alignment horizontal="left" vertical="center" wrapText="1"/>
      <protection locked="0"/>
    </xf>
    <xf numFmtId="0" fontId="23" fillId="46" borderId="19" xfId="0" applyFont="1" applyFill="1" applyBorder="1" applyNumberFormat="1">
      <alignment horizontal="left" vertical="center" wrapText="1"/>
      <protection locked="0"/>
    </xf>
    <xf numFmtId="0" fontId="23" fillId="46" borderId="17" xfId="0" applyFont="1" applyFill="1" applyBorder="1" applyNumberFormat="1">
      <alignment horizontal="left" vertical="center" wrapText="1"/>
      <protection locked="0"/>
    </xf>
    <xf numFmtId="0" fontId="23" fillId="46" borderId="16" xfId="0" applyFont="1" applyFill="1" applyBorder="1" applyNumberFormat="1">
      <alignment horizontal="left" vertical="center" wrapText="1" indent="6"/>
      <protection locked="0"/>
    </xf>
    <xf numFmtId="170" fontId="0" fillId="45" borderId="16" xfId="0" applyFont="1" applyFill="1" applyBorder="1" applyNumberFormat="1">
      <alignment horizontal="center" vertical="center" wrapText="1"/>
      <protection locked="0"/>
    </xf>
    <xf numFmtId="49" fontId="23" fillId="0" borderId="16" xfId="0" applyFont="1" applyBorder="1" applyNumberFormat="1">
      <alignment horizontal="left" vertical="center" wrapText="1"/>
    </xf>
    <xf numFmtId="49" fontId="109" fillId="44" borderId="18" xfId="0" applyFont="1" applyFill="1" applyBorder="1" applyNumberFormat="1">
      <alignment horizontal="left" vertical="center"/>
    </xf>
    <xf numFmtId="49" fontId="118" fillId="44" borderId="19" xfId="0" applyFont="1" applyFill="1" applyBorder="1" applyNumberFormat="1">
      <alignment horizontal="left" vertical="center" indent="3"/>
    </xf>
    <xf numFmtId="49" fontId="81" fillId="44" borderId="19" xfId="0" applyFont="1" applyFill="1" applyBorder="1" applyNumberFormat="1">
      <alignment horizontal="center" vertical="center" wrapText="1"/>
    </xf>
    <xf numFmtId="49" fontId="75" fillId="44" borderId="19" xfId="0" applyFont="1" applyFill="1" applyBorder="1" applyNumberFormat="1">
      <alignment horizontal="center" vertical="center" wrapText="1"/>
    </xf>
    <xf numFmtId="49" fontId="75" fillId="44" borderId="17" xfId="0" applyFont="1" applyFill="1" applyBorder="1" applyNumberFormat="1">
      <alignment horizontal="center" vertical="center" wrapText="1"/>
    </xf>
    <xf numFmtId="49" fontId="57" fillId="0" borderId="0" xfId="0" applyFont="1" applyNumberFormat="1">
      <alignment horizontal="left" vertical="center"/>
    </xf>
    <xf numFmtId="49" fontId="43" fillId="0" borderId="0" xfId="0" applyFont="1" applyNumberFormat="1">
      <alignment vertical="top"/>
    </xf>
    <xf numFmtId="49" fontId="118" fillId="44" borderId="19" xfId="0" applyFont="1" applyFill="1" applyBorder="1" applyNumberFormat="1">
      <alignment horizontal="left" vertical="center" indent="2"/>
    </xf>
    <xf numFmtId="49" fontId="118" fillId="44" borderId="19" xfId="0" applyFont="1" applyFill="1" applyBorder="1" applyNumberFormat="1">
      <alignment horizontal="left" vertical="center" indent="1"/>
    </xf>
    <xf numFmtId="49" fontId="57" fillId="0" borderId="0" xfId="0" applyFont="1" applyNumberFormat="1">
      <alignment horizontal="left" vertical="center"/>
    </xf>
    <xf numFmtId="49" fontId="57" fillId="0" borderId="0" xfId="0" applyFont="1" applyNumberFormat="1">
      <alignment horizontal="left" vertical="top"/>
    </xf>
    <xf numFmtId="49" fontId="75" fillId="44" borderId="18" xfId="0" applyFont="1" applyFill="1" applyBorder="1" applyNumberFormat="1">
      <alignment horizontal="left" vertical="top"/>
    </xf>
    <xf numFmtId="49" fontId="118" fillId="44" borderId="19" xfId="0" applyFont="1" applyFill="1" applyBorder="1" applyNumberFormat="1">
      <alignment horizontal="left" vertical="center"/>
    </xf>
    <xf numFmtId="49" fontId="58" fillId="0" borderId="0" xfId="0" applyFont="1" applyNumberFormat="1">
      <alignment vertical="top"/>
    </xf>
    <xf numFmtId="0" fontId="23" fillId="0" borderId="0" xfId="0" applyFont="1" applyNumberFormat="1">
      <alignment horizontal="left" vertical="top" wrapText="1"/>
    </xf>
    <xf numFmtId="49" fontId="23" fillId="0" borderId="0" xfId="0" applyFont="1" applyNumberFormat="1">
      <alignment vertical="center" wrapText="1"/>
    </xf>
    <xf numFmtId="49" fontId="23" fillId="0" borderId="0" xfId="0" applyFont="1" applyNumberFormat="1">
      <alignment vertical="center" wrapText="1"/>
    </xf>
    <xf numFmtId="0" fontId="23" fillId="0" borderId="0" xfId="0" applyFont="1" applyNumberFormat="1">
      <alignment horizontal="center" vertical="center" wrapText="1"/>
    </xf>
    <xf numFmtId="0" fontId="23" fillId="0" borderId="0" xfId="0" applyFont="1" applyNumberFormat="1">
      <alignment horizontal="center" vertical="center" wrapText="1"/>
    </xf>
    <xf numFmtId="49" fontId="23" fillId="0" borderId="0" xfId="0" applyFont="1" applyNumberFormat="1">
      <alignment horizontal="left" vertical="center"/>
    </xf>
    <xf numFmtId="49" fontId="23" fillId="0" borderId="0" xfId="0" applyFont="1" applyNumberFormat="1">
      <alignment horizontal="left" vertical="center"/>
    </xf>
    <xf numFmtId="49" fontId="23" fillId="0" borderId="0" xfId="0" applyFont="1" applyNumberFormat="1">
      <alignment horizontal="left" vertical="top"/>
    </xf>
    <xf numFmtId="0" fontId="22" fillId="0" borderId="19" xfId="0" applyFont="1" applyBorder="1" applyNumberFormat="1">
      <alignment horizontal="left" vertical="center" wrapText="1" indent="1"/>
    </xf>
    <xf numFmtId="0" fontId="22" fillId="0" borderId="0" xfId="0" applyFont="1" applyNumberFormat="1">
      <alignment horizontal="center" vertical="center" wrapText="1"/>
    </xf>
    <xf numFmtId="0" fontId="0" fillId="0" borderId="0" xfId="0" applyFont="1" applyNumberFormat="1">
      <alignment horizontal="center" vertical="center"/>
    </xf>
    <xf numFmtId="0" fontId="23" fillId="42" borderId="18" xfId="0" applyFont="1" applyFill="1" applyBorder="1" applyNumberFormat="1">
      <alignment horizontal="left" vertical="center" wrapText="1" indent="1"/>
    </xf>
    <xf numFmtId="0" fontId="23" fillId="42" borderId="19" xfId="0" applyFont="1" applyFill="1" applyBorder="1" applyNumberFormat="1">
      <alignment horizontal="left" vertical="center" wrapText="1" indent="1"/>
    </xf>
    <xf numFmtId="0" fontId="23" fillId="42" borderId="17" xfId="0" applyFont="1" applyFill="1" applyBorder="1" applyNumberFormat="1">
      <alignment horizontal="left" vertical="center" wrapText="1" indent="1"/>
    </xf>
    <xf numFmtId="0" fontId="80" fillId="0" borderId="0" xfId="0" applyFont="1" applyNumberFormat="1">
      <alignment horizontal="left" vertical="center" wrapText="1"/>
    </xf>
    <xf numFmtId="0" fontId="0" fillId="0" borderId="0" xfId="0" applyFont="1" applyNumberFormat="1">
      <alignment vertical="center"/>
    </xf>
    <xf numFmtId="0" fontId="58" fillId="0" borderId="0" xfId="0" applyFont="1" applyNumberFormat="1">
      <alignment vertical="center"/>
    </xf>
    <xf numFmtId="0" fontId="0" fillId="0" borderId="0" xfId="0" applyFont="1" applyNumberFormat="1">
      <alignment horizontal="right" vertical="center" wrapText="1" indent="1"/>
    </xf>
    <xf numFmtId="0" fontId="23" fillId="0" borderId="0" xfId="0" applyFont="1" applyNumberFormat="1">
      <alignment horizontal="left" vertical="center" wrapText="1" indent="1"/>
    </xf>
    <xf numFmtId="0" fontId="90" fillId="0" borderId="0" xfId="0" applyFont="1" applyNumberFormat="1">
      <alignment vertical="center" wrapText="1"/>
    </xf>
    <xf numFmtId="0" fontId="90"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49" fontId="51" fillId="44" borderId="16" xfId="0" applyFont="1" applyFill="1" applyBorder="1" applyNumberFormat="1">
      <alignment horizontal="center" vertical="center" textRotation="90"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47" fillId="38" borderId="0" xfId="0" applyFont="1" applyFill="1" applyNumberFormat="1">
      <alignment horizontal="center" vertical="center" wrapText="1"/>
    </xf>
    <xf numFmtId="0" fontId="47" fillId="38" borderId="0" xfId="0" applyFont="1" applyFill="1" applyNumberFormat="1">
      <alignment horizontal="center" vertical="center" wrapText="1"/>
    </xf>
    <xf numFmtId="49" fontId="58" fillId="0" borderId="0" xfId="0" applyFont="1" applyNumberFormat="1">
      <alignment vertical="center" wrapText="1"/>
    </xf>
    <xf numFmtId="0" fontId="23" fillId="0" borderId="16" xfId="0" applyFont="1" applyBorder="1" applyNumberFormat="1">
      <alignment vertical="center" wrapText="1"/>
    </xf>
    <xf numFmtId="0" fontId="23" fillId="42" borderId="16" xfId="0" applyFont="1" applyFill="1" applyBorder="1" applyNumberFormat="1">
      <alignment horizontal="left" vertical="center" wrapText="1"/>
    </xf>
    <xf numFmtId="49" fontId="58" fillId="0" borderId="0" xfId="0" applyFont="1" applyNumberFormat="1">
      <alignment vertical="center"/>
    </xf>
    <xf numFmtId="0" fontId="43" fillId="0" borderId="0" xfId="0" applyFont="1" applyNumberFormat="1">
      <alignment horizontal="center" vertical="center" wrapText="1"/>
    </xf>
    <xf numFmtId="0" fontId="48" fillId="38" borderId="0" xfId="0" applyFont="1" applyFill="1" applyNumberFormat="1">
      <alignment horizontal="center" vertical="center" wrapText="1"/>
    </xf>
    <xf numFmtId="0" fontId="43" fillId="0" borderId="0" xfId="0" applyFont="1" applyNumberFormat="1">
      <alignment vertical="center" wrapText="1"/>
    </xf>
    <xf numFmtId="0" fontId="48" fillId="38" borderId="0" xfId="0" applyFont="1" applyFill="1" applyNumberFormat="1">
      <alignment vertical="center" wrapText="1"/>
    </xf>
    <xf numFmtId="0" fontId="48" fillId="0" borderId="0" xfId="0" applyFont="1" applyNumberFormat="1">
      <alignment horizontal="center" vertical="center" wrapText="1"/>
    </xf>
    <xf numFmtId="49" fontId="23" fillId="45" borderId="16" xfId="0" applyFont="1" applyFill="1" applyBorder="1" applyNumberFormat="1">
      <alignment horizontal="left" vertical="center" wrapText="1" indent="4"/>
      <protection locked="0"/>
    </xf>
    <xf numFmtId="49" fontId="23" fillId="0" borderId="16" xfId="0" applyFont="1" applyBorder="1" applyNumberFormat="1">
      <alignment horizontal="center" vertical="center" wrapText="1"/>
    </xf>
    <xf numFmtId="4" fontId="0" fillId="45" borderId="16" xfId="0" applyFont="1" applyFill="1" applyBorder="1" applyNumberFormat="1">
      <alignment horizontal="right" vertical="center" wrapText="1"/>
      <protection locked="0"/>
    </xf>
    <xf numFmtId="165" fontId="0" fillId="45" borderId="16" xfId="0" applyFont="1" applyFill="1" applyBorder="1" applyNumberFormat="1">
      <alignment horizontal="right" vertical="center"/>
      <protection locked="0"/>
    </xf>
    <xf numFmtId="49" fontId="23" fillId="46" borderId="16" xfId="0" applyFont="1" applyFill="1" applyBorder="1" applyNumberFormat="1">
      <alignment horizontal="center" vertical="center" wrapText="1"/>
    </xf>
    <xf numFmtId="49" fontId="0" fillId="38" borderId="16" xfId="0" applyFont="1" applyFill="1" applyBorder="1" applyNumberFormat="1">
      <alignment horizontal="center" vertical="center" wrapText="1"/>
    </xf>
    <xf numFmtId="4" fontId="0" fillId="38" borderId="18" xfId="0" applyFont="1" applyFill="1" applyBorder="1" applyNumberFormat="1">
      <alignment horizontal="right" vertical="center"/>
    </xf>
    <xf numFmtId="0" fontId="23" fillId="0" borderId="16" xfId="0" applyFont="1" applyBorder="1" applyNumberFormat="1">
      <alignment horizontal="left" vertical="center" wrapText="1"/>
    </xf>
    <xf numFmtId="49" fontId="0" fillId="0" borderId="16" xfId="0" applyFont="1" applyBorder="1" applyNumberFormat="1">
      <alignment vertical="center" wrapText="1"/>
    </xf>
    <xf numFmtId="49" fontId="23" fillId="0" borderId="16" xfId="0" applyFont="1" applyBorder="1" applyNumberFormat="1">
      <alignment vertical="center" wrapText="1"/>
    </xf>
    <xf numFmtId="0" fontId="23" fillId="0" borderId="18" xfId="0" applyFont="1" applyBorder="1" applyNumberFormat="1">
      <alignment horizontal="left" vertical="center" wrapText="1" indent="6"/>
    </xf>
    <xf numFmtId="49" fontId="78" fillId="44" borderId="18" xfId="0" applyFont="1" applyFill="1" applyBorder="1" applyNumberFormat="1">
      <alignment horizontal="center" vertical="center"/>
    </xf>
    <xf numFmtId="49" fontId="51" fillId="44" borderId="19" xfId="0" applyFont="1" applyFill="1" applyBorder="1" applyNumberFormat="1">
      <alignment horizontal="left" vertical="center" indent="2"/>
    </xf>
    <xf numFmtId="49" fontId="78" fillId="44" borderId="19" xfId="0" applyFont="1" applyFill="1" applyBorder="1" applyNumberFormat="1">
      <alignment horizontal="left" vertical="center"/>
    </xf>
    <xf numFmtId="49" fontId="0" fillId="44" borderId="19"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indent="3"/>
    </xf>
    <xf numFmtId="49" fontId="23" fillId="44" borderId="34" xfId="0" applyFont="1" applyFill="1" applyBorder="1" applyNumberFormat="1">
      <alignment horizontal="center" vertical="center" wrapText="1"/>
    </xf>
    <xf numFmtId="49" fontId="23" fillId="0" borderId="0" xfId="0" applyFont="1" applyNumberFormat="1">
      <alignment vertical="center"/>
    </xf>
    <xf numFmtId="49" fontId="43" fillId="0" borderId="0" xfId="0" applyFont="1" applyNumberFormat="1">
      <alignment vertical="top"/>
    </xf>
    <xf numFmtId="0" fontId="23" fillId="0" borderId="0" xfId="0" applyFont="1" applyNumberFormat="1">
      <alignment vertical="top" wrapText="1"/>
    </xf>
    <xf numFmtId="0" fontId="58" fillId="0" borderId="0" xfId="0" applyFont="1" applyNumberFormat="1">
      <alignment vertical="top" wrapText="1"/>
    </xf>
    <xf numFmtId="0" fontId="23" fillId="0" borderId="0" xfId="0" applyFont="1" applyNumberFormat="1">
      <alignment vertical="top" wrapText="1"/>
    </xf>
    <xf numFmtId="49" fontId="0" fillId="0" borderId="0" xfId="0" applyFont="1" applyNumberFormat="1">
      <alignment vertical="center" wrapText="1"/>
    </xf>
    <xf numFmtId="49" fontId="58" fillId="0" borderId="0" xfId="0" applyFont="1" applyNumberFormat="1">
      <alignment vertical="center" wrapText="1"/>
    </xf>
    <xf numFmtId="49" fontId="57" fillId="0" borderId="0" xfId="0" applyFont="1" applyNumberFormat="1">
      <alignment vertical="top"/>
    </xf>
    <xf numFmtId="49" fontId="130" fillId="0" borderId="0" xfId="0" applyFont="1" applyNumberFormat="1">
      <alignment horizontal="center" vertical="center" wrapText="1"/>
    </xf>
    <xf numFmtId="0" fontId="134" fillId="45" borderId="16" xfId="0" applyFont="1" applyFill="1" applyBorder="1" applyNumberFormat="1">
      <alignment horizontal="left" vertical="center" wrapText="1" indent="1"/>
      <protection locked="0"/>
    </xf>
    <xf numFmtId="0" fontId="50" fillId="0" borderId="0" xfId="0" applyFont="1" applyNumberFormat="1">
      <alignment vertical="center" wrapText="1"/>
    </xf>
    <xf numFmtId="0" fontId="134" fillId="0" borderId="16" xfId="0" applyFont="1" applyBorder="1" applyNumberFormat="1">
      <alignment horizontal="left" vertical="center" wrapText="1" indent="1"/>
    </xf>
    <xf numFmtId="0" fontId="134" fillId="45" borderId="16" xfId="0" applyFont="1" applyFill="1" applyBorder="1" applyNumberFormat="1">
      <alignment horizontal="left" vertical="center" wrapText="1"/>
      <protection locked="0"/>
    </xf>
    <xf numFmtId="0" fontId="134" fillId="0" borderId="16" xfId="0" applyFont="1" applyBorder="1" applyNumberFormat="1">
      <alignment horizontal="left" vertical="center" wrapText="1" indent="2"/>
    </xf>
    <xf numFmtId="49" fontId="23" fillId="46" borderId="16" xfId="0" applyFont="1" applyFill="1" applyBorder="1" applyNumberFormat="1">
      <alignment horizontal="left" vertical="center" wrapText="1"/>
    </xf>
    <xf numFmtId="0" fontId="0" fillId="0" borderId="16" xfId="0" applyFont="1" applyBorder="1" applyNumberFormat="1">
      <alignment horizontal="left" vertical="center" wrapText="1"/>
    </xf>
    <xf numFmtId="0" fontId="23" fillId="0" borderId="16" xfId="0" applyFont="1" applyBorder="1" applyNumberFormat="1">
      <alignment vertical="top" wrapText="1"/>
    </xf>
    <xf numFmtId="170" fontId="0" fillId="45" borderId="16" xfId="0" applyFont="1" applyFill="1" applyBorder="1" applyNumberFormat="1">
      <alignment horizontal="left" vertical="center" wrapText="1"/>
      <protection locked="0"/>
    </xf>
    <xf numFmtId="0" fontId="23" fillId="0" borderId="16" xfId="0" applyFont="1" applyBorder="1" applyNumberFormat="1">
      <alignment horizontal="left" vertical="top" wrapText="1"/>
    </xf>
    <xf numFmtId="0" fontId="0" fillId="0" borderId="16" xfId="0" applyFont="1" applyBorder="1" applyNumberFormat="1">
      <alignment horizontal="left" vertical="center" wrapText="1"/>
    </xf>
    <xf numFmtId="0" fontId="23" fillId="0" borderId="16" xfId="0" applyFont="1" applyBorder="1" applyNumberFormat="1">
      <alignment horizontal="left" vertical="center" wrapText="1"/>
    </xf>
    <xf numFmtId="0" fontId="0" fillId="0" borderId="16" xfId="0" applyFont="1" applyBorder="1" applyNumberFormat="1">
      <alignment horizontal="left" vertical="center" wrapText="1"/>
    </xf>
    <xf numFmtId="0" fontId="23" fillId="0" borderId="16" xfId="0" applyFont="1" applyBorder="1" applyNumberFormat="1">
      <alignment vertical="top" wrapText="1"/>
    </xf>
    <xf numFmtId="49" fontId="51" fillId="44" borderId="19" xfId="0" applyFont="1" applyFill="1" applyBorder="1" applyNumberFormat="1">
      <alignment horizontal="left" vertical="center" indent="2"/>
    </xf>
    <xf numFmtId="0" fontId="0" fillId="0" borderId="16" xfId="0" applyFont="1" applyBorder="1" applyNumberFormat="1">
      <alignment horizontal="left" vertical="center" wrapText="1" indent="1"/>
    </xf>
    <xf numFmtId="49" fontId="51" fillId="44" borderId="19" xfId="0" applyFont="1" applyFill="1" applyBorder="1" applyNumberFormat="1">
      <alignment horizontal="left" vertical="center" indent="3"/>
    </xf>
    <xf numFmtId="0" fontId="23" fillId="0" borderId="16" xfId="0" applyFont="1" applyBorder="1" applyNumberFormat="1">
      <alignment horizontal="left" vertical="top" wrapText="1"/>
    </xf>
    <xf numFmtId="49" fontId="23" fillId="46" borderId="16" xfId="0" applyFont="1" applyFill="1" applyBorder="1" applyNumberFormat="1">
      <alignment horizontal="left" vertical="center" wrapText="1"/>
    </xf>
    <xf numFmtId="49" fontId="23" fillId="0" borderId="0" xfId="0" applyFont="1" applyNumberFormat="1">
      <alignment vertical="top"/>
    </xf>
    <xf numFmtId="49" fontId="58" fillId="0" borderId="0" xfId="0" applyFont="1" applyNumberFormat="1">
      <alignment vertical="top"/>
    </xf>
    <xf numFmtId="0" fontId="23" fillId="0" borderId="0" xfId="0" applyFont="1" applyNumberFormat="1">
      <alignment horizontal="right" vertical="top" wrapText="1"/>
    </xf>
    <xf numFmtId="49" fontId="23" fillId="0" borderId="0" xfId="0" applyFont="1" applyNumberFormat="1">
      <alignment vertical="top"/>
    </xf>
    <xf numFmtId="49" fontId="134" fillId="45" borderId="16" xfId="0" applyFont="1" applyFill="1" applyBorder="1" applyNumberFormat="1">
      <alignment horizontal="left" vertical="center" wrapText="1" indent="1"/>
      <protection locked="0"/>
    </xf>
    <xf numFmtId="0" fontId="23" fillId="0" borderId="0" xfId="0" applyFont="1" applyNumberFormat="1">
      <alignment vertical="center" wrapText="1"/>
    </xf>
    <xf numFmtId="0" fontId="72" fillId="0" borderId="0" xfId="0" applyFont="1" applyNumberFormat="1">
      <alignment vertical="center" wrapText="1"/>
    </xf>
    <xf numFmtId="0" fontId="23" fillId="38" borderId="16" xfId="0" applyFont="1" applyFill="1" applyBorder="1" applyNumberFormat="1">
      <alignment horizontal="center" vertical="center" wrapText="1"/>
    </xf>
    <xf numFmtId="0" fontId="0" fillId="0" borderId="16" xfId="0" applyFont="1" applyBorder="1" applyNumberFormat="1">
      <alignment horizontal="left" vertical="center" wrapText="1"/>
    </xf>
    <xf numFmtId="0" fontId="48" fillId="38" borderId="0" xfId="0" applyFont="1" applyFill="1" applyNumberFormat="1">
      <alignment horizontal="center" vertical="center" wrapText="1"/>
    </xf>
    <xf numFmtId="49" fontId="51" fillId="44" borderId="19" xfId="0" applyFont="1" applyFill="1" applyBorder="1" applyNumberFormat="1">
      <alignment horizontal="left" vertical="center"/>
    </xf>
    <xf numFmtId="0" fontId="23" fillId="0" borderId="23" xfId="0" applyFont="1" applyBorder="1" applyNumberFormat="1">
      <alignment vertical="center" wrapText="1"/>
    </xf>
    <xf numFmtId="49" fontId="51" fillId="0" borderId="23" xfId="0" applyFont="1" applyBorder="1" applyNumberFormat="1">
      <alignment horizontal="left" vertical="center"/>
    </xf>
    <xf numFmtId="49" fontId="51" fillId="0" borderId="23" xfId="0" applyFont="1" applyBorder="1" applyNumberFormat="1">
      <alignment horizontal="left" vertical="center" indent="2"/>
    </xf>
    <xf numFmtId="49" fontId="55" fillId="0" borderId="23" xfId="0" applyFont="1" applyBorder="1" applyNumberFormat="1">
      <alignment horizontal="center" vertical="top"/>
    </xf>
    <xf numFmtId="0" fontId="23" fillId="0" borderId="23" xfId="0" applyFont="1" applyBorder="1" applyNumberFormat="1">
      <alignment horizontal="left" vertical="top" wrapText="1"/>
    </xf>
    <xf numFmtId="0" fontId="23" fillId="0" borderId="0" xfId="0" applyFont="1" applyNumberFormat="1">
      <alignment horizontal="left" vertical="top" wrapText="1"/>
    </xf>
    <xf numFmtId="49" fontId="23" fillId="0" borderId="0" xfId="0" applyFont="1" applyNumberFormat="1">
      <alignment vertical="center" wrapText="1"/>
    </xf>
    <xf numFmtId="0" fontId="23" fillId="0" borderId="0" xfId="0" applyFont="1" applyNumberFormat="1">
      <alignment vertical="center" wrapText="1"/>
    </xf>
    <xf numFmtId="0" fontId="58" fillId="0" borderId="0" xfId="0" applyFont="1" applyNumberFormat="1">
      <alignment vertical="center"/>
    </xf>
    <xf numFmtId="0" fontId="57" fillId="0" borderId="0" xfId="0" applyFont="1" applyNumberFormat="1">
      <alignment horizontal="center" vertical="center" wrapText="1"/>
    </xf>
    <xf numFmtId="0" fontId="23" fillId="0" borderId="0" xfId="0" applyFont="1" applyNumberFormat="1">
      <alignment vertical="center" wrapText="1"/>
    </xf>
    <xf numFmtId="49" fontId="23" fillId="0" borderId="0" xfId="0" applyFont="1" applyNumberFormat="1">
      <alignment horizontal="center" vertical="center" wrapText="1"/>
    </xf>
    <xf numFmtId="49" fontId="23" fillId="0" borderId="0" xfId="0" applyFont="1" applyNumberFormat="1">
      <alignment horizontal="left" vertical="center" wrapText="1"/>
    </xf>
    <xf numFmtId="4" fontId="23" fillId="0" borderId="0" xfId="0" applyFont="1" applyNumberFormat="1">
      <alignment horizontal="right" vertical="center" wrapText="1"/>
    </xf>
    <xf numFmtId="0" fontId="91" fillId="0" borderId="0" xfId="0" applyFont="1" applyNumberFormat="1">
      <alignment vertical="center" wrapText="1"/>
    </xf>
    <xf numFmtId="0" fontId="91" fillId="0" borderId="0" xfId="0" applyFont="1" applyNumberFormat="1">
      <alignment vertical="center" wrapText="1"/>
    </xf>
    <xf numFmtId="0" fontId="23" fillId="0" borderId="18" xfId="0" applyFont="1" applyBorder="1" applyNumberFormat="1">
      <alignment vertical="center" wrapText="1"/>
    </xf>
    <xf numFmtId="0" fontId="23" fillId="0" borderId="19" xfId="0" applyFont="1" applyBorder="1" applyNumberFormat="1">
      <alignment horizontal="right" vertical="center" wrapText="1" indent="1"/>
    </xf>
    <xf numFmtId="0" fontId="23" fillId="0" borderId="17" xfId="0" applyFont="1" applyBorder="1" applyNumberFormat="1">
      <alignment horizontal="right" vertical="center" wrapText="1" indent="1"/>
    </xf>
    <xf numFmtId="0" fontId="23" fillId="42" borderId="18" xfId="0" applyFont="1" applyFill="1" applyBorder="1" applyNumberFormat="1">
      <alignment horizontal="left" vertical="top" wrapText="1" indent="1"/>
    </xf>
    <xf numFmtId="0" fontId="23" fillId="42" borderId="17" xfId="0" applyFont="1" applyFill="1" applyBorder="1" applyNumberFormat="1">
      <alignment horizontal="left" vertical="top" wrapText="1" indent="1"/>
    </xf>
    <xf numFmtId="0" fontId="23" fillId="0" borderId="40" xfId="0" applyFont="1" applyBorder="1" applyNumberFormat="1">
      <alignment horizontal="center" vertical="center" wrapText="1"/>
    </xf>
    <xf numFmtId="0" fontId="23" fillId="0" borderId="18" xfId="0" applyFont="1" applyBorder="1" applyNumberFormat="1">
      <alignment horizontal="right" vertical="center" wrapText="1"/>
    </xf>
    <xf numFmtId="0" fontId="23" fillId="0" borderId="19" xfId="0" applyFont="1" applyBorder="1" applyNumberFormat="1">
      <alignment horizontal="right" vertical="center"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0" fontId="47" fillId="0" borderId="0" xfId="0" applyFont="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left" vertical="center" wrapText="1"/>
    </xf>
    <xf numFmtId="3" fontId="23" fillId="0" borderId="18" xfId="0" applyFont="1" applyBorder="1" applyNumberFormat="1">
      <alignment vertical="center" wrapText="1"/>
    </xf>
    <xf numFmtId="0" fontId="23" fillId="0" borderId="16" xfId="0" applyFont="1" applyBorder="1" applyNumberFormat="1">
      <alignment horizontal="left" vertical="center" wrapText="1"/>
    </xf>
    <xf numFmtId="0" fontId="23" fillId="0" borderId="16" xfId="0" applyFont="1" applyBorder="1" applyNumberFormat="1">
      <alignment horizontal="center" vertical="center" wrapText="1"/>
    </xf>
    <xf numFmtId="0" fontId="23" fillId="0" borderId="21" xfId="0" applyFont="1" applyBorder="1" applyNumberFormat="1">
      <alignment horizontal="center" vertical="center" wrapText="1"/>
    </xf>
    <xf numFmtId="0" fontId="23" fillId="0" borderId="21" xfId="0" applyFont="1" applyBorder="1" applyNumberFormat="1">
      <alignment horizontal="center" vertical="center" wrapText="1"/>
    </xf>
    <xf numFmtId="49" fontId="23" fillId="0" borderId="16" xfId="0" applyFont="1" applyBorder="1" applyNumberFormat="1">
      <alignment horizontal="center" vertical="center" wrapText="1"/>
    </xf>
    <xf numFmtId="0" fontId="23" fillId="0" borderId="16" xfId="0" applyFont="1" applyBorder="1" applyNumberFormat="1">
      <alignment horizontal="left" vertical="center" wrapText="1" indent="1"/>
    </xf>
    <xf numFmtId="3" fontId="23" fillId="34" borderId="18" xfId="0" applyFont="1" applyFill="1" applyBorder="1" applyNumberFormat="1">
      <alignment horizontal="right" vertical="center" wrapText="1"/>
      <protection locked="0"/>
    </xf>
    <xf numFmtId="49" fontId="23" fillId="34" borderId="16" xfId="0" applyFont="1" applyFill="1" applyBorder="1" applyNumberFormat="1">
      <alignment horizontal="left" vertical="center" wrapText="1"/>
      <protection locked="0"/>
    </xf>
    <xf numFmtId="49" fontId="30" fillId="34" borderId="16" xfId="0" applyFont="1" applyFill="1" applyBorder="1" applyNumberFormat="1">
      <alignment horizontal="left" vertical="center" wrapText="1"/>
      <protection locked="0"/>
    </xf>
    <xf numFmtId="0" fontId="23" fillId="0" borderId="17" xfId="0" applyFont="1" applyBorder="1" applyNumberFormat="1">
      <alignment vertical="center" wrapText="1"/>
    </xf>
    <xf numFmtId="4" fontId="23" fillId="34" borderId="18" xfId="0" applyFont="1" applyFill="1" applyBorder="1" applyNumberFormat="1">
      <alignment horizontal="right" vertical="center" wrapText="1"/>
      <protection locked="0"/>
    </xf>
    <xf numFmtId="4" fontId="23" fillId="0" borderId="18" xfId="0" applyFont="1" applyBorder="1" applyNumberFormat="1">
      <alignment horizontal="right" vertical="center" wrapText="1"/>
    </xf>
    <xf numFmtId="4" fontId="23" fillId="0" borderId="31" xfId="0" applyFont="1" applyBorder="1" applyNumberFormat="1">
      <alignment horizontal="right" vertical="center" wrapText="1"/>
    </xf>
    <xf numFmtId="0" fontId="30" fillId="0" borderId="0" xfId="0" applyFont="1" applyNumberFormat="1">
      <alignment vertical="center" wrapText="1"/>
    </xf>
    <xf numFmtId="0" fontId="47" fillId="0" borderId="0" xfId="0" applyFont="1" applyNumberFormat="1">
      <alignment horizontal="center" vertical="center" wrapText="1"/>
    </xf>
    <xf numFmtId="0" fontId="91" fillId="0" borderId="0" xfId="0" applyFont="1" applyNumberFormat="1">
      <alignment vertical="center" wrapText="1"/>
    </xf>
    <xf numFmtId="49" fontId="23" fillId="45" borderId="16" xfId="0" applyFont="1" applyFill="1" applyBorder="1" applyNumberFormat="1">
      <alignment horizontal="left" vertical="center" wrapText="1"/>
      <protection locked="0"/>
    </xf>
    <xf numFmtId="0" fontId="23" fillId="0" borderId="16" xfId="0" applyFont="1" applyBorder="1" applyNumberFormat="1">
      <alignment horizontal="center" vertical="center" wrapText="1"/>
    </xf>
    <xf numFmtId="0" fontId="23" fillId="0" borderId="23" xfId="0" applyFont="1" applyBorder="1" applyNumberFormat="1">
      <alignment horizontal="left" vertical="center" wrapText="1" indent="1"/>
    </xf>
    <xf numFmtId="0" fontId="23" fillId="0" borderId="32" xfId="0" applyFont="1" applyBorder="1" applyNumberFormat="1">
      <alignment horizontal="left" vertical="center" wrapText="1" indent="1"/>
    </xf>
    <xf numFmtId="0" fontId="23" fillId="0" borderId="0" xfId="0" applyFont="1" applyNumberFormat="1">
      <alignment horizontal="left" vertical="center" wrapText="1"/>
    </xf>
    <xf numFmtId="0" fontId="23" fillId="42" borderId="18" xfId="0" applyFont="1" applyFill="1" applyBorder="1" applyNumberFormat="1">
      <alignment horizontal="left" vertical="top" wrapText="1" inden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8" xfId="0" applyFont="1" applyBorder="1" applyNumberFormat="1">
      <alignment horizontal="center" vertical="center" wrapText="1"/>
    </xf>
    <xf numFmtId="3" fontId="23" fillId="45" borderId="18" xfId="0" applyFont="1" applyFill="1" applyBorder="1" applyNumberFormat="1">
      <alignment vertical="center" wrapText="1"/>
      <protection locked="0"/>
    </xf>
    <xf numFmtId="49" fontId="23" fillId="34" borderId="18" xfId="0" applyFont="1" applyFill="1" applyBorder="1" applyNumberFormat="1">
      <alignment horizontal="left" vertical="center" wrapText="1"/>
      <protection locked="0"/>
    </xf>
    <xf numFmtId="0" fontId="23" fillId="0" borderId="16" xfId="0" applyFont="1" applyBorder="1" applyNumberFormat="1">
      <alignment horizontal="left" vertical="top" wrapText="1"/>
    </xf>
    <xf numFmtId="4" fontId="23" fillId="42" borderId="18" xfId="0" applyFont="1" applyFill="1" applyBorder="1" applyNumberFormat="1">
      <alignment horizontal="right" vertical="center" wrapText="1"/>
    </xf>
    <xf numFmtId="0" fontId="57" fillId="0" borderId="16" xfId="0" applyFont="1" applyBorder="1" applyNumberFormat="1">
      <alignment vertical="top" wrapText="1"/>
    </xf>
    <xf numFmtId="49" fontId="23" fillId="45" borderId="16" xfId="0" applyFont="1" applyFill="1" applyBorder="1" applyNumberFormat="1">
      <alignment horizontal="left" vertical="center" wrapText="1" indent="1"/>
      <protection locked="0"/>
    </xf>
    <xf numFmtId="0" fontId="23" fillId="0" borderId="21" xfId="0" applyFont="1" applyBorder="1" applyNumberFormat="1">
      <alignment horizontal="left" vertical="top" wrapText="1"/>
    </xf>
    <xf numFmtId="0" fontId="23" fillId="0" borderId="27" xfId="0" applyFont="1" applyBorder="1" applyNumberFormat="1">
      <alignment horizontal="left" vertical="top" wrapText="1"/>
    </xf>
    <xf numFmtId="49" fontId="23" fillId="0" borderId="0" xfId="0" applyFont="1" applyNumberFormat="1">
      <alignment vertical="center" wrapText="1"/>
    </xf>
    <xf numFmtId="0" fontId="48" fillId="0" borderId="28" xfId="0" applyFont="1" applyBorder="1" applyNumberFormat="1">
      <alignment horizontal="center" vertical="center" wrapText="1"/>
    </xf>
    <xf numFmtId="0" fontId="0" fillId="0" borderId="18" xfId="0" applyFont="1" applyBorder="1" applyNumberFormat="1">
      <alignment horizontal="center" vertical="center"/>
    </xf>
    <xf numFmtId="49" fontId="0" fillId="0" borderId="16" xfId="0" applyFont="1" applyBorder="1" applyNumberFormat="1">
      <alignment horizontal="left" vertical="center" wrapText="1" indent="1"/>
    </xf>
    <xf numFmtId="0" fontId="23" fillId="0" borderId="17" xfId="0" applyFont="1" applyBorder="1" applyNumberFormat="1">
      <alignment horizontal="center" vertical="center" wrapText="1"/>
    </xf>
    <xf numFmtId="49" fontId="30" fillId="34" borderId="16" xfId="0" applyFont="1" applyFill="1" applyBorder="1" applyNumberFormat="1">
      <alignment horizontal="left" vertical="center" wrapText="1"/>
      <protection locked="0"/>
    </xf>
    <xf numFmtId="170" fontId="0" fillId="34" borderId="16" xfId="0" applyFont="1" applyFill="1" applyBorder="1" applyNumberFormat="1">
      <alignment horizontal="left" vertical="center" wrapText="1" indent="1"/>
      <protection locked="0"/>
    </xf>
    <xf numFmtId="49" fontId="23" fillId="45" borderId="18" xfId="0" applyFont="1" applyFill="1" applyBorder="1" applyNumberFormat="1">
      <alignment horizontal="left" vertical="center" wrapText="1"/>
      <protection locked="0"/>
    </xf>
    <xf numFmtId="0" fontId="23" fillId="0" borderId="28" xfId="0" applyFont="1" applyBorder="1" applyNumberFormat="1">
      <alignment horizontal="center" vertical="center" wrapText="1"/>
    </xf>
    <xf numFmtId="0" fontId="23" fillId="0" borderId="17" xfId="0" applyFont="1" applyBorder="1" applyNumberFormat="1">
      <alignment horizontal="right" vertical="center" wrapText="1" indent="1"/>
    </xf>
    <xf numFmtId="0" fontId="23" fillId="0" borderId="18" xfId="0" applyFont="1" applyBorder="1" applyNumberFormat="1">
      <alignment horizontal="center" vertical="center" wrapText="1"/>
    </xf>
    <xf numFmtId="49" fontId="0" fillId="0" borderId="18" xfId="0" applyFont="1" applyBorder="1" applyNumberFormat="1">
      <alignment horizontal="center" vertical="center"/>
    </xf>
    <xf numFmtId="49" fontId="0" fillId="0" borderId="16" xfId="0" applyFont="1" applyBorder="1" applyNumberFormat="1">
      <alignment vertical="center" wrapText="1"/>
    </xf>
    <xf numFmtId="0" fontId="23" fillId="0" borderId="17" xfId="0" applyFont="1" applyBorder="1" applyNumberFormat="1">
      <alignment horizontal="center" vertical="center" wrapText="1"/>
    </xf>
    <xf numFmtId="0" fontId="57" fillId="44" borderId="17" xfId="0" applyFont="1" applyFill="1" applyBorder="1" applyNumberFormat="1">
      <alignment vertical="center" wrapText="1"/>
    </xf>
    <xf numFmtId="0" fontId="23" fillId="0" borderId="0" xfId="0" applyFont="1" applyNumberFormat="1">
      <alignment horizontal="left" vertical="center" wrapText="1"/>
    </xf>
    <xf numFmtId="0" fontId="23" fillId="0" borderId="17" xfId="0" applyFont="1" applyBorder="1" applyNumberFormat="1">
      <alignment horizontal="center" vertical="center" wrapText="1"/>
    </xf>
    <xf numFmtId="0" fontId="23" fillId="44" borderId="23" xfId="0" applyFont="1" applyFill="1" applyBorder="1" applyNumberFormat="1">
      <alignment vertical="center" wrapText="1"/>
    </xf>
    <xf numFmtId="0" fontId="23" fillId="0" borderId="19" xfId="0" applyFont="1" applyBorder="1" applyNumberFormat="1">
      <alignment horizontal="center" vertical="center" wrapText="1"/>
    </xf>
    <xf numFmtId="49" fontId="23" fillId="46" borderId="16" xfId="0" applyFont="1" applyFill="1" applyBorder="1" applyNumberFormat="1">
      <alignment horizontal="center" vertical="center" wrapText="1"/>
    </xf>
    <xf numFmtId="49" fontId="23" fillId="46" borderId="16"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44" borderId="32" xfId="0" applyFont="1" applyFill="1" applyBorder="1" applyNumberFormat="1">
      <alignment vertical="center" wrapText="1"/>
    </xf>
    <xf numFmtId="0" fontId="23" fillId="0" borderId="0" xfId="0" applyFont="1" applyNumberFormat="1">
      <alignment horizontal="left" vertical="center" wrapText="1" indent="1"/>
    </xf>
    <xf numFmtId="0" fontId="22" fillId="0" borderId="0" xfId="0" applyFont="1" applyNumberFormat="1">
      <alignment vertical="center" wrapText="1"/>
    </xf>
    <xf numFmtId="0" fontId="0" fillId="38" borderId="18" xfId="0" applyFont="1" applyFill="1" applyBorder="1" applyNumberFormat="1">
      <alignment horizontal="right" vertical="center" wrapText="1" indent="1"/>
    </xf>
    <xf numFmtId="0" fontId="80" fillId="0" borderId="0" xfId="0" applyFont="1" applyNumberFormat="1">
      <alignment vertical="center" wrapText="1"/>
    </xf>
    <xf numFmtId="0" fontId="0" fillId="0" borderId="21" xfId="0" applyFont="1" applyBorder="1" applyNumberFormat="1">
      <alignment horizontal="center" vertical="center" wrapText="1"/>
    </xf>
    <xf numFmtId="0" fontId="23" fillId="38" borderId="18" xfId="0" applyFont="1" applyFill="1" applyBorder="1" applyNumberFormat="1">
      <alignment horizontal="center" vertical="center" wrapText="1"/>
    </xf>
    <xf numFmtId="0" fontId="23" fillId="38" borderId="19" xfId="0" applyFont="1" applyFill="1" applyBorder="1" applyNumberFormat="1">
      <alignment horizontal="center" vertical="center" wrapText="1"/>
    </xf>
    <xf numFmtId="0" fontId="23" fillId="38" borderId="17" xfId="0" applyFont="1" applyFill="1" applyBorder="1" applyNumberFormat="1">
      <alignment horizontal="center" vertical="center" wrapText="1"/>
    </xf>
    <xf numFmtId="0" fontId="0" fillId="0" borderId="27" xfId="0" applyFont="1" applyBorder="1" applyNumberFormat="1">
      <alignment horizontal="center" vertical="center" wrapText="1"/>
    </xf>
    <xf numFmtId="0" fontId="0" fillId="0" borderId="18" xfId="0" applyFont="1" applyBorder="1" applyNumberFormat="1">
      <alignment horizontal="center" vertical="center" wrapText="1"/>
    </xf>
    <xf numFmtId="0" fontId="0" fillId="0" borderId="17" xfId="0" applyFont="1" applyBorder="1" applyNumberFormat="1">
      <alignment horizontal="center" vertical="center" wrapText="1"/>
    </xf>
    <xf numFmtId="49" fontId="47" fillId="38" borderId="0" xfId="0" applyFont="1" applyFill="1" applyNumberFormat="1">
      <alignment horizontal="center" vertical="center" wrapText="1"/>
    </xf>
    <xf numFmtId="49" fontId="47" fillId="38" borderId="19" xfId="0" applyFont="1" applyFill="1" applyBorder="1" applyNumberFormat="1">
      <alignment horizontal="center" vertical="center" wrapText="1"/>
    </xf>
    <xf numFmtId="49" fontId="0" fillId="38" borderId="18" xfId="0" applyFont="1" applyFill="1" applyBorder="1" applyNumberFormat="1">
      <alignment horizontal="center" vertical="center" wrapText="1"/>
    </xf>
    <xf numFmtId="49" fontId="0" fillId="38" borderId="21" xfId="0" applyFont="1" applyFill="1" applyBorder="1" applyNumberFormat="1">
      <alignment horizontal="center" vertical="center" wrapText="1"/>
    </xf>
    <xf numFmtId="0" fontId="0" fillId="0" borderId="40" xfId="0" applyFont="1" applyBorder="1" applyNumberFormat="1">
      <alignment horizontal="left" vertical="center" wrapText="1"/>
    </xf>
    <xf numFmtId="0" fontId="0" fillId="0" borderId="40" xfId="0" applyFont="1" applyBorder="1" applyNumberFormat="1">
      <alignment horizontal="left" vertical="center" wrapText="1"/>
    </xf>
    <xf numFmtId="0" fontId="0" fillId="0" borderId="27" xfId="0" applyFont="1" applyBorder="1" applyNumberFormat="1">
      <alignment horizontal="left" vertical="center" wrapText="1"/>
    </xf>
    <xf numFmtId="0" fontId="23" fillId="0" borderId="27" xfId="0" applyFont="1" applyBorder="1" applyNumberFormat="1">
      <alignment horizontal="left" vertical="center" wrapText="1"/>
    </xf>
    <xf numFmtId="0" fontId="50" fillId="38" borderId="28" xfId="0" applyFont="1" applyFill="1" applyBorder="1" applyNumberFormat="1">
      <alignment horizontal="center" vertical="top" wrapText="1"/>
    </xf>
    <xf numFmtId="49" fontId="0" fillId="38" borderId="16" xfId="0" applyFont="1" applyFill="1" applyBorder="1" applyNumberFormat="1">
      <alignment horizontal="center" vertical="center" wrapText="1"/>
    </xf>
    <xf numFmtId="0" fontId="134" fillId="42" borderId="16" xfId="0" applyFont="1" applyFill="1" applyBorder="1" applyNumberFormat="1">
      <alignment horizontal="left" vertical="center" wrapText="1" indent="1"/>
    </xf>
    <xf numFmtId="0" fontId="0" fillId="42" borderId="16" xfId="0" applyFont="1" applyFill="1" applyBorder="1" applyNumberFormat="1">
      <alignment horizontal="left" vertical="center" wrapText="1" indent="1"/>
    </xf>
    <xf numFmtId="170" fontId="0" fillId="45" borderId="17" xfId="0" applyFont="1" applyFill="1" applyBorder="1" applyNumberFormat="1">
      <alignment horizontal="left" vertical="center" wrapText="1"/>
      <protection locked="0"/>
    </xf>
    <xf numFmtId="0" fontId="23" fillId="44" borderId="31" xfId="0" applyFont="1" applyFill="1" applyBorder="1" applyNumberFormat="1">
      <alignment vertical="center" wrapText="1"/>
    </xf>
    <xf numFmtId="49" fontId="51" fillId="44" borderId="32" xfId="0" applyFont="1" applyFill="1" applyBorder="1" applyNumberFormat="1">
      <alignment horizontal="left" vertical="center" indent="1"/>
    </xf>
    <xf numFmtId="49" fontId="51" fillId="44" borderId="32" xfId="0" applyFont="1" applyFill="1" applyBorder="1" applyNumberFormat="1">
      <alignment horizontal="left" vertical="center" indent="2"/>
    </xf>
    <xf numFmtId="0" fontId="23" fillId="0" borderId="16" xfId="0" applyFont="1" applyBorder="1" applyNumberFormat="1">
      <alignment vertical="top" wrapText="1"/>
    </xf>
    <xf numFmtId="4" fontId="134" fillId="45" borderId="16" xfId="0" applyFont="1" applyFill="1" applyBorder="1" applyNumberFormat="1">
      <alignment horizontal="right" vertical="center" wrapText="1"/>
      <protection locked="0"/>
    </xf>
    <xf numFmtId="49" fontId="0" fillId="38" borderId="21" xfId="0" applyFont="1" applyFill="1" applyBorder="1" applyNumberFormat="1">
      <alignment horizontal="center" vertical="center" wrapText="1"/>
    </xf>
    <xf numFmtId="49" fontId="0" fillId="38" borderId="27" xfId="0" applyFont="1" applyFill="1" applyBorder="1" applyNumberFormat="1">
      <alignment horizontal="center" vertical="center" wrapText="1"/>
    </xf>
    <xf numFmtId="49" fontId="23" fillId="0" borderId="23" xfId="0" applyFont="1" applyBorder="1" applyNumberFormat="1">
      <alignment vertical="top"/>
    </xf>
    <xf numFmtId="0" fontId="22" fillId="0" borderId="0" xfId="0" applyFont="1" applyNumberFormat="1">
      <alignment horizontal="right" vertical="top"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0" fontId="23" fillId="34" borderId="18" xfId="0" applyFont="1" applyFill="1" applyBorder="1" applyNumberFormat="1">
      <alignment horizontal="left" vertical="center" wrapText="1"/>
      <protection locked="0"/>
    </xf>
    <xf numFmtId="0" fontId="23" fillId="34" borderId="19" xfId="0" applyFont="1" applyFill="1" applyBorder="1" applyNumberFormat="1">
      <alignment horizontal="left" vertical="center" wrapText="1"/>
      <protection locked="0"/>
    </xf>
    <xf numFmtId="0" fontId="23" fillId="34" borderId="17" xfId="0" applyFont="1" applyFill="1" applyBorder="1" applyNumberFormat="1">
      <alignment horizontal="left" vertical="center" wrapText="1"/>
      <protection locked="0"/>
    </xf>
    <xf numFmtId="49" fontId="23" fillId="34" borderId="18" xfId="0" applyFont="1" applyFill="1" applyBorder="1" applyNumberFormat="1">
      <alignment horizontal="left" vertical="center" wrapText="1"/>
      <protection locked="0"/>
    </xf>
    <xf numFmtId="49" fontId="23" fillId="34" borderId="19" xfId="0" applyFont="1" applyFill="1" applyBorder="1" applyNumberFormat="1">
      <alignment horizontal="left" vertical="center" wrapText="1"/>
      <protection locked="0"/>
    </xf>
    <xf numFmtId="49" fontId="23" fillId="34" borderId="17" xfId="0" applyFont="1" applyFill="1" applyBorder="1" applyNumberFormat="1">
      <alignment horizontal="left" vertical="center" wrapText="1"/>
      <protection locked="0"/>
    </xf>
    <xf numFmtId="49" fontId="23" fillId="34" borderId="16" xfId="0" applyFont="1" applyFill="1" applyBorder="1" applyNumberFormat="1">
      <alignment horizontal="left" vertical="center" wrapText="1" indent="6"/>
      <protection locked="0"/>
    </xf>
    <xf numFmtId="4" fontId="131" fillId="0" borderId="41" xfId="0" applyFont="1" applyBorder="1" applyNumberFormat="1">
      <alignment horizontal="right" vertical="center" wrapText="1"/>
    </xf>
    <xf numFmtId="0" fontId="56" fillId="0" borderId="16" xfId="0" applyFont="1" applyBorder="1" applyNumberFormat="1">
      <alignment horizontal="left" vertical="top" wrapText="1"/>
    </xf>
    <xf numFmtId="49" fontId="23" fillId="0" borderId="16" xfId="0" applyFont="1" applyBorder="1" applyNumberFormat="1">
      <alignment horizontal="left" vertical="center" wrapText="1"/>
    </xf>
    <xf numFmtId="4" fontId="131" fillId="0" borderId="31" xfId="0" applyFont="1" applyBorder="1" applyNumberFormat="1">
      <alignment horizontal="right" vertical="center" wrapText="1"/>
    </xf>
    <xf numFmtId="49" fontId="0" fillId="44" borderId="34" xfId="0" applyFont="1" applyFill="1" applyBorder="1" applyNumberFormat="1">
      <alignment horizontal="center" vertical="center" wrapText="1"/>
    </xf>
    <xf numFmtId="0" fontId="58" fillId="0" borderId="0" xfId="0" applyFont="1" applyNumberFormat="1">
      <alignment horizontal="center" vertical="center"/>
    </xf>
    <xf numFmtId="0" fontId="57" fillId="0" borderId="0" xfId="0" applyFont="1" applyNumberFormat="1">
      <alignment horizontal="center" vertical="center" wrapText="1"/>
    </xf>
    <xf numFmtId="0" fontId="119" fillId="0" borderId="0" xfId="0" applyFont="1" applyNumberFormat="1">
      <alignment vertical="center" wrapText="1"/>
    </xf>
    <xf numFmtId="0" fontId="23" fillId="0" borderId="0" xfId="0" applyFont="1" applyNumberFormat="1">
      <alignment horizontal="right" vertical="center" wrapText="1"/>
    </xf>
    <xf numFmtId="0" fontId="23" fillId="0" borderId="21" xfId="0" applyFont="1" applyBorder="1" applyNumberFormat="1">
      <alignment horizontal="center"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57" fillId="0" borderId="0" xfId="0" applyFont="1" applyNumberFormat="1">
      <alignment horizontal="center" vertical="center" wrapText="1"/>
    </xf>
    <xf numFmtId="49" fontId="23" fillId="0" borderId="0" xfId="0" applyFont="1" applyNumberFormat="1">
      <alignment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58" fillId="0" borderId="0" xfId="0" applyFont="1" applyNumberFormat="1">
      <alignment horizontal="center" vertical="center"/>
    </xf>
    <xf numFmtId="0" fontId="57" fillId="0" borderId="0" xfId="0" applyFont="1" applyNumberFormat="1">
      <alignment horizontal="center" vertical="center" wrapText="1"/>
    </xf>
    <xf numFmtId="0" fontId="23" fillId="0" borderId="0" xfId="0" applyFont="1" applyNumberFormat="1">
      <alignment horizontal="right" vertical="center" wrapText="1"/>
    </xf>
    <xf numFmtId="0" fontId="23" fillId="0" borderId="21" xfId="0" applyFont="1" applyBorder="1" applyNumberFormat="1">
      <alignment horizontal="center"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57" fillId="0" borderId="0" xfId="0" applyFont="1" applyNumberFormat="1">
      <alignment horizontal="center" vertical="center" wrapText="1"/>
    </xf>
    <xf numFmtId="49" fontId="23" fillId="0" borderId="0" xfId="0" applyFont="1" applyNumberFormat="1">
      <alignment vertical="center" wrapText="1"/>
    </xf>
    <xf numFmtId="0" fontId="23" fillId="38" borderId="16" xfId="0" applyFont="1" applyFill="1" applyBorder="1" applyNumberFormat="1">
      <alignment horizontal="left" vertical="center" wrapText="1"/>
    </xf>
    <xf numFmtId="0" fontId="120" fillId="0" borderId="0" xfId="0" applyFont="1" applyNumberFormat="1">
      <alignment vertical="center" wrapText="1"/>
    </xf>
    <xf numFmtId="0" fontId="120" fillId="38" borderId="0" xfId="0" applyFont="1" applyFill="1" applyNumberFormat="1">
      <alignment horizontal="center" vertical="center" wrapText="1"/>
    </xf>
    <xf numFmtId="0" fontId="58" fillId="38" borderId="16" xfId="0" applyFont="1" applyFill="1" applyBorder="1" applyNumberFormat="1">
      <alignment horizontal="left" vertical="center" wrapText="1" indent="3"/>
    </xf>
    <xf numFmtId="0" fontId="58" fillId="0" borderId="0" xfId="0" applyFont="1" applyNumberFormat="1">
      <alignment horizontal="center" vertical="center" wrapText="1"/>
    </xf>
    <xf numFmtId="49" fontId="23" fillId="34" borderId="21" xfId="0" applyFont="1" applyFill="1" applyBorder="1" applyNumberFormat="1">
      <alignment horizontal="left" vertical="center" wrapText="1" indent="6"/>
      <protection locked="0"/>
    </xf>
    <xf numFmtId="4" fontId="23" fillId="45" borderId="16" xfId="0" applyFont="1" applyFill="1" applyBorder="1" applyNumberFormat="1">
      <alignment horizontal="left" vertical="center" wrapText="1" indent="1"/>
      <protection locked="0"/>
    </xf>
    <xf numFmtId="49" fontId="23" fillId="46" borderId="16" xfId="0" applyFont="1" applyFill="1" applyBorder="1" applyNumberFormat="1">
      <alignment horizontal="left" vertical="center" wrapText="1" indent="1"/>
      <protection locked="0"/>
    </xf>
    <xf numFmtId="0" fontId="23" fillId="0" borderId="41" xfId="0" applyFont="1" applyBorder="1" applyNumberFormat="1">
      <alignment horizontal="center" vertical="center" wrapText="1"/>
    </xf>
    <xf numFmtId="4" fontId="23" fillId="45" borderId="16" xfId="0" applyFont="1" applyFill="1" applyBorder="1" applyNumberFormat="1">
      <alignment horizontal="center" vertical="center" wrapText="1"/>
      <protection locked="0"/>
    </xf>
    <xf numFmtId="49" fontId="23" fillId="46" borderId="24"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23" fillId="34" borderId="40" xfId="0" applyFont="1" applyFill="1" applyBorder="1" applyNumberFormat="1">
      <alignment horizontal="left" vertical="center" wrapText="1" indent="6"/>
      <protection locked="0"/>
    </xf>
    <xf numFmtId="0" fontId="23" fillId="0" borderId="31" xfId="0" applyFont="1" applyBorder="1" applyNumberFormat="1">
      <alignment horizontal="center" vertical="center" wrapText="1"/>
    </xf>
    <xf numFmtId="49" fontId="23" fillId="46" borderId="34" xfId="0" applyFont="1" applyFill="1" applyBorder="1" applyNumberFormat="1">
      <alignment horizontal="center" vertical="center" wrapText="1"/>
    </xf>
    <xf numFmtId="49" fontId="51" fillId="44" borderId="32" xfId="0" applyFont="1" applyFill="1" applyBorder="1" applyNumberFormat="1">
      <alignment horizontal="left" vertical="center"/>
    </xf>
    <xf numFmtId="49" fontId="23" fillId="34" borderId="27" xfId="0" applyFont="1" applyFill="1" applyBorder="1" applyNumberFormat="1">
      <alignment horizontal="left" vertical="center" wrapText="1" indent="6"/>
      <protection locked="0"/>
    </xf>
    <xf numFmtId="0" fontId="58" fillId="0" borderId="0" xfId="0" applyFont="1" applyNumberFormat="1">
      <alignment horizontal="center" vertical="center"/>
    </xf>
    <xf numFmtId="0" fontId="58" fillId="0" borderId="0" xfId="0" applyFont="1" applyNumberFormat="1">
      <alignment horizontal="left" vertical="center" wrapText="1" indent="1"/>
    </xf>
    <xf numFmtId="0" fontId="23" fillId="38" borderId="16" xfId="0" applyFont="1" applyFill="1" applyBorder="1" applyNumberFormat="1">
      <alignment horizontal="center" vertical="center" wrapText="1"/>
    </xf>
    <xf numFmtId="0" fontId="58" fillId="0" borderId="23" xfId="0" applyFont="1" applyBorder="1" applyNumberFormat="1">
      <alignment horizontal="left" vertical="center" wrapText="1"/>
    </xf>
    <xf numFmtId="0" fontId="23" fillId="0" borderId="0" xfId="0" applyFont="1" applyNumberFormat="1">
      <alignment horizontal="left" vertical="top" wrapText="1"/>
    </xf>
    <xf numFmtId="0" fontId="5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33" xfId="0" applyFont="1" applyBorder="1" applyNumberFormat="1">
      <alignment horizontal="center" vertical="center" wrapText="1"/>
    </xf>
    <xf numFmtId="0" fontId="23" fillId="45" borderId="16" xfId="0" applyFont="1" applyFill="1" applyBorder="1" applyNumberFormat="1">
      <alignment horizontal="left" vertical="center" wrapText="1" indent="2"/>
      <protection locked="0"/>
    </xf>
    <xf numFmtId="0" fontId="23" fillId="0" borderId="16" xfId="0" applyFont="1" applyBorder="1" applyNumberFormat="1">
      <alignment horizontal="center" vertical="center" wrapText="1"/>
    </xf>
    <xf numFmtId="0" fontId="92" fillId="0" borderId="0" xfId="0" applyFont="1" applyNumberFormat="1">
      <alignment vertical="center" wrapText="1"/>
    </xf>
    <xf numFmtId="0" fontId="58" fillId="0" borderId="0" xfId="0" applyFont="1" applyNumberFormat="1">
      <alignment vertical="center" wrapText="1"/>
    </xf>
    <xf numFmtId="0" fontId="58" fillId="0" borderId="33" xfId="0" applyFont="1" applyBorder="1" applyNumberFormat="1">
      <alignment horizontal="center" vertical="center" wrapText="1"/>
    </xf>
    <xf numFmtId="0" fontId="58" fillId="0" borderId="16" xfId="0" applyFont="1" applyBorder="1" applyNumberFormat="1">
      <alignment horizontal="left" vertical="center" wrapText="1" indent="2"/>
    </xf>
    <xf numFmtId="0" fontId="58" fillId="0" borderId="16" xfId="0" applyFont="1" applyBorder="1" applyNumberFormat="1">
      <alignment horizontal="center" vertical="center" wrapText="1"/>
    </xf>
    <xf numFmtId="0" fontId="58" fillId="0" borderId="16" xfId="0" applyFont="1" applyBorder="1" applyNumberFormat="1">
      <alignment vertical="center" wrapText="1"/>
    </xf>
    <xf numFmtId="0" fontId="23" fillId="0" borderId="16" xfId="0" applyFont="1" applyBorder="1" applyNumberFormat="1">
      <alignment horizontal="left" vertical="center" wrapText="1" indent="3"/>
    </xf>
    <xf numFmtId="49" fontId="23" fillId="45" borderId="16" xfId="0" applyFont="1" applyFill="1" applyBorder="1" applyNumberFormat="1">
      <alignment horizontal="center" vertical="center" wrapText="1"/>
      <protection locked="0"/>
    </xf>
    <xf numFmtId="4" fontId="23" fillId="34" borderId="16" xfId="0" applyFont="1" applyFill="1" applyBorder="1" applyNumberFormat="1">
      <alignment horizontal="right" vertical="center" wrapText="1"/>
      <protection locked="0"/>
    </xf>
    <xf numFmtId="0" fontId="23" fillId="34" borderId="16" xfId="0" applyFont="1" applyFill="1" applyBorder="1" applyNumberFormat="1">
      <alignment horizontal="left" vertical="center" wrapText="1"/>
      <protection locked="0"/>
    </xf>
    <xf numFmtId="49" fontId="99" fillId="0" borderId="0" xfId="0" applyFont="1" applyNumberFormat="1">
      <alignment horizontal="center" vertical="center" wrapText="1"/>
    </xf>
    <xf numFmtId="49" fontId="23" fillId="0" borderId="0" xfId="0" applyFont="1" applyNumberFormat="1">
      <alignment horizontal="center" vertical="top" wrapText="1"/>
    </xf>
    <xf numFmtId="0" fontId="23" fillId="0" borderId="16" xfId="0" applyFont="1" applyBorder="1" applyNumberFormat="1">
      <alignment horizontal="center" vertical="center" wrapText="1"/>
    </xf>
    <xf numFmtId="0" fontId="23" fillId="0" borderId="17" xfId="0" applyFont="1" applyBorder="1" applyNumberFormat="1">
      <alignment vertical="top" wrapText="1"/>
    </xf>
    <xf numFmtId="0" fontId="62" fillId="0" borderId="0" xfId="0" applyFont="1" applyNumberFormat="1">
      <alignment vertical="center" wrapText="1"/>
    </xf>
    <xf numFmtId="0" fontId="23" fillId="0" borderId="17" xfId="0" applyFont="1" applyBorder="1" applyNumberFormat="1">
      <alignment horizontal="center" vertical="center" wrapText="1"/>
    </xf>
    <xf numFmtId="169" fontId="23" fillId="34" borderId="16" xfId="0" applyFont="1" applyFill="1" applyBorder="1" applyNumberFormat="1">
      <alignment horizontal="right" vertical="center" wrapText="1"/>
      <protection locked="0"/>
    </xf>
    <xf numFmtId="0" fontId="23" fillId="0" borderId="24" xfId="0" applyFont="1" applyBorder="1" applyNumberFormat="1">
      <alignment vertical="center" wrapText="1"/>
    </xf>
    <xf numFmtId="0" fontId="43" fillId="0" borderId="0" xfId="0" applyFont="1" applyNumberFormat="1">
      <alignment vertical="center" wrapText="1"/>
    </xf>
    <xf numFmtId="0" fontId="22" fillId="0" borderId="0" xfId="0" applyFont="1" applyNumberFormat="1">
      <alignment vertical="center" wrapText="1"/>
    </xf>
    <xf numFmtId="0" fontId="23" fillId="0" borderId="0" xfId="0" applyFont="1" applyNumberFormat="1">
      <alignment horizontal="left" vertical="center" wrapText="1" indent="3"/>
    </xf>
    <xf numFmtId="0" fontId="58" fillId="0" borderId="0" xfId="0" applyFont="1" applyNumberFormat="1">
      <alignment vertical="center" wrapText="1"/>
    </xf>
    <xf numFmtId="0" fontId="105" fillId="38" borderId="0" xfId="0" applyFont="1" applyFill="1" applyNumberFormat="1">
      <alignment horizontal="right" vertical="center"/>
    </xf>
    <xf numFmtId="0" fontId="23" fillId="42" borderId="18" xfId="0" applyFont="1" applyFill="1" applyBorder="1" applyNumberFormat="1">
      <alignment horizontal="left" vertical="top"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16" xfId="0" applyFont="1" applyBorder="1" applyNumberFormat="1">
      <alignment horizontal="left" vertical="center" wrapText="1"/>
    </xf>
    <xf numFmtId="4" fontId="23" fillId="45" borderId="16" xfId="0" applyFont="1" applyFill="1" applyBorder="1" applyNumberFormat="1">
      <alignment horizontal="right" vertical="center" wrapText="1"/>
      <protection locked="0"/>
    </xf>
    <xf numFmtId="0" fontId="23" fillId="0" borderId="16" xfId="0" applyFont="1" applyBorder="1" applyNumberFormat="1">
      <alignment horizontal="left" vertical="center" wrapText="1" indent="1"/>
    </xf>
    <xf numFmtId="49" fontId="99" fillId="51" borderId="0" xfId="0" applyFont="1" applyFill="1" applyNumberFormat="1">
      <alignment horizontal="center" vertical="center" textRotation="90" wrapText="1"/>
    </xf>
    <xf numFmtId="0" fontId="81" fillId="0" borderId="0" xfId="0" applyFont="1" applyNumberFormat="1">
      <alignment vertical="center" wrapText="1"/>
    </xf>
    <xf numFmtId="0" fontId="81" fillId="0" borderId="0" xfId="0" applyFont="1" applyNumberFormat="1">
      <alignment horizontal="center" vertical="center" wrapText="1"/>
    </xf>
    <xf numFmtId="49" fontId="81" fillId="0" borderId="0" xfId="0" applyFont="1" applyNumberFormat="1">
      <alignment horizontal="center" vertical="center" wrapText="1"/>
    </xf>
    <xf numFmtId="49" fontId="81" fillId="0" borderId="33" xfId="0" applyFont="1" applyBorder="1" applyNumberFormat="1">
      <alignment horizontal="center" vertical="center" wrapText="1"/>
    </xf>
    <xf numFmtId="0" fontId="81" fillId="0" borderId="16" xfId="0" applyFont="1" applyBorder="1" applyNumberFormat="1">
      <alignment horizontal="left" vertical="center" wrapText="1" indent="2"/>
    </xf>
    <xf numFmtId="0" fontId="81" fillId="0" borderId="16" xfId="0" applyFont="1" applyBorder="1" applyNumberFormat="1">
      <alignment horizontal="center" vertical="center" wrapText="1"/>
    </xf>
    <xf numFmtId="0" fontId="81" fillId="0" borderId="16" xfId="0" applyFont="1" applyBorder="1" applyNumberFormat="1">
      <alignment vertical="center" wrapText="1"/>
    </xf>
    <xf numFmtId="0" fontId="93" fillId="0" borderId="0" xfId="0" applyFont="1" applyNumberFormat="1">
      <alignment vertical="center" wrapText="1"/>
    </xf>
    <xf numFmtId="0" fontId="71" fillId="0" borderId="0" xfId="0" applyFont="1" applyNumberFormat="1">
      <alignment vertical="center" wrapText="1"/>
    </xf>
    <xf numFmtId="0" fontId="81" fillId="0" borderId="33" xfId="0" applyFont="1" applyBorder="1" applyNumberFormat="1">
      <alignment horizontal="center" vertical="center" wrapText="1"/>
    </xf>
    <xf numFmtId="0" fontId="81" fillId="0" borderId="16" xfId="0" applyFont="1" applyBorder="1" applyNumberFormat="1">
      <alignment horizontal="left" vertical="center" wrapText="1" indent="3"/>
    </xf>
    <xf numFmtId="4" fontId="81" fillId="0" borderId="16" xfId="0" applyFont="1" applyBorder="1" applyNumberFormat="1">
      <alignment horizontal="right" vertical="center" wrapText="1"/>
    </xf>
    <xf numFmtId="0" fontId="48" fillId="0" borderId="0" xfId="0" applyFont="1" applyNumberFormat="1">
      <alignment horizontal="center" vertical="center" wrapText="1"/>
    </xf>
    <xf numFmtId="49" fontId="23" fillId="44" borderId="18" xfId="0" applyFont="1" applyFill="1" applyBorder="1" applyNumberFormat="1">
      <alignment vertical="center" wrapText="1"/>
    </xf>
    <xf numFmtId="0" fontId="23" fillId="0" borderId="16" xfId="0" applyFont="1" applyBorder="1" applyNumberFormat="1">
      <alignment horizontal="left" vertical="center" wrapText="1" indent="2"/>
    </xf>
    <xf numFmtId="14" fontId="23" fillId="0" borderId="0" xfId="0" applyFont="1" applyNumberFormat="1">
      <alignment horizontal="center" vertical="center" wrapText="1"/>
    </xf>
    <xf numFmtId="49" fontId="99" fillId="51" borderId="0" xfId="0" applyFont="1" applyFill="1" applyNumberFormat="1">
      <alignment horizontal="center" vertical="center" wrapText="1"/>
    </xf>
    <xf numFmtId="49" fontId="36" fillId="0" borderId="0" xfId="0" applyFont="1" applyNumberFormat="1">
      <alignment horizontal="center" vertical="center"/>
    </xf>
    <xf numFmtId="169" fontId="23" fillId="45" borderId="16" xfId="0" applyFont="1" applyFill="1" applyBorder="1" applyNumberFormat="1">
      <alignment horizontal="right" vertical="center" wrapText="1"/>
      <protection locked="0"/>
    </xf>
    <xf numFmtId="0" fontId="57" fillId="0" borderId="0" xfId="0" applyFont="1" applyNumberFormat="1">
      <alignment horizontal="left" vertical="center" wrapText="1"/>
    </xf>
    <xf numFmtId="49" fontId="99" fillId="0" borderId="0" xfId="0" applyFont="1" applyNumberFormat="1">
      <alignment horizontal="left" vertical="center" wrapText="1"/>
    </xf>
    <xf numFmtId="0" fontId="58" fillId="0" borderId="0" xfId="0" applyFont="1" applyNumberFormat="1">
      <alignment horizontal="left" vertical="center" wrapText="1"/>
    </xf>
    <xf numFmtId="0" fontId="62" fillId="0" borderId="0" xfId="0" applyFont="1" applyNumberFormat="1">
      <alignment horizontal="left" vertical="center" wrapText="1"/>
    </xf>
    <xf numFmtId="0" fontId="43" fillId="0" borderId="0" xfId="0" applyFont="1" applyNumberFormat="1">
      <alignment horizontal="left" vertical="center" wrapText="1"/>
    </xf>
    <xf numFmtId="49" fontId="23" fillId="46" borderId="16" xfId="0" applyFont="1" applyFill="1" applyBorder="1" applyNumberFormat="1">
      <alignment horizontal="left" vertical="center" wrapText="1"/>
    </xf>
    <xf numFmtId="0" fontId="23" fillId="0" borderId="21" xfId="0" applyFont="1" applyBorder="1" applyNumberFormat="1">
      <alignment horizontal="center" vertical="center" wrapText="1"/>
    </xf>
    <xf numFmtId="4" fontId="23" fillId="42" borderId="21" xfId="0" applyFont="1" applyFill="1" applyBorder="1" applyNumberFormat="1">
      <alignment horizontal="right" vertical="center" wrapText="1"/>
    </xf>
    <xf numFmtId="0" fontId="58" fillId="0" borderId="16" xfId="0" applyFont="1" applyBorder="1" applyNumberFormat="1">
      <alignment horizontal="left" vertical="center" wrapText="1" indent="3"/>
    </xf>
    <xf numFmtId="49" fontId="58" fillId="0" borderId="16" xfId="0" applyFont="1" applyBorder="1" applyNumberFormat="1">
      <alignment vertical="center" wrapText="1"/>
    </xf>
    <xf numFmtId="0" fontId="58" fillId="0" borderId="21" xfId="0" applyFont="1" applyBorder="1" applyNumberFormat="1">
      <alignment vertical="top" wrapText="1"/>
    </xf>
    <xf numFmtId="4" fontId="23" fillId="45" borderId="17" xfId="0" applyFont="1" applyFill="1" applyBorder="1" applyNumberFormat="1">
      <alignment horizontal="right" vertical="center" wrapText="1"/>
      <protection locked="0"/>
    </xf>
    <xf numFmtId="49" fontId="30" fillId="34" borderId="17" xfId="0" applyFont="1" applyFill="1" applyBorder="1" applyNumberFormat="1">
      <alignment horizontal="left" vertical="center" wrapText="1"/>
      <protection locked="0"/>
    </xf>
    <xf numFmtId="0" fontId="57" fillId="0" borderId="0" xfId="0" applyFont="1" applyNumberFormat="1">
      <alignment vertical="center" wrapText="1"/>
    </xf>
    <xf numFmtId="0" fontId="58" fillId="0" borderId="0" xfId="0" applyFont="1" applyNumberFormat="1">
      <alignment vertical="center" wrapText="1"/>
    </xf>
    <xf numFmtId="49" fontId="23" fillId="0" borderId="0" xfId="0" applyFont="1" applyNumberFormat="1">
      <alignment horizontal="center" vertical="center" wrapText="1"/>
    </xf>
    <xf numFmtId="0" fontId="23" fillId="0" borderId="16" xfId="0" applyFont="1" applyBorder="1" applyNumberFormat="1">
      <alignment horizontal="center" vertical="center" wrapText="1"/>
    </xf>
    <xf numFmtId="169" fontId="23" fillId="45" borderId="17" xfId="0" applyFont="1" applyFill="1" applyBorder="1" applyNumberFormat="1">
      <alignment horizontal="right" vertical="center" wrapText="1"/>
      <protection locked="0"/>
    </xf>
    <xf numFmtId="0" fontId="92" fillId="0" borderId="0" xfId="0" applyFont="1" applyNumberFormat="1">
      <alignment vertical="center" wrapText="1"/>
    </xf>
    <xf numFmtId="0" fontId="62" fillId="0" borderId="0" xfId="0" applyFont="1" applyNumberFormat="1">
      <alignment vertical="center" wrapText="1"/>
    </xf>
    <xf numFmtId="0" fontId="43" fillId="0" borderId="0" xfId="0" applyFont="1" applyNumberFormat="1">
      <alignment vertical="center" wrapText="1"/>
    </xf>
    <xf numFmtId="49" fontId="36" fillId="0" borderId="0" xfId="0" applyFont="1" applyNumberFormat="1">
      <alignment horizontal="center" vertical="center"/>
    </xf>
    <xf numFmtId="0" fontId="23" fillId="0" borderId="0" xfId="0" applyFont="1" applyNumberFormat="1">
      <alignment vertical="center" wrapText="1"/>
    </xf>
    <xf numFmtId="0" fontId="57" fillId="0" borderId="0" xfId="0" applyFont="1" applyNumberFormat="1">
      <alignment vertical="center" wrapText="1"/>
    </xf>
    <xf numFmtId="169" fontId="23" fillId="42" borderId="17" xfId="0" applyFont="1" applyFill="1" applyBorder="1" applyNumberFormat="1">
      <alignment horizontal="right" vertical="center" wrapText="1"/>
    </xf>
    <xf numFmtId="169" fontId="23" fillId="42" borderId="16" xfId="0" applyFont="1" applyFill="1" applyBorder="1" applyNumberFormat="1">
      <alignment horizontal="right" vertical="center" wrapText="1"/>
    </xf>
    <xf numFmtId="49" fontId="99" fillId="51" borderId="0" xfId="0" applyFont="1" applyFill="1" applyNumberFormat="1">
      <alignment horizontal="center" vertical="center" textRotation="90" wrapText="1"/>
    </xf>
    <xf numFmtId="0" fontId="23" fillId="45" borderId="16" xfId="0" applyFont="1" applyFill="1" applyBorder="1" applyNumberFormat="1">
      <alignment horizontal="center" vertical="center" wrapText="1"/>
      <protection locked="0"/>
    </xf>
    <xf numFmtId="4" fontId="23" fillId="45" borderId="34" xfId="0" applyFont="1" applyFill="1" applyBorder="1" applyNumberFormat="1">
      <alignment horizontal="right" vertical="center" wrapText="1"/>
      <protection locked="0"/>
    </xf>
    <xf numFmtId="4" fontId="23" fillId="45" borderId="27" xfId="0" applyFont="1" applyFill="1" applyBorder="1" applyNumberFormat="1">
      <alignment horizontal="right" vertical="center" wrapText="1"/>
      <protection locked="0"/>
    </xf>
    <xf numFmtId="0" fontId="58" fillId="0" borderId="40" xfId="0" applyFont="1" applyBorder="1" applyNumberFormat="1">
      <alignment horizontal="left" vertical="center" wrapText="1" indent="1"/>
    </xf>
    <xf numFmtId="0" fontId="58" fillId="0" borderId="40" xfId="0" applyFont="1" applyBorder="1" applyNumberFormat="1">
      <alignment horizontal="center" vertical="center" wrapText="1"/>
    </xf>
    <xf numFmtId="0" fontId="58" fillId="0" borderId="21" xfId="0" applyFont="1" applyBorder="1" applyNumberFormat="1">
      <alignment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0" borderId="27" xfId="0" applyFont="1" applyBorder="1" applyNumberFormat="1">
      <alignment vertical="top" wrapText="1"/>
    </xf>
    <xf numFmtId="0" fontId="23" fillId="0" borderId="17" xfId="0" applyFont="1" applyBorder="1" applyNumberFormat="1">
      <alignment horizontal="center" vertical="center" wrapText="1"/>
    </xf>
    <xf numFmtId="0" fontId="23" fillId="0" borderId="24" xfId="0" applyFont="1" applyBorder="1" applyNumberFormat="1">
      <alignment horizontal="center" vertical="center" wrapText="1"/>
    </xf>
    <xf numFmtId="169" fontId="23" fillId="45" borderId="21" xfId="0" applyFont="1" applyFill="1" applyBorder="1" applyNumberFormat="1">
      <alignment horizontal="right" vertical="center" wrapText="1"/>
      <protection locked="0"/>
    </xf>
    <xf numFmtId="0" fontId="58" fillId="0" borderId="27" xfId="0" applyFont="1" applyBorder="1" applyNumberFormat="1">
      <alignment horizontal="left" vertical="center" wrapText="1" indent="1"/>
    </xf>
    <xf numFmtId="0" fontId="58" fillId="0" borderId="21" xfId="0" applyFont="1" applyBorder="1" applyNumberFormat="1">
      <alignment horizontal="center" vertical="center" wrapText="1"/>
    </xf>
    <xf numFmtId="0" fontId="48" fillId="0" borderId="0" xfId="0" applyFont="1" applyNumberFormat="1">
      <alignment horizontal="center" vertical="center" wrapText="1"/>
    </xf>
    <xf numFmtId="49" fontId="23" fillId="44" borderId="41" xfId="0" applyFont="1" applyFill="1" applyBorder="1" applyNumberFormat="1">
      <alignment vertical="center" wrapText="1"/>
    </xf>
    <xf numFmtId="49" fontId="51" fillId="44" borderId="23" xfId="0" applyFont="1" applyFill="1" applyBorder="1" applyNumberFormat="1">
      <alignment horizontal="left" vertical="center" indent="1"/>
    </xf>
    <xf numFmtId="0" fontId="23" fillId="44" borderId="19" xfId="0" applyFont="1" applyFill="1" applyBorder="1" applyNumberFormat="1">
      <alignment vertical="center" wrapText="1"/>
    </xf>
    <xf numFmtId="0" fontId="57" fillId="44" borderId="17" xfId="0" applyFont="1" applyFill="1" applyBorder="1" applyNumberFormat="1">
      <alignment vertical="center" wrapText="1"/>
    </xf>
    <xf numFmtId="0" fontId="23" fillId="0" borderId="27" xfId="0" applyFont="1" applyBorder="1" applyNumberFormat="1">
      <alignment vertical="top" wrapText="1"/>
    </xf>
    <xf numFmtId="0" fontId="58" fillId="0" borderId="21" xfId="0" applyFont="1" applyBorder="1" applyNumberFormat="1">
      <alignment horizontal="left" vertical="center" wrapText="1" indent="1"/>
    </xf>
    <xf numFmtId="0" fontId="23" fillId="0" borderId="0" xfId="0" applyFont="1" applyNumberFormat="1">
      <alignment horizontal="left" vertical="top" wrapText="1"/>
    </xf>
    <xf numFmtId="0" fontId="62" fillId="0" borderId="0" xfId="0" applyFont="1" applyNumberFormat="1">
      <alignment vertical="center"/>
    </xf>
    <xf numFmtId="0" fontId="99" fillId="0" borderId="0" xfId="0" applyFont="1" applyNumberFormat="1">
      <alignment vertical="center" wrapText="1"/>
    </xf>
    <xf numFmtId="49" fontId="99" fillId="0" borderId="0" xfId="0" applyFont="1" applyNumberFormat="1">
      <alignment horizontal="center" vertical="center" wrapText="1"/>
    </xf>
    <xf numFmtId="0" fontId="23" fillId="0" borderId="0" xfId="0" applyFont="1" applyNumberFormat="1">
      <alignment vertical="center" wrapText="1"/>
    </xf>
    <xf numFmtId="0" fontId="62" fillId="0" borderId="0" xfId="0" applyFont="1" applyNumberFormat="1">
      <alignment vertical="center" wrapText="1"/>
    </xf>
    <xf numFmtId="0" fontId="23" fillId="0" borderId="23" xfId="0" applyFont="1" applyBorder="1" applyNumberFormat="1">
      <alignment vertical="center" wrapText="1"/>
    </xf>
    <xf numFmtId="0" fontId="23" fillId="0" borderId="23" xfId="0" applyFont="1" applyBorder="1" applyNumberFormat="1">
      <alignment horizontal="left" vertical="center" wrapText="1" indent="1"/>
    </xf>
    <xf numFmtId="0" fontId="23" fillId="0" borderId="0" xfId="0" applyFont="1" applyNumberFormat="1">
      <alignment horizontal="center" vertical="center" wrapText="1"/>
    </xf>
    <xf numFmtId="49" fontId="43" fillId="0" borderId="0" xfId="0" applyFont="1" applyNumberFormat="1">
      <alignment horizontal="center" vertical="center" wrapText="1"/>
    </xf>
    <xf numFmtId="0" fontId="23" fillId="0" borderId="32" xfId="0" applyFont="1" applyBorder="1" applyNumberFormat="1">
      <alignment vertical="center" wrapText="1"/>
    </xf>
    <xf numFmtId="0" fontId="23" fillId="0" borderId="32" xfId="0" applyFont="1" applyBorder="1" applyNumberFormat="1">
      <alignment horizontal="left" vertical="center" wrapText="1" indent="1"/>
    </xf>
    <xf numFmtId="0" fontId="58" fillId="0" borderId="0" xfId="0" applyFont="1" applyNumberFormat="1">
      <alignment vertical="center" wrapText="1"/>
    </xf>
    <xf numFmtId="0" fontId="43" fillId="0" borderId="0" xfId="0" applyFont="1" applyNumberFormat="1">
      <alignment vertical="center" wrapText="1"/>
    </xf>
    <xf numFmtId="0" fontId="36" fillId="0" borderId="0" xfId="0" applyFont="1" applyNumberFormat="1">
      <alignment horizontal="center" vertical="center" wrapText="1"/>
    </xf>
    <xf numFmtId="49" fontId="71" fillId="0" borderId="0" xfId="0" applyFont="1" applyNumberFormat="1">
      <alignment horizontal="center" vertical="center" wrapText="1"/>
    </xf>
    <xf numFmtId="0" fontId="81" fillId="0" borderId="0" xfId="0" applyFont="1" applyNumberFormat="1">
      <alignment horizontal="center" vertical="center" wrapText="1"/>
    </xf>
    <xf numFmtId="0" fontId="108" fillId="0" borderId="0" xfId="0" applyFont="1" applyNumberFormat="1">
      <alignment horizontal="center" vertical="center" wrapText="1"/>
    </xf>
    <xf numFmtId="0" fontId="109" fillId="38" borderId="0" xfId="0" applyFont="1" applyFill="1" applyNumberFormat="1">
      <alignment horizontal="right" vertical="center"/>
    </xf>
    <xf numFmtId="0" fontId="71" fillId="0" borderId="0" xfId="0" applyFont="1" applyNumberFormat="1">
      <alignment vertical="center" wrapText="1"/>
    </xf>
    <xf numFmtId="49" fontId="58" fillId="0" borderId="0" xfId="0" applyFont="1" applyNumberFormat="1">
      <alignment horizontal="center" vertical="center" wrapText="1"/>
    </xf>
    <xf numFmtId="49" fontId="58" fillId="0" borderId="0" xfId="0" applyFont="1" applyNumberFormat="1">
      <alignment horizontal="center" vertical="center" wrapText="1"/>
    </xf>
    <xf numFmtId="49" fontId="43" fillId="0" borderId="0" xfId="0" applyFont="1" applyNumberFormat="1">
      <alignment horizontal="center" vertical="center" wrapText="1"/>
    </xf>
    <xf numFmtId="9" fontId="36" fillId="0" borderId="0" xfId="0" applyFont="1" applyNumberFormat="1">
      <alignment horizontal="center" vertical="center" wrapText="1"/>
    </xf>
    <xf numFmtId="0" fontId="80" fillId="0" borderId="0" xfId="0" applyFont="1" applyNumberFormat="1">
      <alignment vertical="center" wrapText="1"/>
    </xf>
    <xf numFmtId="0" fontId="58" fillId="0" borderId="0" xfId="0" applyFont="1" applyNumberFormat="1">
      <alignment vertical="center" wrapText="1"/>
    </xf>
    <xf numFmtId="0" fontId="43" fillId="0" borderId="0" xfId="0" applyFont="1" applyNumberFormat="1">
      <alignment vertical="center" wrapText="1"/>
    </xf>
    <xf numFmtId="49" fontId="58" fillId="0" borderId="21" xfId="0" applyFont="1" applyBorder="1" applyNumberFormat="1">
      <alignment horizontal="center" vertical="center" wrapText="1"/>
    </xf>
    <xf numFmtId="49" fontId="58" fillId="0" borderId="40" xfId="0" applyFont="1" applyBorder="1" applyNumberFormat="1">
      <alignment horizontal="center" vertical="center" wrapText="1"/>
    </xf>
    <xf numFmtId="0" fontId="58" fillId="0" borderId="0" xfId="0" applyFont="1" applyNumberFormat="1">
      <alignment horizontal="center" vertical="center" wrapText="1"/>
    </xf>
    <xf numFmtId="0" fontId="23" fillId="0" borderId="27" xfId="0" applyFont="1" applyBorder="1" applyNumberFormat="1">
      <alignment horizontal="left" vertical="center" wrapText="1"/>
    </xf>
    <xf numFmtId="0" fontId="23" fillId="0" borderId="16" xfId="0" applyFont="1" applyBorder="1" applyNumberFormat="1">
      <alignment horizontal="left" vertical="center" wrapText="1"/>
    </xf>
    <xf numFmtId="0" fontId="57" fillId="0" borderId="0" xfId="0" applyFont="1" applyNumberFormat="1">
      <alignment horizontal="center" vertical="top"/>
    </xf>
    <xf numFmtId="0" fontId="58" fillId="0" borderId="0" xfId="0" applyFont="1" applyNumberFormat="1">
      <alignment horizontal="center" vertical="center" wrapText="1"/>
    </xf>
    <xf numFmtId="49" fontId="58" fillId="0" borderId="27" xfId="0" applyFont="1" applyBorder="1" applyNumberFormat="1">
      <alignment horizontal="center" vertical="center" wrapText="1"/>
    </xf>
    <xf numFmtId="49" fontId="51" fillId="0" borderId="23" xfId="0" applyFont="1" applyBorder="1" applyNumberFormat="1">
      <alignment horizontal="right" vertical="center"/>
    </xf>
    <xf numFmtId="0" fontId="23" fillId="0" borderId="0" xfId="0" applyFont="1" applyNumberFormat="1">
      <alignment horizontal="right" vertical="center" wrapText="1"/>
    </xf>
    <xf numFmtId="0" fontId="0" fillId="0" borderId="0" xfId="0" applyFont="1" applyNumberFormat="1">
      <alignment vertical="center"/>
    </xf>
    <xf numFmtId="0" fontId="56" fillId="0" borderId="0" xfId="0" applyFont="1" applyNumberFormat="1">
      <alignment horizontal="right" vertical="top" wrapText="1"/>
    </xf>
    <xf numFmtId="0" fontId="56" fillId="0" borderId="0" xfId="0" applyFont="1" applyNumberFormat="1">
      <alignment horizontal="left" vertical="top" wrapText="1"/>
    </xf>
    <xf numFmtId="49" fontId="43" fillId="0" borderId="0" xfId="0" applyFont="1" applyNumberFormat="1">
      <alignment horizontal="center" vertical="center" wrapText="1"/>
    </xf>
    <xf numFmtId="0" fontId="58" fillId="0" borderId="0" xfId="0" applyFont="1" applyNumberFormat="1">
      <alignment vertical="center" wrapText="1"/>
    </xf>
    <xf numFmtId="0" fontId="43" fillId="0" borderId="0" xfId="0" applyFont="1" applyNumberFormat="1">
      <alignment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42" borderId="18" xfId="0" applyFont="1" applyFill="1" applyBorder="1" applyNumberFormat="1">
      <alignment horizontal="left" vertical="top" wrapText="1"/>
    </xf>
    <xf numFmtId="0" fontId="58" fillId="0" borderId="18" xfId="0" applyFont="1" applyBorder="1" applyNumberFormat="1">
      <alignment vertical="center" wrapText="1"/>
    </xf>
    <xf numFmtId="0" fontId="58" fillId="0" borderId="19" xfId="0" applyFont="1" applyBorder="1" applyNumberFormat="1">
      <alignment horizontal="right" vertical="center" wrapText="1" indent="1"/>
    </xf>
    <xf numFmtId="0" fontId="58" fillId="0" borderId="17" xfId="0" applyFont="1" applyBorder="1" applyNumberFormat="1">
      <alignment horizontal="right" vertical="center" wrapText="1" indent="1"/>
    </xf>
    <xf numFmtId="0" fontId="58" fillId="0" borderId="18" xfId="0" applyFont="1" applyBorder="1" applyNumberFormat="1">
      <alignment horizontal="left" vertical="top"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49" fontId="23" fillId="0" borderId="33" xfId="0" applyFont="1" applyBorder="1" applyNumberFormat="1">
      <alignment horizontal="center" vertical="center" wrapText="1"/>
    </xf>
    <xf numFmtId="49" fontId="23" fillId="0" borderId="64" xfId="0" applyFont="1" applyBorder="1" applyNumberFormat="1">
      <alignment horizontal="center" vertical="center" wrapText="1"/>
    </xf>
    <xf numFmtId="49" fontId="23" fillId="0" borderId="65" xfId="0" applyFont="1" applyBorder="1" applyNumberFormat="1">
      <alignment horizontal="center" vertical="center" wrapText="1"/>
    </xf>
    <xf numFmtId="0" fontId="23" fillId="0" borderId="17" xfId="0" applyFont="1" applyBorder="1" applyNumberFormat="1">
      <alignment horizontal="center" vertical="center" wrapText="1"/>
    </xf>
    <xf numFmtId="4" fontId="23" fillId="45" borderId="21" xfId="0" applyFont="1" applyFill="1" applyBorder="1" applyNumberFormat="1">
      <alignment horizontal="right" vertical="center" wrapText="1"/>
      <protection locked="0"/>
    </xf>
    <xf numFmtId="49" fontId="51" fillId="44" borderId="23" xfId="0" applyFont="1" applyFill="1" applyBorder="1" applyNumberFormat="1">
      <alignment horizontal="left" vertical="center" indent="2"/>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42" borderId="18" xfId="0" applyFont="1" applyFill="1" applyBorder="1" applyNumberFormat="1">
      <alignment horizontal="left" vertical="top" wrapText="1"/>
    </xf>
    <xf numFmtId="0" fontId="23" fillId="0" borderId="19" xfId="0" applyFont="1" applyBorder="1" applyNumberFormat="1">
      <alignment horizontal="right" vertical="center" wrapText="1" indent="1"/>
    </xf>
    <xf numFmtId="0" fontId="23" fillId="0" borderId="16" xfId="0" applyFont="1" applyBorder="1" applyNumberFormat="1">
      <alignment horizontal="center" vertical="center" wrapText="1"/>
    </xf>
    <xf numFmtId="0" fontId="23" fillId="0" borderId="21" xfId="0" applyFont="1" applyBorder="1" applyNumberFormat="1">
      <alignment horizontal="left" vertical="center" wrapText="1"/>
    </xf>
    <xf numFmtId="49" fontId="0" fillId="0" borderId="16" xfId="0" applyFont="1" applyBorder="1" applyNumberFormat="1">
      <alignment horizontal="left" vertical="center" wrapText="1" indent="1"/>
    </xf>
    <xf numFmtId="49" fontId="0" fillId="0" borderId="16" xfId="0" applyFont="1" applyBorder="1" applyNumberFormat="1">
      <alignment horizontal="left" vertical="center" wrapText="1" indent="2"/>
    </xf>
    <xf numFmtId="49" fontId="23" fillId="0" borderId="63" xfId="0" applyFont="1" applyBorder="1" applyNumberFormat="1">
      <alignment horizontal="center" vertical="center" wrapText="1"/>
    </xf>
    <xf numFmtId="0" fontId="23" fillId="0" borderId="21" xfId="0" applyFont="1" applyBorder="1" applyNumberFormat="1">
      <alignment horizontal="left" vertical="center" wrapText="1" indent="1"/>
    </xf>
    <xf numFmtId="0" fontId="23" fillId="0" borderId="21" xfId="0" applyFont="1" applyBorder="1" applyNumberFormat="1">
      <alignment horizontal="center" vertical="center" wrapText="1"/>
    </xf>
    <xf numFmtId="49" fontId="0" fillId="0" borderId="16" xfId="0" applyFont="1" applyBorder="1" applyNumberFormat="1">
      <alignment vertical="center" wrapText="1"/>
    </xf>
    <xf numFmtId="49" fontId="57" fillId="0" borderId="0" xfId="0" applyFont="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41" xfId="0" applyFont="1" applyBorder="1" applyNumberFormat="1">
      <alignment horizontal="left" vertical="center" wrapText="1" indent="1"/>
    </xf>
    <xf numFmtId="49" fontId="57" fillId="0" borderId="0" xfId="0" applyFont="1" applyNumberFormat="1">
      <alignment horizontal="center" vertical="center" wrapTex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0" fontId="23" fillId="0" borderId="31" xfId="0" applyFont="1" applyBorder="1" applyNumberFormat="1">
      <alignment horizontal="left" vertical="center" wrapText="1" indent="1"/>
    </xf>
    <xf numFmtId="0" fontId="58" fillId="0" borderId="32" xfId="0" applyFont="1" applyBorder="1" applyNumberFormat="1">
      <alignment vertical="center" wrapText="1"/>
    </xf>
    <xf numFmtId="0" fontId="23" fillId="42" borderId="18" xfId="0" applyFont="1" applyFill="1" applyBorder="1" applyNumberFormat="1">
      <alignment horizontal="left" vertical="top" wrapText="1"/>
    </xf>
    <xf numFmtId="0" fontId="23" fillId="42" borderId="17" xfId="0" applyFont="1" applyFill="1" applyBorder="1" applyNumberFormat="1">
      <alignment horizontal="left" vertical="top" wrapText="1"/>
    </xf>
    <xf numFmtId="0" fontId="23" fillId="0" borderId="21" xfId="0" applyFont="1" applyBorder="1" applyNumberFormat="1">
      <alignment horizontal="center" vertical="center" wrapText="1"/>
    </xf>
    <xf numFmtId="49" fontId="57" fillId="0" borderId="0" xfId="0" applyFont="1" applyNumberFormat="1">
      <alignment horizontal="center" vertical="center" wrapText="1"/>
    </xf>
    <xf numFmtId="0" fontId="23" fillId="0" borderId="40" xfId="0" applyFont="1" applyBorder="1" applyNumberFormat="1">
      <alignment horizontal="center" vertical="center" wrapText="1"/>
    </xf>
    <xf numFmtId="49" fontId="57" fillId="0" borderId="0" xfId="0" applyFont="1" applyNumberFormat="1">
      <alignment horizontal="center" vertical="center" wrapText="1"/>
    </xf>
    <xf numFmtId="0" fontId="23" fillId="0" borderId="0" xfId="0" applyFont="1" applyNumberFormat="1">
      <alignment horizontal="left" vertical="top" wrapText="1"/>
    </xf>
    <xf numFmtId="0" fontId="23" fillId="0" borderId="0" xfId="0" applyFont="1" applyNumberFormat="1">
      <alignment vertical="top"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27" xfId="0" applyFont="1" applyBorder="1" applyNumberFormat="1">
      <alignment horizontal="center" vertical="center" wrapText="1"/>
    </xf>
    <xf numFmtId="0" fontId="23" fillId="0" borderId="0" xfId="0" applyFont="1" applyNumberFormat="1">
      <alignment horizontal="left" vertical="top" wrapText="1"/>
    </xf>
    <xf numFmtId="49" fontId="58" fillId="0" borderId="0" xfId="0" applyFont="1" applyNumberFormat="1">
      <alignment horizontal="center" vertical="center" wrapText="1"/>
    </xf>
    <xf numFmtId="0" fontId="58" fillId="0" borderId="0" xfId="0" applyFont="1" applyNumberFormat="1">
      <alignment horizontal="center" vertical="center" wrapText="1"/>
    </xf>
    <xf numFmtId="49" fontId="23" fillId="59" borderId="0" xfId="0" applyFont="1" applyFill="1" applyNumberFormat="1">
      <alignment horizontal="center" vertical="center" textRotation="90" wrapText="1"/>
    </xf>
    <xf numFmtId="49" fontId="23" fillId="0" borderId="16" xfId="0" applyFont="1" applyBorder="1" applyNumberFormat="1">
      <alignment horizontal="center" vertical="center" wrapText="1"/>
    </xf>
    <xf numFmtId="4" fontId="23" fillId="0" borderId="16" xfId="0" applyFont="1" applyBorder="1" applyNumberFormat="1">
      <alignment horizontal="center" vertical="center" wrapText="1"/>
    </xf>
    <xf numFmtId="49" fontId="30" fillId="34" borderId="18" xfId="0" applyFont="1" applyFill="1" applyBorder="1" applyNumberFormat="1">
      <alignment horizontal="left" vertical="center" wrapText="1"/>
      <protection locked="0"/>
    </xf>
    <xf numFmtId="0" fontId="80" fillId="0" borderId="26" xfId="0" applyFont="1" applyBorder="1" applyNumberFormat="1">
      <alignment vertical="center" wrapText="1"/>
    </xf>
    <xf numFmtId="49" fontId="30" fillId="34" borderId="18" xfId="0" applyFont="1" applyFill="1" applyBorder="1" applyNumberFormat="1">
      <alignment horizontal="left" vertical="center" wrapText="1"/>
      <protection locked="0"/>
    </xf>
    <xf numFmtId="0" fontId="23" fillId="0" borderId="16" xfId="0" applyFont="1" applyBorder="1" applyNumberFormat="1">
      <alignment horizontal="center" vertical="center" wrapText="1"/>
    </xf>
    <xf numFmtId="49" fontId="23" fillId="45" borderId="16" xfId="0" applyFont="1" applyFill="1" applyBorder="1" applyNumberFormat="1">
      <alignment horizontal="left" vertical="center" wrapText="1"/>
      <protection locked="0"/>
    </xf>
    <xf numFmtId="0" fontId="48" fillId="0" borderId="0" xfId="0" applyFont="1" applyNumberFormat="1">
      <alignment horizontal="center" vertical="center" wrapText="1"/>
    </xf>
    <xf numFmtId="0" fontId="23" fillId="0" borderId="21" xfId="0" applyFont="1" applyBorder="1" applyNumberFormat="1">
      <alignment horizontal="center" vertical="center" wrapText="1"/>
    </xf>
    <xf numFmtId="0" fontId="23" fillId="0" borderId="18" xfId="0" applyFont="1" applyBorder="1" applyNumberFormat="1">
      <alignment horizontal="center" vertical="center" wrapText="1"/>
    </xf>
    <xf numFmtId="0" fontId="23" fillId="0" borderId="16" xfId="0" applyFont="1" applyBorder="1" applyNumberFormat="1">
      <alignment horizontal="left" vertical="center" wrapText="1" indent="2"/>
    </xf>
    <xf numFmtId="3" fontId="56" fillId="34" borderId="16" xfId="0" applyFont="1" applyFill="1" applyBorder="1" applyNumberFormat="1">
      <alignment horizontal="right" vertical="center"/>
      <protection locked="0"/>
    </xf>
    <xf numFmtId="0" fontId="56" fillId="0" borderId="0" xfId="0" applyFont="1" applyNumberFormat="1">
      <alignment vertical="center" wrapText="1"/>
    </xf>
    <xf numFmtId="49" fontId="57" fillId="0" borderId="0" xfId="0" applyFont="1" applyNumberFormat="1">
      <alignment horizontal="center" vertical="center" wrapText="1"/>
    </xf>
    <xf numFmtId="0" fontId="23" fillId="0" borderId="0" xfId="0" applyFont="1" applyNumberFormat="1">
      <alignment vertical="top" wrapText="1"/>
    </xf>
    <xf numFmtId="0" fontId="23" fillId="0" borderId="0" xfId="0" applyFont="1" applyNumberFormat="1">
      <alignment vertical="top"/>
    </xf>
    <xf numFmtId="49" fontId="30" fillId="0" borderId="16" xfId="0" applyFont="1" applyBorder="1" applyNumberFormat="1">
      <alignment horizontal="left" vertical="center" wrapText="1"/>
    </xf>
    <xf numFmtId="49" fontId="23" fillId="0" borderId="36" xfId="0" applyFont="1" applyBorder="1" applyNumberFormat="1">
      <alignment horizontal="center" vertical="center" wrapText="1"/>
    </xf>
    <xf numFmtId="0" fontId="23" fillId="0" borderId="36" xfId="0" applyFont="1" applyBorder="1" applyNumberFormat="1">
      <alignment horizontal="left" vertical="center" wrapText="1"/>
    </xf>
    <xf numFmtId="4" fontId="23" fillId="0" borderId="44" xfId="0" applyFont="1" applyBorder="1" applyNumberFormat="1">
      <alignment horizontal="center" vertical="center" wrapText="1"/>
    </xf>
    <xf numFmtId="49" fontId="30" fillId="0" borderId="31" xfId="0" applyFont="1" applyBorder="1" applyNumberFormat="1">
      <alignment horizontal="left" vertical="center" wrapText="1"/>
    </xf>
    <xf numFmtId="49" fontId="23" fillId="0" borderId="35" xfId="0" applyFont="1" applyBorder="1" applyNumberFormat="1">
      <alignment horizontal="center" vertical="center" wrapText="1"/>
    </xf>
    <xf numFmtId="0" fontId="23" fillId="0" borderId="37" xfId="0" applyFont="1" applyBorder="1" applyNumberFormat="1">
      <alignment horizontal="left" vertical="center" wrapText="1" indent="1"/>
    </xf>
    <xf numFmtId="4" fontId="23" fillId="45" borderId="35" xfId="0" applyFont="1" applyFill="1" applyBorder="1" applyNumberFormat="1">
      <alignment horizontal="right" vertical="center" wrapText="1"/>
      <protection locked="0"/>
    </xf>
    <xf numFmtId="49" fontId="30" fillId="0" borderId="18" xfId="0" applyFont="1" applyBorder="1" applyNumberFormat="1">
      <alignment horizontal="left" vertical="center" wrapText="1"/>
    </xf>
    <xf numFmtId="4" fontId="23" fillId="0" borderId="21" xfId="0" applyFont="1" applyBorder="1" applyNumberFormat="1">
      <alignment horizontal="center" vertical="center" wrapText="1"/>
    </xf>
    <xf numFmtId="4" fontId="23" fillId="45" borderId="39" xfId="0" applyFont="1" applyFill="1" applyBorder="1" applyNumberFormat="1">
      <alignment horizontal="right" vertical="center" wrapText="1"/>
      <protection locked="0"/>
    </xf>
    <xf numFmtId="0" fontId="23" fillId="0" borderId="37" xfId="0" applyFont="1" applyBorder="1" applyNumberFormat="1">
      <alignment horizontal="left" vertical="center" wrapText="1"/>
    </xf>
    <xf numFmtId="49" fontId="30" fillId="0" borderId="19" xfId="0" applyFont="1" applyBorder="1" applyNumberFormat="1">
      <alignment horizontal="left" vertical="center" wrapText="1"/>
    </xf>
    <xf numFmtId="0" fontId="23" fillId="0" borderId="35" xfId="0" applyFont="1" applyBorder="1" applyNumberFormat="1">
      <alignment horizontal="left" vertical="center" wrapText="1" indent="1"/>
    </xf>
    <xf numFmtId="4" fontId="23" fillId="0" borderId="36" xfId="0" applyFont="1" applyBorder="1" applyNumberFormat="1">
      <alignment horizontal="center" vertical="center" wrapText="1"/>
    </xf>
    <xf numFmtId="0" fontId="23" fillId="0" borderId="35" xfId="0" applyFont="1" applyBorder="1" applyNumberFormat="1">
      <alignment horizontal="left" vertical="center" wrapText="1"/>
    </xf>
    <xf numFmtId="0" fontId="23" fillId="0" borderId="35" xfId="0" applyFont="1" applyBorder="1" applyNumberFormat="1">
      <alignment horizontal="left" vertical="center" wrapText="1" indent="2"/>
    </xf>
    <xf numFmtId="4" fontId="23" fillId="0" borderId="35" xfId="0" applyFont="1" applyBorder="1" applyNumberFormat="1">
      <alignment horizontal="center" vertical="center" wrapText="1"/>
    </xf>
    <xf numFmtId="49" fontId="23" fillId="0" borderId="38" xfId="0" applyFont="1" applyBorder="1" applyNumberFormat="1">
      <alignment horizontal="center" vertical="center" wrapText="1"/>
    </xf>
    <xf numFmtId="0" fontId="23" fillId="0" borderId="39" xfId="0" applyFont="1" applyBorder="1" applyNumberFormat="1">
      <alignment horizontal="left" vertical="center" wrapText="1"/>
    </xf>
    <xf numFmtId="4" fontId="23" fillId="0" borderId="39" xfId="0" applyFont="1" applyBorder="1" applyNumberFormat="1">
      <alignment horizontal="center" vertical="center" wrapText="1"/>
    </xf>
    <xf numFmtId="49" fontId="30" fillId="0" borderId="41" xfId="0" applyFont="1" applyBorder="1" applyNumberFormat="1">
      <alignment horizontal="left" vertical="center" wrapText="1"/>
    </xf>
    <xf numFmtId="49" fontId="23" fillId="0" borderId="37" xfId="0" applyFont="1" applyBorder="1" applyNumberFormat="1">
      <alignment horizontal="center" vertical="center" wrapText="1"/>
    </xf>
    <xf numFmtId="4" fontId="23" fillId="45" borderId="18" xfId="0" applyFont="1" applyFill="1" applyBorder="1" applyNumberFormat="1">
      <alignment horizontal="right" vertical="center" wrapText="1"/>
      <protection locked="0"/>
    </xf>
    <xf numFmtId="4" fontId="23" fillId="0" borderId="37" xfId="0" applyFont="1" applyBorder="1" applyNumberFormat="1">
      <alignment horizontal="center" vertical="center" wrapText="1"/>
    </xf>
    <xf numFmtId="4" fontId="23" fillId="45" borderId="38" xfId="0" applyFont="1" applyFill="1" applyBorder="1" applyNumberFormat="1">
      <alignment horizontal="right" vertical="center" wrapText="1"/>
      <protection locked="0"/>
    </xf>
    <xf numFmtId="49" fontId="57" fillId="0" borderId="0" xfId="0" applyFont="1" applyNumberFormat="1">
      <alignment horizontal="center" vertical="center" wrapText="1"/>
    </xf>
    <xf numFmtId="49" fontId="57" fillId="0" borderId="0" xfId="0" applyFont="1" applyNumberFormat="1">
      <alignment horizontal="center" vertical="center" wrapText="1"/>
    </xf>
    <xf numFmtId="0" fontId="43" fillId="0" borderId="0" xfId="0" applyFont="1" applyNumberFormat="1">
      <alignment vertical="center" wrapText="1"/>
    </xf>
    <xf numFmtId="0" fontId="23" fillId="0" borderId="23" xfId="0" applyFont="1" applyBorder="1" applyNumberFormat="1">
      <alignment horizontal="left" vertical="center" wrapText="1" indent="1"/>
    </xf>
    <xf numFmtId="0" fontId="23" fillId="0" borderId="0" xfId="0" applyFont="1" applyNumberFormat="1">
      <alignment vertical="center" wrapText="1"/>
    </xf>
    <xf numFmtId="0" fontId="23" fillId="0" borderId="0" xfId="0" applyFont="1" applyNumberFormat="1">
      <alignment vertical="center" wrapText="1"/>
    </xf>
    <xf numFmtId="0" fontId="23" fillId="0" borderId="32" xfId="0" applyFont="1" applyBorder="1" applyNumberFormat="1">
      <alignment horizontal="left" vertical="center" wrapText="1" indent="1"/>
    </xf>
    <xf numFmtId="0" fontId="23" fillId="0" borderId="0" xfId="0" applyFont="1" applyNumberFormat="1">
      <alignment vertical="center" wrapText="1"/>
    </xf>
    <xf numFmtId="49" fontId="57" fillId="0" borderId="0" xfId="0" applyFont="1" applyNumberFormat="1">
      <alignment horizontal="center" vertical="center" wrapText="1"/>
    </xf>
    <xf numFmtId="49" fontId="106" fillId="0" borderId="0" xfId="0" applyFont="1" applyNumberFormat="1">
      <alignment horizontal="center" vertical="center" wrapText="1"/>
    </xf>
    <xf numFmtId="0" fontId="23" fillId="38" borderId="16" xfId="0" applyFont="1" applyFill="1" applyBorder="1" applyNumberFormat="1">
      <alignment horizontal="center" vertical="center" wrapText="1"/>
    </xf>
    <xf numFmtId="0" fontId="0" fillId="38" borderId="18" xfId="0" applyFont="1" applyFill="1" applyBorder="1" applyNumberFormat="1">
      <alignment horizontal="center" vertical="center" wrapText="1"/>
    </xf>
    <xf numFmtId="0" fontId="0" fillId="38" borderId="19" xfId="0" applyFont="1" applyFill="1" applyBorder="1" applyNumberFormat="1">
      <alignment horizontal="center" vertical="center" wrapText="1"/>
    </xf>
    <xf numFmtId="0" fontId="0" fillId="38" borderId="17" xfId="0" applyFont="1" applyFill="1" applyBorder="1" applyNumberFormat="1">
      <alignment horizontal="center" vertical="center" wrapText="1"/>
    </xf>
    <xf numFmtId="0" fontId="0" fillId="38" borderId="21" xfId="0" applyFont="1" applyFill="1" applyBorder="1" applyNumberFormat="1">
      <alignment horizontal="center" vertical="center" wrapText="1"/>
    </xf>
    <xf numFmtId="0" fontId="23" fillId="38" borderId="21" xfId="0" applyFont="1" applyFill="1" applyBorder="1" applyNumberFormat="1">
      <alignment horizontal="center" vertical="center" wrapText="1"/>
    </xf>
    <xf numFmtId="0" fontId="0" fillId="38" borderId="21" xfId="0" applyFont="1" applyFill="1" applyBorder="1" applyNumberFormat="1">
      <alignment horizontal="center" vertical="center" wrapText="1"/>
    </xf>
    <xf numFmtId="0" fontId="0" fillId="38" borderId="41"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58" fillId="0" borderId="0" xfId="0" applyFont="1" applyNumberFormat="1">
      <alignment horizontal="center" vertical="center" wrapText="1"/>
    </xf>
    <xf numFmtId="49" fontId="58" fillId="0" borderId="16" xfId="0" applyFont="1" applyBorder="1" applyNumberFormat="1">
      <alignment horizontal="center" vertical="center" wrapText="1"/>
    </xf>
    <xf numFmtId="0" fontId="0" fillId="0" borderId="16" xfId="0" applyFont="1" applyBorder="1" applyNumberFormat="1">
      <alignment horizontal="left" vertical="center" wrapText="1" indent="1"/>
    </xf>
    <xf numFmtId="49" fontId="0" fillId="0" borderId="16" xfId="0" applyFont="1" applyBorder="1" applyNumberFormat="1">
      <alignment horizontal="center"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left" vertical="center" wrapText="1"/>
    </xf>
    <xf numFmtId="49" fontId="23" fillId="0" borderId="16" xfId="0" applyFont="1" applyBorder="1" applyNumberFormat="1">
      <alignment horizontal="center" vertical="center" wrapText="1"/>
    </xf>
    <xf numFmtId="49" fontId="58" fillId="0" borderId="0" xfId="0" applyFont="1" applyNumberFormat="1">
      <alignment horizontal="center" vertical="center" wrapText="1"/>
    </xf>
    <xf numFmtId="49" fontId="23" fillId="0" borderId="18" xfId="0" applyFont="1" applyBorder="1" applyNumberFormat="1">
      <alignment horizontal="center" vertical="center" wrapText="1"/>
    </xf>
    <xf numFmtId="49" fontId="51" fillId="44" borderId="18" xfId="0" applyFont="1" applyFill="1" applyBorder="1" applyNumberFormat="1">
      <alignment horizontal="left" vertical="center" indent="1"/>
    </xf>
    <xf numFmtId="0" fontId="23" fillId="44" borderId="34" xfId="0" applyFont="1" applyFill="1" applyBorder="1" applyNumberFormat="1">
      <alignment vertical="center" wrapText="1"/>
    </xf>
    <xf numFmtId="49" fontId="57" fillId="0" borderId="0" xfId="0" applyFont="1" applyNumberFormat="1">
      <alignment horizontal="center" vertical="center" wrapText="1"/>
    </xf>
    <xf numFmtId="0" fontId="57" fillId="0" borderId="0" xfId="0" applyFont="1" applyNumberFormat="1">
      <alignment vertical="center" wrapText="1"/>
    </xf>
    <xf numFmtId="0" fontId="57" fillId="0" borderId="0" xfId="0" applyFont="1" applyNumberFormat="1">
      <alignment vertical="center" wrapText="1"/>
    </xf>
    <xf numFmtId="0" fontId="57" fillId="0" borderId="0" xfId="0" applyFont="1" applyNumberFormat="1">
      <alignment vertical="center" wrapText="1"/>
    </xf>
    <xf numFmtId="0" fontId="43" fillId="0" borderId="0" xfId="0" applyFont="1" applyNumberFormat="1">
      <alignment vertical="center" wrapText="1"/>
    </xf>
    <xf numFmtId="0" fontId="43" fillId="0" borderId="0" xfId="0" applyFont="1" applyNumberFormat="1">
      <alignment vertical="center" wrapText="1"/>
    </xf>
    <xf numFmtId="0" fontId="43" fillId="0" borderId="0" xfId="0" applyFont="1" applyNumberFormat="1">
      <alignment vertical="center" wrapText="1"/>
    </xf>
    <xf numFmtId="0" fontId="23" fillId="0" borderId="32" xfId="0" applyFont="1" applyBorder="1" applyNumberFormat="1">
      <alignment horizontal="left" vertical="center" wrapText="1" indent="1"/>
    </xf>
    <xf numFmtId="0" fontId="23" fillId="0" borderId="0" xfId="0" applyFont="1" applyNumberFormat="1">
      <alignment horizontal="left" vertical="center" wrapText="1" indent="3"/>
    </xf>
    <xf numFmtId="0" fontId="23" fillId="38" borderId="0" xfId="0" applyFont="1" applyFill="1" applyNumberFormat="1">
      <alignment vertical="center" wrapText="1"/>
    </xf>
    <xf numFmtId="0" fontId="23" fillId="38" borderId="43" xfId="0" applyFont="1" applyFill="1" applyBorder="1" applyNumberFormat="1">
      <alignment vertical="center" wrapText="1"/>
    </xf>
    <xf numFmtId="0" fontId="23" fillId="38" borderId="43" xfId="0" applyFont="1" applyFill="1" applyBorder="1" applyNumberFormat="1">
      <alignment vertical="center" wrapText="1"/>
    </xf>
    <xf numFmtId="49" fontId="78" fillId="0" borderId="43" xfId="0" applyFont="1" applyBorder="1" applyNumberFormat="1">
      <alignment vertical="top"/>
    </xf>
    <xf numFmtId="49" fontId="78" fillId="0" borderId="43" xfId="0" applyFont="1" applyBorder="1" applyNumberFormat="1">
      <alignment vertical="top"/>
    </xf>
    <xf numFmtId="0" fontId="36" fillId="38" borderId="43" xfId="0" applyFont="1" applyFill="1" applyBorder="1" applyNumberFormat="1">
      <alignment horizontal="center" wrapText="1"/>
    </xf>
    <xf numFmtId="0" fontId="36" fillId="38" borderId="43" xfId="0" applyFont="1" applyFill="1" applyBorder="1" applyNumberFormat="1">
      <alignment horizontal="center" wrapText="1"/>
    </xf>
    <xf numFmtId="0" fontId="23" fillId="38" borderId="43" xfId="0" applyFont="1" applyFill="1" applyBorder="1" applyNumberFormat="1">
      <alignment vertical="center" wrapText="1"/>
    </xf>
    <xf numFmtId="0" fontId="23" fillId="38" borderId="43" xfId="0" applyFont="1" applyFill="1" applyBorder="1" applyNumberFormat="1">
      <alignment vertical="center" wrapText="1"/>
    </xf>
    <xf numFmtId="49" fontId="23" fillId="0" borderId="0" xfId="0" applyFont="1" applyNumberFormat="1">
      <alignment vertical="top"/>
    </xf>
    <xf numFmtId="0" fontId="23" fillId="0" borderId="66" xfId="0" applyFont="1" applyBorder="1" applyNumberFormat="1">
      <alignment horizontal="center" vertical="center"/>
    </xf>
    <xf numFmtId="0" fontId="23" fillId="0" borderId="67" xfId="0" applyFont="1" applyBorder="1" applyNumberFormat="1">
      <alignment horizontal="center" vertical="center"/>
    </xf>
    <xf numFmtId="0" fontId="23" fillId="0" borderId="73" xfId="0" applyFont="1" applyBorder="1" applyNumberFormat="1">
      <alignment horizontal="center" vertical="center"/>
    </xf>
    <xf numFmtId="0" fontId="23" fillId="0" borderId="42" xfId="0" applyFont="1" applyBorder="1" applyNumberFormat="1">
      <alignment vertical="center" wrapText="1"/>
    </xf>
    <xf numFmtId="0" fontId="23" fillId="38" borderId="16" xfId="0" applyFont="1" applyFill="1" applyBorder="1" applyNumberFormat="1">
      <alignment horizontal="center" vertical="center" wrapText="1"/>
    </xf>
    <xf numFmtId="0" fontId="23" fillId="38" borderId="41" xfId="0" applyFont="1" applyFill="1" applyBorder="1" applyNumberFormat="1">
      <alignment horizontal="center" vertical="center" wrapText="1"/>
    </xf>
    <xf numFmtId="0" fontId="23" fillId="38" borderId="24"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0" borderId="0" xfId="0" applyFont="1" applyNumberFormat="1">
      <alignment vertical="center" wrapText="1"/>
    </xf>
    <xf numFmtId="0" fontId="23" fillId="38" borderId="0" xfId="0" applyFont="1" applyFill="1" applyNumberFormat="1">
      <alignment vertical="center" wrapText="1"/>
    </xf>
    <xf numFmtId="0" fontId="23" fillId="38" borderId="2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23" fillId="0" borderId="26" xfId="0" applyFont="1" applyBorder="1" applyNumberFormat="1">
      <alignment horizontal="center" vertical="center" wrapText="1"/>
    </xf>
    <xf numFmtId="49" fontId="23" fillId="0" borderId="0" xfId="0" applyFont="1" applyNumberFormat="1">
      <alignment vertical="top"/>
    </xf>
    <xf numFmtId="0" fontId="23" fillId="0" borderId="0" xfId="0" applyFont="1" applyNumberFormat="1">
      <alignment vertical="center" wrapText="1"/>
    </xf>
    <xf numFmtId="49" fontId="106" fillId="0" borderId="0" xfId="0" applyFont="1" applyNumberFormat="1">
      <alignment horizontal="center" vertical="center" wrapText="1"/>
    </xf>
    <xf numFmtId="0" fontId="23" fillId="38" borderId="0" xfId="0" applyFont="1" applyFill="1" applyNumberFormat="1">
      <alignment vertical="center" wrapText="1"/>
    </xf>
    <xf numFmtId="0" fontId="0" fillId="0" borderId="16" xfId="0" applyFont="1" applyBorder="1" applyNumberFormat="1">
      <alignment horizontal="center" vertical="center" wrapText="1"/>
    </xf>
    <xf numFmtId="49" fontId="23" fillId="0" borderId="0" xfId="0" applyFont="1" applyNumberFormat="1">
      <alignment vertical="top"/>
    </xf>
    <xf numFmtId="0" fontId="23" fillId="38" borderId="31" xfId="0" applyFont="1" applyFill="1" applyBorder="1" applyNumberFormat="1">
      <alignment horizontal="center" vertical="center" wrapText="1"/>
    </xf>
    <xf numFmtId="0" fontId="23" fillId="38" borderId="34"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0"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0" borderId="16" xfId="0" applyFont="1" applyBorder="1" applyNumberFormat="1">
      <alignment horizontal="center" vertical="center" wrapText="1"/>
    </xf>
    <xf numFmtId="0" fontId="23" fillId="38" borderId="0" xfId="0" applyFont="1" applyFill="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wrapText="1"/>
    </xf>
    <xf numFmtId="0" fontId="23" fillId="0" borderId="0" xfId="0" applyFont="1" applyNumberFormat="1">
      <alignment vertical="center"/>
    </xf>
    <xf numFmtId="0" fontId="23" fillId="0" borderId="0" xfId="0" applyFont="1" applyNumberFormat="1">
      <alignment vertical="center"/>
    </xf>
    <xf numFmtId="49" fontId="23" fillId="0" borderId="0" xfId="0" applyFont="1" applyNumberFormat="1">
      <alignment vertical="top"/>
    </xf>
    <xf numFmtId="49" fontId="23" fillId="0" borderId="0" xfId="0" applyFont="1" applyNumberFormat="1">
      <alignment vertical="top"/>
    </xf>
    <xf numFmtId="49" fontId="23" fillId="0" borderId="0" xfId="0" applyFont="1" applyNumberFormat="1">
      <alignment vertical="top"/>
    </xf>
    <xf numFmtId="0" fontId="23" fillId="0" borderId="0" xfId="0" applyFont="1" applyNumberFormat="1">
      <alignment horizontal="left" vertical="center" wrapText="1"/>
    </xf>
    <xf numFmtId="0" fontId="23" fillId="0" borderId="0" xfId="0" applyFont="1" applyNumberFormat="1">
      <alignment vertical="center" wrapText="1"/>
    </xf>
    <xf numFmtId="0" fontId="23" fillId="0" borderId="0" xfId="0" applyFont="1" applyNumberFormat="1">
      <alignment vertical="center" wrapText="1"/>
    </xf>
    <xf numFmtId="0" fontId="43" fillId="0" borderId="0" xfId="0" applyFont="1" applyNumberFormat="1">
      <alignment vertical="center" wrapText="1"/>
    </xf>
    <xf numFmtId="0" fontId="23" fillId="38" borderId="23" xfId="0" applyFont="1" applyFill="1" applyBorder="1" applyNumberFormat="1">
      <alignment vertical="center" wrapText="1"/>
    </xf>
    <xf numFmtId="49" fontId="58" fillId="0" borderId="0" xfId="0" applyFont="1" applyNumberFormat="1">
      <alignment vertical="top"/>
    </xf>
    <xf numFmtId="0" fontId="58" fillId="0" borderId="43" xfId="0" applyFont="1" applyBorder="1" applyNumberFormat="1">
      <alignment vertical="center" wrapText="1"/>
    </xf>
    <xf numFmtId="0" fontId="23" fillId="0" borderId="79" xfId="0" applyFont="1" applyBorder="1" applyNumberFormat="1">
      <alignment horizontal="center" vertical="center"/>
    </xf>
    <xf numFmtId="0" fontId="23" fillId="0" borderId="47" xfId="0" applyFont="1" applyBorder="1" applyNumberFormat="1">
      <alignment horizontal="center" vertical="center"/>
    </xf>
    <xf numFmtId="0" fontId="23" fillId="0" borderId="42" xfId="0" applyFont="1" applyBorder="1" applyNumberFormat="1">
      <alignment vertical="center"/>
    </xf>
    <xf numFmtId="49" fontId="0" fillId="0" borderId="21" xfId="0" applyFont="1" applyBorder="1" applyNumberFormat="1">
      <alignment horizontal="center" vertical="center" wrapText="1"/>
    </xf>
    <xf numFmtId="49" fontId="0" fillId="0" borderId="16" xfId="0" applyFont="1" applyBorder="1" applyNumberFormat="1">
      <alignment horizontal="center" vertical="center"/>
    </xf>
    <xf numFmtId="49" fontId="0" fillId="0" borderId="16" xfId="0" applyFont="1" applyBorder="1" applyNumberFormat="1">
      <alignment horizontal="center" vertical="center" wrapText="1"/>
    </xf>
    <xf numFmtId="49" fontId="23" fillId="0" borderId="26" xfId="0" applyFont="1" applyBorder="1" applyNumberFormat="1">
      <alignment vertical="top"/>
    </xf>
    <xf numFmtId="49" fontId="0" fillId="0" borderId="40" xfId="0" applyFont="1" applyBorder="1" applyNumberFormat="1">
      <alignment horizontal="center" vertical="center" wrapText="1"/>
    </xf>
    <xf numFmtId="0" fontId="0" fillId="42" borderId="16" xfId="0" applyFont="1" applyFill="1" applyBorder="1" applyNumberFormat="1">
      <alignment horizontal="center" vertical="center" wrapText="1"/>
    </xf>
    <xf numFmtId="49" fontId="0" fillId="0" borderId="27" xfId="0" applyFont="1" applyBorder="1" applyNumberFormat="1">
      <alignment horizontal="center" vertical="center" wrapText="1"/>
    </xf>
    <xf numFmtId="49" fontId="0" fillId="0" borderId="16" xfId="0" applyFont="1" applyBorder="1" applyNumberFormat="1">
      <alignment horizontal="center" vertical="center"/>
    </xf>
    <xf numFmtId="49" fontId="0" fillId="42" borderId="16" xfId="0" applyFont="1" applyFill="1" applyBorder="1" applyNumberFormat="1">
      <alignment horizontal="center" vertical="center"/>
    </xf>
    <xf numFmtId="0" fontId="23" fillId="0" borderId="26" xfId="0" applyFont="1" applyBorder="1" applyNumberFormat="1">
      <alignment vertical="center" wrapText="1"/>
    </xf>
    <xf numFmtId="49" fontId="0" fillId="0" borderId="16" xfId="0" applyFont="1" applyBorder="1" applyNumberFormat="1">
      <alignment horizontal="center" vertical="center" wrapText="1"/>
    </xf>
    <xf numFmtId="49" fontId="0" fillId="0" borderId="16" xfId="0" applyFont="1" applyBorder="1" applyNumberFormat="1">
      <alignment vertical="center" wrapText="1"/>
    </xf>
    <xf numFmtId="49" fontId="0" fillId="0" borderId="16" xfId="0" applyFont="1" applyBorder="1" applyNumberFormat="1">
      <alignment horizontal="center" vertical="center"/>
    </xf>
    <xf numFmtId="4" fontId="0" fillId="42" borderId="16" xfId="0" applyFont="1" applyFill="1" applyBorder="1" applyNumberFormat="1">
      <alignment horizontal="right" vertical="center" wrapText="1"/>
    </xf>
    <xf numFmtId="49" fontId="0" fillId="0" borderId="16" xfId="0" applyFont="1" applyBorder="1" applyNumberFormat="1">
      <alignment horizontal="left" vertical="center" wrapText="1" indent="2"/>
    </xf>
    <xf numFmtId="4" fontId="0" fillId="34" borderId="16" xfId="0" applyFont="1" applyFill="1" applyBorder="1" applyNumberFormat="1">
      <alignment horizontal="right" vertical="center" wrapText="1"/>
      <protection locked="0"/>
    </xf>
    <xf numFmtId="49" fontId="0" fillId="0" borderId="16" xfId="0" applyFont="1" applyBorder="1" applyNumberFormat="1">
      <alignment horizontal="center" vertical="center" wrapText="1"/>
    </xf>
    <xf numFmtId="49" fontId="0" fillId="0" borderId="16" xfId="0" applyFont="1" applyBorder="1" applyNumberFormat="1">
      <alignment horizontal="left" vertical="center" wrapText="1"/>
    </xf>
    <xf numFmtId="49" fontId="0" fillId="0" borderId="16" xfId="0" applyFont="1" applyBorder="1" applyNumberFormat="1">
      <alignment horizontal="left" vertical="center" wrapText="1" indent="3"/>
    </xf>
    <xf numFmtId="49" fontId="0" fillId="0" borderId="16" xfId="0" applyFont="1" applyBorder="1" applyNumberFormat="1">
      <alignment horizontal="left" vertical="center" wrapText="1"/>
    </xf>
    <xf numFmtId="49" fontId="57" fillId="0" borderId="0" xfId="0" applyFont="1" applyNumberFormat="1">
      <alignment horizontal="center" vertical="center" wrapText="1"/>
    </xf>
    <xf numFmtId="49" fontId="56" fillId="0" borderId="0" xfId="0" applyFont="1" applyNumberFormat="1">
      <alignment vertical="center"/>
    </xf>
    <xf numFmtId="49" fontId="107" fillId="0" borderId="0" xfId="0" applyFont="1" applyNumberFormat="1">
      <alignment vertical="center" wrapText="1"/>
    </xf>
    <xf numFmtId="49" fontId="56" fillId="0" borderId="0" xfId="0" applyFont="1" applyNumberFormat="1">
      <alignment vertical="center" wrapText="1"/>
    </xf>
    <xf numFmtId="49" fontId="56" fillId="0" borderId="0" xfId="0" applyFont="1" applyNumberFormat="1">
      <alignment vertical="top"/>
    </xf>
    <xf numFmtId="49" fontId="56" fillId="0" borderId="0" xfId="0" applyFont="1" applyNumberFormat="1">
      <alignment vertical="center" wrapText="1"/>
    </xf>
    <xf numFmtId="49" fontId="23" fillId="0" borderId="0" xfId="0" applyFont="1" applyNumberFormat="1">
      <alignment horizontal="center" vertical="center" wrapText="1"/>
    </xf>
    <xf numFmtId="49" fontId="43" fillId="0" borderId="0" xfId="0" applyFont="1" applyNumberFormat="1">
      <alignment horizontal="center" vertical="center" wrapText="1"/>
    </xf>
    <xf numFmtId="49" fontId="23" fillId="38" borderId="0" xfId="0" applyFont="1" applyFill="1" applyNumberFormat="1">
      <alignment horizontal="center" vertical="center" wrapText="1"/>
    </xf>
    <xf numFmtId="0" fontId="23" fillId="0" borderId="24" xfId="0" applyFont="1" applyBorder="1" applyNumberFormat="1">
      <alignment horizontal="left" vertical="center" wrapText="1" indent="1"/>
    </xf>
    <xf numFmtId="0" fontId="23" fillId="0" borderId="21" xfId="0" applyFont="1" applyBorder="1" applyNumberFormat="1">
      <alignment horizontal="left" vertical="center" wrapText="1" indent="1"/>
    </xf>
    <xf numFmtId="0" fontId="23" fillId="0" borderId="34" xfId="0" applyFont="1" applyBorder="1" applyNumberFormat="1">
      <alignment horizontal="left" vertical="center" wrapText="1" indent="1"/>
    </xf>
    <xf numFmtId="0" fontId="23" fillId="0" borderId="27" xfId="0" applyFont="1" applyBorder="1" applyNumberFormat="1">
      <alignment horizontal="left" vertical="center" wrapText="1" inden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56" fillId="0" borderId="0" xfId="0" applyFont="1" applyNumberFormat="1">
      <alignment horizontal="center" vertical="center" wrapText="1"/>
    </xf>
    <xf numFmtId="0" fontId="56" fillId="0" borderId="0" xfId="0" applyFont="1" applyNumberFormat="1">
      <alignment horizontal="center" vertical="center" wrapText="1"/>
    </xf>
    <xf numFmtId="49" fontId="56" fillId="0" borderId="0" xfId="0" applyFont="1" applyNumberFormat="1">
      <alignment horizontal="center" vertical="center" wrapText="1"/>
    </xf>
    <xf numFmtId="49" fontId="107" fillId="0" borderId="0" xfId="0" applyFont="1" applyNumberFormat="1">
      <alignment horizontal="center" vertical="center" wrapText="1"/>
    </xf>
    <xf numFmtId="49" fontId="23" fillId="0" borderId="0" xfId="0" applyFont="1" applyNumberFormat="1">
      <alignment horizontal="center" vertical="center" wrapText="1"/>
    </xf>
    <xf numFmtId="0" fontId="23" fillId="0" borderId="0" xfId="0" applyFont="1" applyNumberFormat="1">
      <alignment horizontal="center" vertical="center" wrapText="1"/>
    </xf>
    <xf numFmtId="0" fontId="23" fillId="54" borderId="18" xfId="0" applyFont="1" applyFill="1" applyBorder="1" applyNumberFormat="1">
      <alignment horizontal="center" vertical="center" wrapText="1"/>
    </xf>
    <xf numFmtId="0" fontId="23" fillId="54" borderId="19" xfId="0" applyFont="1" applyFill="1" applyBorder="1" applyNumberFormat="1">
      <alignment horizontal="center" vertical="center" wrapText="1"/>
    </xf>
    <xf numFmtId="0" fontId="23" fillId="54" borderId="17" xfId="0" applyFont="1" applyFill="1" applyBorder="1" applyNumberFormat="1">
      <alignment horizontal="center" vertical="center" wrapText="1"/>
    </xf>
    <xf numFmtId="49" fontId="57" fillId="52" borderId="18" xfId="0" applyFont="1" applyFill="1" applyBorder="1" applyNumberFormat="1">
      <alignment horizontal="center" vertical="center" wrapText="1"/>
    </xf>
    <xf numFmtId="49" fontId="57" fillId="52" borderId="19" xfId="0" applyFont="1" applyFill="1" applyBorder="1" applyNumberFormat="1">
      <alignment horizontal="center" vertical="center" wrapText="1"/>
    </xf>
    <xf numFmtId="49" fontId="57" fillId="52" borderId="17" xfId="0" applyFont="1" applyFill="1" applyBorder="1" applyNumberFormat="1">
      <alignment horizontal="center" vertical="center" wrapText="1"/>
    </xf>
    <xf numFmtId="49" fontId="57" fillId="55" borderId="18" xfId="0" applyFont="1" applyFill="1" applyBorder="1" applyNumberFormat="1">
      <alignment horizontal="center" vertical="center" wrapText="1"/>
    </xf>
    <xf numFmtId="49" fontId="57" fillId="55" borderId="19" xfId="0" applyFont="1" applyFill="1" applyBorder="1" applyNumberFormat="1">
      <alignment horizontal="center" vertical="center" wrapText="1"/>
    </xf>
    <xf numFmtId="49" fontId="57" fillId="55" borderId="17" xfId="0" applyFont="1" applyFill="1" applyBorder="1" applyNumberFormat="1">
      <alignment horizontal="center" vertical="center" wrapText="1"/>
    </xf>
    <xf numFmtId="49" fontId="23" fillId="56" borderId="18" xfId="0" applyFont="1" applyFill="1" applyBorder="1" applyNumberFormat="1">
      <alignment horizontal="center" vertical="center" wrapText="1"/>
    </xf>
    <xf numFmtId="49" fontId="23" fillId="56" borderId="19" xfId="0" applyFont="1" applyFill="1" applyBorder="1" applyNumberFormat="1">
      <alignment horizontal="center" vertical="center" wrapText="1"/>
    </xf>
    <xf numFmtId="49" fontId="23" fillId="35" borderId="23" xfId="0" applyFont="1" applyFill="1" applyBorder="1" applyNumberFormat="1">
      <alignment horizontal="center" vertical="center" wrapText="1"/>
    </xf>
    <xf numFmtId="49" fontId="23" fillId="35" borderId="0" xfId="0" applyFont="1" applyFill="1" applyNumberFormat="1">
      <alignment horizontal="center" vertical="center" wrapText="1"/>
    </xf>
    <xf numFmtId="49" fontId="23" fillId="0" borderId="18" xfId="0" applyFont="1" applyBorder="1" applyNumberFormat="1">
      <alignment horizontal="center" vertical="center" wrapText="1"/>
    </xf>
    <xf numFmtId="49" fontId="23" fillId="0" borderId="19" xfId="0" applyFont="1" applyBorder="1" applyNumberFormat="1">
      <alignment horizontal="center" vertical="center" wrapText="1"/>
    </xf>
    <xf numFmtId="49" fontId="23" fillId="0" borderId="17" xfId="0" applyFont="1" applyBorder="1" applyNumberFormat="1">
      <alignment horizontal="center" vertical="center" wrapText="1"/>
    </xf>
    <xf numFmtId="49" fontId="56" fillId="38" borderId="0" xfId="0" applyFont="1" applyFill="1" applyNumberFormat="1">
      <alignment vertical="center" wrapText="1"/>
    </xf>
    <xf numFmtId="49" fontId="23" fillId="38"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35"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0" fontId="23" fillId="35" borderId="16" xfId="0" applyFont="1" applyFill="1" applyBorder="1" applyNumberFormat="1">
      <alignment horizontal="center" vertical="center" wrapText="1"/>
    </xf>
    <xf numFmtId="0" fontId="23" fillId="35" borderId="18" xfId="0" applyFont="1" applyFill="1" applyBorder="1" applyNumberFormat="1">
      <alignment horizontal="center" vertical="center" wrapText="1"/>
    </xf>
    <xf numFmtId="0" fontId="23" fillId="38" borderId="18" xfId="0" applyFont="1" applyFill="1" applyBorder="1" applyNumberFormat="1">
      <alignment horizontal="center" vertical="center" wrapText="1"/>
    </xf>
    <xf numFmtId="0" fontId="23" fillId="38" borderId="19" xfId="0" applyFont="1" applyFill="1" applyBorder="1" applyNumberFormat="1">
      <alignment horizontal="center" vertical="center" wrapText="1"/>
    </xf>
    <xf numFmtId="0" fontId="23" fillId="38" borderId="17" xfId="0" applyFont="1" applyFill="1" applyBorder="1" applyNumberFormat="1">
      <alignment horizontal="center" vertical="center" wrapText="1"/>
    </xf>
    <xf numFmtId="0" fontId="23" fillId="35" borderId="17" xfId="0" applyFont="1" applyFill="1" applyBorder="1" applyNumberFormat="1">
      <alignment horizontal="center" vertical="center" wrapText="1"/>
    </xf>
    <xf numFmtId="49" fontId="23" fillId="0" borderId="0" xfId="0" applyFont="1" applyNumberFormat="1">
      <alignment vertical="center" wrapText="1"/>
    </xf>
    <xf numFmtId="49" fontId="56" fillId="0" borderId="0" xfId="0" applyFont="1" applyNumberFormat="1">
      <alignment vertical="top"/>
    </xf>
    <xf numFmtId="0" fontId="23" fillId="38" borderId="41" xfId="0" applyFont="1" applyFill="1" applyBorder="1" applyNumberFormat="1">
      <alignment horizontal="center" vertical="center" wrapText="1"/>
    </xf>
    <xf numFmtId="0" fontId="23" fillId="38" borderId="24" xfId="0" applyFont="1" applyFill="1" applyBorder="1" applyNumberFormat="1">
      <alignment horizontal="center" vertical="center" wrapText="1"/>
    </xf>
    <xf numFmtId="0" fontId="23" fillId="0" borderId="16" xfId="0" applyFont="1" applyBorder="1" applyNumberFormat="1">
      <alignment horizontal="center" vertical="center" wrapText="1"/>
    </xf>
    <xf numFmtId="0" fontId="23" fillId="38" borderId="26" xfId="0" applyFont="1" applyFill="1" applyBorder="1" applyNumberFormat="1">
      <alignment horizontal="center" vertical="center" wrapText="1"/>
    </xf>
    <xf numFmtId="0" fontId="23" fillId="38" borderId="28" xfId="0" applyFont="1" applyFill="1" applyBorder="1" applyNumberFormat="1">
      <alignment horizontal="center" vertical="center" wrapText="1"/>
    </xf>
    <xf numFmtId="0" fontId="23" fillId="38" borderId="31" xfId="0" applyFont="1" applyFill="1" applyBorder="1" applyNumberFormat="1">
      <alignment horizontal="center" vertical="center" wrapText="1"/>
    </xf>
    <xf numFmtId="0" fontId="23" fillId="38" borderId="34"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49" fontId="23" fillId="35" borderId="32" xfId="0" applyFont="1" applyFill="1" applyBorder="1" applyNumberFormat="1">
      <alignment horizontal="center" vertical="center" wrapText="1"/>
    </xf>
    <xf numFmtId="49" fontId="56" fillId="0" borderId="0" xfId="0" applyFont="1" applyNumberFormat="1">
      <alignment vertical="center"/>
    </xf>
    <xf numFmtId="49" fontId="47" fillId="0" borderId="16" xfId="0" applyFont="1" applyBorder="1" applyNumberFormat="1">
      <alignment horizontal="center" vertical="center"/>
    </xf>
    <xf numFmtId="49" fontId="47" fillId="35" borderId="16" xfId="0" applyFont="1" applyFill="1" applyBorder="1" applyNumberFormat="1">
      <alignment horizontal="center" vertical="center"/>
    </xf>
    <xf numFmtId="0" fontId="47" fillId="0" borderId="16" xfId="0" applyFont="1" applyBorder="1" applyNumberFormat="1">
      <alignment horizontal="center" vertical="center"/>
    </xf>
    <xf numFmtId="49" fontId="47" fillId="0" borderId="27" xfId="0" applyFont="1" applyBorder="1" applyNumberFormat="1">
      <alignment horizontal="center" vertical="center"/>
    </xf>
    <xf numFmtId="49" fontId="23" fillId="0" borderId="0" xfId="0" applyFont="1" applyNumberFormat="1">
      <alignment vertical="center"/>
    </xf>
    <xf numFmtId="49" fontId="57" fillId="0" borderId="21" xfId="0" applyFont="1" applyBorder="1" applyNumberFormat="1">
      <alignment horizontal="center" vertical="center"/>
    </xf>
    <xf numFmtId="49" fontId="23" fillId="0" borderId="21" xfId="0" applyFont="1" applyBorder="1" applyNumberFormat="1">
      <alignment horizontal="center" vertical="center"/>
    </xf>
    <xf numFmtId="0" fontId="23" fillId="0" borderId="21" xfId="0" applyFont="1" applyBorder="1" applyNumberFormat="1">
      <alignment horizontal="right" vertical="center"/>
    </xf>
    <xf numFmtId="0" fontId="23" fillId="0" borderId="21" xfId="0" applyFont="1" applyBorder="1" applyNumberFormat="1">
      <alignment horizontal="center" vertical="center"/>
    </xf>
    <xf numFmtId="4" fontId="56" fillId="38" borderId="0" xfId="0" applyFont="1" applyFill="1" applyNumberFormat="1">
      <alignment vertical="center"/>
    </xf>
    <xf numFmtId="49" fontId="56" fillId="0" borderId="0" xfId="0" applyFont="1" applyNumberFormat="1">
      <alignment vertical="center" wrapText="1"/>
    </xf>
    <xf numFmtId="49" fontId="56" fillId="0" borderId="0" xfId="0" applyFont="1" applyNumberFormat="1">
      <alignment vertical="top"/>
    </xf>
    <xf numFmtId="0" fontId="56" fillId="0" borderId="0" xfId="0" applyFont="1" applyNumberFormat="1">
      <alignment vertical="center" wrapText="1"/>
    </xf>
    <xf numFmtId="49" fontId="102" fillId="0" borderId="0" xfId="0" applyFont="1" applyNumberFormat="1">
      <alignment vertical="center" wrapText="1"/>
    </xf>
    <xf numFmtId="49" fontId="56" fillId="0" borderId="0" xfId="0" applyFont="1" applyNumberFormat="1">
      <alignment vertical="center" wrapText="1"/>
    </xf>
    <xf numFmtId="49" fontId="107" fillId="0" borderId="0" xfId="0" applyFont="1" applyNumberFormat="1">
      <alignment vertical="center" wrapText="1"/>
    </xf>
    <xf numFmtId="0" fontId="23" fillId="38" borderId="16" xfId="0" applyFont="1" applyFill="1" applyBorder="1" applyNumberFormat="1">
      <alignment horizontal="left" vertical="center" wrapText="1"/>
    </xf>
    <xf numFmtId="0" fontId="23" fillId="0" borderId="0" xfId="0" applyFont="1" applyNumberFormat="1">
      <alignment horizontal="center" vertical="center" wrapText="1"/>
    </xf>
    <xf numFmtId="0" fontId="58" fillId="0" borderId="0" xfId="0" applyFont="1" applyNumberFormat="1">
      <alignment horizontal="center" vertical="center" wrapText="1"/>
    </xf>
    <xf numFmtId="49" fontId="23" fillId="0" borderId="16" xfId="0" applyFont="1" applyBorder="1" applyNumberFormat="1">
      <alignment horizontal="left" vertical="center" wrapText="1"/>
    </xf>
    <xf numFmtId="0" fontId="58" fillId="0" borderId="0" xfId="0" applyFont="1" applyNumberFormat="1">
      <alignment horizontal="center" vertical="center"/>
    </xf>
    <xf numFmtId="0" fontId="57" fillId="0" borderId="0" xfId="0" applyFont="1" applyNumberFormat="1">
      <alignment horizontal="center" vertical="center" wrapText="1"/>
    </xf>
    <xf numFmtId="0" fontId="23" fillId="0" borderId="0" xfId="0" applyFont="1" applyNumberFormat="1">
      <alignment horizontal="right" vertical="center" wrapText="1"/>
    </xf>
    <xf numFmtId="0" fontId="23" fillId="0" borderId="21" xfId="0" applyFont="1" applyBorder="1" applyNumberFormat="1">
      <alignment horizontal="center" vertical="center" wrapText="1"/>
    </xf>
    <xf numFmtId="0" fontId="0" fillId="0" borderId="16" xfId="0" applyFont="1" applyBorder="1" applyNumberFormat="1">
      <alignment horizontal="center" vertical="center" wrapText="1"/>
    </xf>
    <xf numFmtId="0" fontId="88" fillId="38" borderId="23" xfId="0" applyFont="1" applyFill="1" applyBorder="1" applyNumberFormat="1">
      <alignment horizontal="center" vertical="center" wrapText="1"/>
    </xf>
    <xf numFmtId="0" fontId="57" fillId="0" borderId="0" xfId="0" applyFont="1" applyNumberFormat="1">
      <alignment horizontal="center" vertical="center" wrapText="1"/>
    </xf>
    <xf numFmtId="49" fontId="23" fillId="0" borderId="0" xfId="0" applyFont="1" applyNumberFormat="1">
      <alignment vertical="center" wrapText="1"/>
    </xf>
    <xf numFmtId="49" fontId="23" fillId="46" borderId="16" xfId="0" applyFont="1" applyFill="1" applyBorder="1" applyNumberFormat="1">
      <alignment horizontal="center" vertical="center" wrapText="1"/>
    </xf>
    <xf numFmtId="49" fontId="23" fillId="38" borderId="16" xfId="0" applyFont="1" applyFill="1" applyBorder="1" applyNumberFormat="1">
      <alignment horizontal="center" vertical="center" wrapText="1"/>
    </xf>
    <xf numFmtId="49" fontId="23" fillId="45" borderId="16" xfId="0" applyFont="1" applyFill="1" applyBorder="1" applyNumberFormat="1">
      <alignment horizontal="left" vertical="center" wrapText="1" indent="1"/>
      <protection locked="0"/>
    </xf>
    <xf numFmtId="49" fontId="58" fillId="0" borderId="16" xfId="0" applyFont="1" applyBorder="1" applyNumberFormat="1">
      <alignment horizontal="center" vertical="center" wrapText="1"/>
    </xf>
    <xf numFmtId="0" fontId="23" fillId="38" borderId="16" xfId="0" applyFont="1" applyFill="1" applyBorder="1" applyNumberFormat="1">
      <alignment horizontal="center" vertical="center" wrapText="1"/>
    </xf>
    <xf numFmtId="0" fontId="23" fillId="0" borderId="0" xfId="0" applyFont="1" applyNumberFormat="1">
      <alignment horizontal="left" vertical="top" wrapText="1"/>
    </xf>
    <xf numFmtId="0" fontId="43" fillId="0" borderId="0" xfId="0" applyFont="1" applyNumberFormat="1">
      <alignment vertical="center" wrapText="1"/>
    </xf>
    <xf numFmtId="0" fontId="48" fillId="38" borderId="0" xfId="0" applyFont="1" applyFill="1" applyNumberFormat="1">
      <alignment horizontal="center" vertical="center" wrapText="1"/>
    </xf>
    <xf numFmtId="0" fontId="23" fillId="38" borderId="0" xfId="0" applyFont="1" applyFill="1" applyNumberFormat="1"/>
    <xf numFmtId="49" fontId="43" fillId="0" borderId="0" xfId="0" applyFont="1" applyNumberFormat="1">
      <alignment vertical="top"/>
    </xf>
    <xf numFmtId="49" fontId="23" fillId="0" borderId="0" xfId="0" applyFont="1" applyNumberFormat="1">
      <alignment vertical="top"/>
    </xf>
    <xf numFmtId="49" fontId="48" fillId="0" borderId="0" xfId="0" applyFont="1" applyNumberFormat="1">
      <alignment horizontal="center" vertical="center"/>
    </xf>
    <xf numFmtId="0" fontId="54" fillId="38" borderId="0" xfId="0" applyFont="1" applyFill="1" applyNumberFormat="1">
      <alignment horizontal="center" vertical="center" wrapText="1"/>
    </xf>
    <xf numFmtId="0" fontId="43" fillId="38" borderId="0" xfId="0" applyFont="1" applyFill="1" applyNumberFormat="1"/>
    <xf numFmtId="0" fontId="23" fillId="38" borderId="16" xfId="0" applyFont="1" applyFill="1" applyBorder="1" applyNumberFormat="1">
      <alignment horizontal="center" vertical="center" wrapText="1"/>
    </xf>
    <xf numFmtId="0" fontId="23" fillId="38" borderId="16" xfId="0" applyFont="1" applyFill="1" applyBorder="1" applyNumberFormat="1">
      <alignment horizontal="center" vertical="center" wrapText="1"/>
    </xf>
    <xf numFmtId="49" fontId="23" fillId="0" borderId="0" xfId="0" applyFont="1" applyNumberFormat="1">
      <alignment vertical="top"/>
    </xf>
    <xf numFmtId="49" fontId="51" fillId="44" borderId="19" xfId="0" applyFont="1" applyFill="1" applyBorder="1" applyNumberFormat="1">
      <alignment horizontal="left" vertical="center"/>
    </xf>
    <xf numFmtId="49" fontId="55" fillId="44" borderId="19" xfId="0" applyFont="1" applyFill="1" applyBorder="1" applyNumberFormat="1">
      <alignment horizontal="center" vertical="top"/>
    </xf>
    <xf numFmtId="49" fontId="55" fillId="44" borderId="17" xfId="0" applyFont="1" applyFill="1" applyBorder="1" applyNumberFormat="1">
      <alignment horizontal="center" vertical="top"/>
    </xf>
    <xf numFmtId="49" fontId="23" fillId="0" borderId="0" xfId="0" applyFont="1" applyNumberFormat="1">
      <alignment horizontal="left" vertical="top" wrapText="1"/>
    </xf>
    <xf numFmtId="49" fontId="23" fillId="0" borderId="0" xfId="0" applyFont="1" applyNumberFormat="1">
      <alignment vertical="top"/>
    </xf>
    <xf numFmtId="49" fontId="48" fillId="0" borderId="0" xfId="0" applyFont="1" applyNumberFormat="1">
      <alignment horizontal="center" vertical="center"/>
    </xf>
    <xf numFmtId="49" fontId="23" fillId="0" borderId="0" xfId="0" applyFont="1" applyNumberFormat="1">
      <alignment vertical="top"/>
    </xf>
    <xf numFmtId="0" fontId="48" fillId="38" borderId="0" xfId="0" applyFont="1" applyFill="1" applyNumberFormat="1">
      <alignment horizontal="center" vertical="center"/>
    </xf>
    <xf numFmtId="0" fontId="23" fillId="38" borderId="0" xfId="0" applyFont="1" applyFill="1" applyNumberFormat="1"/>
    <xf numFmtId="0" fontId="23" fillId="0" borderId="17" xfId="0" applyFont="1" applyBorder="1" applyNumberFormat="1">
      <alignment horizontal="left" vertical="center" wrapText="1" indent="1"/>
    </xf>
    <xf numFmtId="0" fontId="23" fillId="0" borderId="18" xfId="0" applyFont="1" applyBorder="1" applyNumberFormat="1">
      <alignment horizontal="left" vertical="center" wrapText="1" indent="1"/>
    </xf>
    <xf numFmtId="0" fontId="72" fillId="0" borderId="0" xfId="0" applyFont="1" applyNumberFormat="1"/>
    <xf numFmtId="0" fontId="23" fillId="0" borderId="16" xfId="0" applyFont="1" applyBorder="1" applyNumberFormat="1">
      <alignment horizontal="center" vertical="center" wrapText="1"/>
    </xf>
    <xf numFmtId="0" fontId="23" fillId="38" borderId="21" xfId="0" applyFont="1" applyFill="1" applyBorder="1" applyNumberFormat="1">
      <alignment horizontal="center" vertical="center"/>
    </xf>
    <xf numFmtId="49" fontId="23" fillId="0" borderId="21" xfId="0" applyFont="1" applyBorder="1" applyNumberFormat="1">
      <alignment horizontal="left" vertical="center" wrapText="1"/>
    </xf>
    <xf numFmtId="49" fontId="36" fillId="44" borderId="18" xfId="0" applyFont="1" applyFill="1" applyBorder="1" applyNumberFormat="1">
      <alignment horizontal="center" vertical="center"/>
    </xf>
    <xf numFmtId="49" fontId="51" fillId="44" borderId="17" xfId="0" applyFont="1" applyFill="1" applyBorder="1" applyNumberFormat="1">
      <alignment horizontal="left" vertical="center"/>
    </xf>
    <xf numFmtId="49" fontId="56" fillId="0" borderId="0" xfId="0" applyFont="1" applyNumberFormat="1">
      <alignment horizontal="right" vertical="top"/>
    </xf>
    <xf numFmtId="49" fontId="23" fillId="0" borderId="0" xfId="0" applyFont="1" applyNumberFormat="1">
      <alignment horizontal="left" vertical="top" wrapText="1"/>
    </xf>
    <xf numFmtId="49" fontId="56" fillId="0" borderId="0" xfId="0" applyFont="1" applyNumberFormat="1">
      <alignment vertical="top"/>
    </xf>
    <xf numFmtId="0" fontId="48" fillId="0" borderId="0" xfId="0" applyFont="1" applyNumberFormat="1">
      <alignment horizontal="center" vertical="center"/>
    </xf>
    <xf numFmtId="49" fontId="23" fillId="38" borderId="16" xfId="0" applyFont="1" applyFill="1" applyBorder="1" applyNumberFormat="1">
      <alignment horizontal="center" vertical="center"/>
    </xf>
    <xf numFmtId="49" fontId="23" fillId="45" borderId="16" xfId="0" applyFont="1" applyFill="1" applyBorder="1" applyNumberFormat="1">
      <alignment horizontal="left" vertical="center" wrapText="1"/>
      <protection locked="0"/>
    </xf>
    <xf numFmtId="0" fontId="23" fillId="45" borderId="16" xfId="0" applyFont="1" applyFill="1" applyBorder="1" applyNumberFormat="1">
      <alignment horizontal="center" vertical="center" wrapText="1"/>
      <protection locked="0"/>
    </xf>
    <xf numFmtId="0" fontId="57" fillId="38" borderId="0" xfId="0" applyFont="1" applyFill="1" applyNumberFormat="1"/>
    <xf numFmtId="49" fontId="23" fillId="38" borderId="16" xfId="0" applyFont="1" applyFill="1" applyBorder="1" applyNumberFormat="1">
      <alignment horizontal="center" vertical="center" wrapText="1"/>
    </xf>
    <xf numFmtId="0" fontId="0" fillId="38" borderId="16" xfId="0" applyFont="1" applyFill="1" applyBorder="1" applyNumberFormat="1">
      <alignment horizontal="center" vertical="center" wrapText="1"/>
    </xf>
    <xf numFmtId="0" fontId="76" fillId="38" borderId="0" xfId="0" applyFont="1" applyFill="1" applyNumberFormat="1"/>
    <xf numFmtId="0" fontId="23" fillId="38" borderId="16" xfId="0" applyFont="1" applyFill="1" applyBorder="1" applyNumberFormat="1">
      <alignment horizontal="left" vertical="center" wrapText="1"/>
    </xf>
    <xf numFmtId="0" fontId="23" fillId="0" borderId="16" xfId="0" applyFont="1" applyBorder="1" applyNumberFormat="1">
      <alignment horizontal="center" vertical="center" wrapText="1"/>
    </xf>
    <xf numFmtId="49" fontId="23" fillId="0" borderId="16" xfId="0" applyFont="1" applyBorder="1" applyNumberFormat="1">
      <alignment horizontal="center" vertical="center"/>
    </xf>
    <xf numFmtId="0" fontId="23" fillId="0" borderId="16" xfId="0" applyFont="1" applyBorder="1" applyNumberFormat="1">
      <alignment horizontal="left" vertical="center" wrapText="1" indent="1"/>
    </xf>
    <xf numFmtId="0" fontId="23" fillId="0" borderId="16" xfId="0" applyFont="1" applyBorder="1" applyNumberFormat="1">
      <alignment vertical="center" wrapText="1"/>
    </xf>
    <xf numFmtId="0" fontId="23" fillId="38" borderId="16" xfId="0" applyFont="1" applyFill="1" applyBorder="1" applyNumberFormat="1">
      <alignment horizontal="left" vertical="center" wrapText="1" indent="1"/>
    </xf>
    <xf numFmtId="49" fontId="23" fillId="34" borderId="16" xfId="0" applyFont="1" applyFill="1" applyBorder="1" applyNumberFormat="1">
      <alignment horizontal="left" vertical="center" wrapText="1"/>
      <protection locked="0"/>
    </xf>
    <xf numFmtId="0" fontId="58" fillId="38" borderId="0" xfId="0" applyFont="1" applyFill="1" applyNumberFormat="1">
      <alignment horizontal="center" vertical="center" wrapText="1"/>
    </xf>
    <xf numFmtId="0" fontId="23" fillId="38" borderId="28" xfId="0" applyFont="1" applyFill="1" applyBorder="1" applyNumberFormat="1">
      <alignment horizontal="center" vertical="center" wrapText="1"/>
    </xf>
    <xf numFmtId="0" fontId="0" fillId="38" borderId="21" xfId="0" applyFont="1" applyFill="1" applyBorder="1" applyNumberFormat="1">
      <alignment horizontal="left" vertical="top" wrapText="1"/>
    </xf>
    <xf numFmtId="0" fontId="75" fillId="38" borderId="0" xfId="0" applyFont="1" applyFill="1" applyNumberFormat="1"/>
    <xf numFmtId="0" fontId="81" fillId="38" borderId="0" xfId="0" applyFont="1" applyFill="1" applyNumberFormat="1">
      <alignment vertical="center" wrapText="1"/>
    </xf>
    <xf numFmtId="0" fontId="58" fillId="38" borderId="16" xfId="0" applyFont="1" applyFill="1" applyBorder="1" applyNumberFormat="1">
      <alignment horizontal="center" vertical="center"/>
    </xf>
    <xf numFmtId="0" fontId="0" fillId="38" borderId="40" xfId="0" applyFont="1" applyFill="1" applyBorder="1" applyNumberFormat="1">
      <alignment horizontal="left" vertical="top" wrapText="1"/>
    </xf>
    <xf numFmtId="0" fontId="0" fillId="38" borderId="27" xfId="0" applyFont="1" applyFill="1" applyBorder="1" applyNumberFormat="1">
      <alignment horizontal="left" vertical="top" wrapText="1"/>
    </xf>
    <xf numFmtId="0" fontId="92" fillId="38" borderId="0" xfId="0" applyFont="1" applyFill="1" applyNumberFormat="1"/>
    <xf numFmtId="0" fontId="23" fillId="0" borderId="16" xfId="0" applyFont="1" applyBorder="1" applyNumberFormat="1">
      <alignment horizontal="center" vertical="center" wrapText="1"/>
    </xf>
    <xf numFmtId="49" fontId="23" fillId="46" borderId="16" xfId="0" applyFont="1" applyFill="1" applyBorder="1" applyNumberFormat="1">
      <alignment horizontal="left" vertical="center" wrapText="1"/>
    </xf>
    <xf numFmtId="14" fontId="23" fillId="45" borderId="16" xfId="0" applyFont="1" applyFill="1" applyBorder="1" applyNumberFormat="1">
      <alignment horizontal="left" vertical="center" wrapText="1" indent="1"/>
      <protection locked="0"/>
    </xf>
    <xf numFmtId="0" fontId="121" fillId="0" borderId="0" xfId="0" applyFont="1" applyNumberFormat="1">
      <alignment vertical="center"/>
    </xf>
    <xf numFmtId="0" fontId="48" fillId="0" borderId="0" xfId="0" applyFont="1" applyNumberFormat="1">
      <alignment horizontal="center" vertical="center" wrapText="1"/>
    </xf>
    <xf numFmtId="4" fontId="23" fillId="0" borderId="21" xfId="0" applyFont="1" applyBorder="1" applyNumberFormat="1">
      <alignment horizontal="center" vertical="center" wrapText="1"/>
    </xf>
    <xf numFmtId="167" fontId="23" fillId="0" borderId="41" xfId="0" applyFont="1" applyBorder="1" applyNumberFormat="1">
      <alignment horizontal="center" vertical="center" wrapText="1"/>
    </xf>
    <xf numFmtId="167" fontId="23" fillId="0" borderId="21" xfId="0" applyFont="1" applyBorder="1" applyNumberFormat="1">
      <alignment horizontal="center" vertical="center" wrapText="1"/>
    </xf>
    <xf numFmtId="4" fontId="23" fillId="0" borderId="27" xfId="0" applyFont="1" applyBorder="1" applyNumberFormat="1">
      <alignment horizontal="center" vertical="center" wrapText="1"/>
    </xf>
    <xf numFmtId="14" fontId="23" fillId="46" borderId="16" xfId="0" applyFont="1" applyFill="1" applyBorder="1" applyNumberFormat="1">
      <alignment horizontal="left" vertical="center" wrapText="1"/>
    </xf>
    <xf numFmtId="49" fontId="23" fillId="0" borderId="24" xfId="0" applyFont="1" applyBorder="1" applyNumberFormat="1">
      <alignment horizontal="left" vertical="top" wrapText="1"/>
    </xf>
    <xf numFmtId="49" fontId="36" fillId="44" borderId="31" xfId="0" applyFont="1" applyFill="1" applyBorder="1" applyNumberFormat="1">
      <alignment horizontal="right" vertical="center" wrapText="1"/>
    </xf>
    <xf numFmtId="49" fontId="0" fillId="44" borderId="32" xfId="0" applyFont="1" applyFill="1" applyBorder="1" applyNumberFormat="1">
      <alignment horizontal="right" vertical="center" wrapText="1"/>
    </xf>
    <xf numFmtId="49" fontId="23" fillId="0" borderId="34" xfId="0" applyFont="1" applyBorder="1" applyNumberFormat="1">
      <alignment horizontal="left" vertical="top" wrapText="1"/>
    </xf>
    <xf numFmtId="0" fontId="121" fillId="0" borderId="0" xfId="0" applyFont="1" applyNumberFormat="1">
      <alignment vertical="center" wrapText="1"/>
    </xf>
    <xf numFmtId="0" fontId="58" fillId="0" borderId="0" xfId="0" applyFont="1" applyNumberFormat="1">
      <alignment vertical="center"/>
    </xf>
    <xf numFmtId="0" fontId="23" fillId="42" borderId="27" xfId="0" applyFont="1" applyFill="1" applyBorder="1" applyNumberFormat="1">
      <alignment horizontal="left" vertical="center" wrapText="1" indent="1"/>
    </xf>
    <xf numFmtId="170" fontId="58" fillId="0" borderId="0" xfId="0" applyFont="1" applyNumberFormat="1">
      <alignment horizontal="center" vertical="center" wrapText="1"/>
    </xf>
    <xf numFmtId="167" fontId="23" fillId="0" borderId="21" xfId="0" applyFont="1" applyBorder="1" applyNumberFormat="1">
      <alignment horizontal="center" vertical="center" wrapText="1"/>
    </xf>
    <xf numFmtId="167" fontId="23" fillId="0" borderId="21" xfId="0" applyFont="1" applyBorder="1" applyNumberFormat="1">
      <alignment horizontal="center" vertical="center" wrapText="1"/>
    </xf>
    <xf numFmtId="167" fontId="23" fillId="0" borderId="18" xfId="0" applyFont="1" applyBorder="1" applyNumberFormat="1">
      <alignment horizontal="center" vertical="center" wrapText="1"/>
    </xf>
    <xf numFmtId="167" fontId="23" fillId="0" borderId="19" xfId="0" applyFont="1" applyBorder="1" applyNumberFormat="1">
      <alignment horizontal="center" vertical="center" wrapText="1"/>
    </xf>
    <xf numFmtId="167" fontId="23" fillId="0" borderId="17" xfId="0" applyFont="1" applyBorder="1" applyNumberFormat="1">
      <alignment horizontal="center" vertical="center" wrapText="1"/>
    </xf>
    <xf numFmtId="4" fontId="23" fillId="0" borderId="40" xfId="0" applyFont="1" applyBorder="1" applyNumberFormat="1">
      <alignment horizontal="center" vertical="center" wrapText="1"/>
    </xf>
    <xf numFmtId="167" fontId="23" fillId="0" borderId="27" xfId="0" applyFont="1" applyBorder="1" applyNumberFormat="1">
      <alignment horizontal="center" vertical="center" wrapText="1"/>
    </xf>
    <xf numFmtId="167" fontId="23" fillId="0" borderId="27" xfId="0" applyFont="1" applyBorder="1" applyNumberFormat="1">
      <alignment horizontal="center" vertical="center" wrapText="1"/>
    </xf>
    <xf numFmtId="167" fontId="23" fillId="0" borderId="27" xfId="0" applyFont="1" applyBorder="1" applyNumberFormat="1">
      <alignment horizontal="center" vertical="center" wrapText="1"/>
    </xf>
    <xf numFmtId="14" fontId="23" fillId="45" borderId="27" xfId="0" applyFont="1" applyFill="1" applyBorder="1" applyNumberFormat="1">
      <alignment horizontal="left" vertical="center" wrapText="1" indent="1"/>
      <protection locked="0"/>
    </xf>
    <xf numFmtId="14" fontId="23" fillId="46" borderId="16" xfId="0" applyFont="1" applyFill="1" applyBorder="1" applyNumberFormat="1">
      <alignment horizontal="left" vertical="center" wrapText="1"/>
    </xf>
    <xf numFmtId="49" fontId="23" fillId="46" borderId="18" xfId="0" applyFont="1" applyFill="1" applyBorder="1" applyNumberFormat="1">
      <alignment horizontal="left" vertical="center" wrapText="1"/>
    </xf>
    <xf numFmtId="49" fontId="36" fillId="44" borderId="32" xfId="0" applyFont="1" applyFill="1" applyBorder="1" applyNumberFormat="1">
      <alignment horizontal="right" vertical="center" wrapText="1"/>
    </xf>
    <xf numFmtId="49" fontId="30" fillId="44" borderId="32" xfId="0" applyFont="1" applyFill="1" applyBorder="1" applyNumberFormat="1">
      <alignment horizontal="left" vertical="center" wrapText="1"/>
    </xf>
    <xf numFmtId="49" fontId="30" fillId="44" borderId="27" xfId="0" applyFont="1" applyFill="1" applyBorder="1" applyNumberFormat="1">
      <alignment horizontal="left" vertical="center" wrapText="1"/>
    </xf>
    <xf numFmtId="0" fontId="58" fillId="0" borderId="32" xfId="0" applyFont="1" applyBorder="1" applyNumberFormat="1">
      <alignment horizontal="center" vertical="center" wrapText="1"/>
    </xf>
    <xf numFmtId="0" fontId="53" fillId="0" borderId="0" xfId="0" applyFont="1" applyNumberFormat="1">
      <alignment horizontal="center" vertical="center" wrapText="1"/>
    </xf>
    <xf numFmtId="0" fontId="23" fillId="0" borderId="0" xfId="0" applyFont="1" applyNumberFormat="1">
      <alignment horizontal="center" vertical="center" wrapText="1"/>
    </xf>
    <xf numFmtId="167" fontId="56" fillId="0" borderId="62" xfId="0" applyFont="1" applyBorder="1" applyNumberFormat="1">
      <alignment horizontal="center" vertical="center" wrapText="1"/>
    </xf>
    <xf numFmtId="167" fontId="56" fillId="0" borderId="62" xfId="0" applyFont="1" applyBorder="1" applyNumberFormat="1">
      <alignment horizontal="center" vertical="center" wrapText="1"/>
    </xf>
    <xf numFmtId="167" fontId="56" fillId="0" borderId="61" xfId="0" applyFont="1" applyBorder="1" applyNumberFormat="1">
      <alignment horizontal="center" vertical="center" wrapText="1"/>
    </xf>
    <xf numFmtId="167" fontId="56" fillId="0" borderId="55" xfId="0" applyFont="1" applyBorder="1" applyNumberFormat="1">
      <alignment horizontal="center" vertical="center" wrapText="1"/>
    </xf>
    <xf numFmtId="167" fontId="56" fillId="0" borderId="80" xfId="0" applyFont="1" applyBorder="1" applyNumberFormat="1">
      <alignment horizontal="center" vertical="center" wrapText="1"/>
    </xf>
    <xf numFmtId="0" fontId="58" fillId="0" borderId="0" xfId="0" applyFont="1" applyNumberFormat="1">
      <alignment horizontal="center" vertical="center"/>
    </xf>
    <xf numFmtId="0" fontId="58" fillId="0" borderId="0" xfId="0" applyFont="1" applyNumberFormat="1">
      <alignment horizontal="center" vertical="center"/>
    </xf>
    <xf numFmtId="0" fontId="63" fillId="0" borderId="0" xfId="0" applyFont="1" applyNumberFormat="1">
      <alignment horizontal="center" vertical="center"/>
    </xf>
    <xf numFmtId="0" fontId="23" fillId="0" borderId="27" xfId="0" applyFont="1" applyBorder="1" applyNumberFormat="1">
      <alignment horizontal="center" vertical="center" wrapText="1"/>
    </xf>
    <xf numFmtId="167" fontId="23" fillId="0" borderId="16" xfId="0" applyFont="1" applyBorder="1" applyNumberFormat="1">
      <alignment horizontal="center" vertical="center" wrapText="1"/>
    </xf>
    <xf numFmtId="167" fontId="23" fillId="0" borderId="16" xfId="0" applyFont="1" applyBorder="1" applyNumberFormat="1">
      <alignment horizontal="center" vertical="center" wrapText="1"/>
    </xf>
    <xf numFmtId="0" fontId="23" fillId="42" borderId="27" xfId="0" applyFont="1" applyFill="1" applyBorder="1" applyNumberFormat="1">
      <alignment horizontal="left" vertical="center" wrapText="1"/>
    </xf>
    <xf numFmtId="14" fontId="23" fillId="46" borderId="27" xfId="0" applyFont="1" applyFill="1" applyBorder="1" applyNumberFormat="1">
      <alignment horizontal="left" vertical="center" wrapText="1"/>
    </xf>
    <xf numFmtId="49" fontId="23" fillId="46" borderId="31" xfId="0" applyFont="1" applyFill="1" applyBorder="1" applyNumberFormat="1">
      <alignment horizontal="left" vertical="center" wrapText="1"/>
    </xf>
    <xf numFmtId="49" fontId="30" fillId="45" borderId="32" xfId="0" applyFont="1" applyFill="1" applyBorder="1" applyNumberFormat="1">
      <alignment horizontal="left" vertical="center" wrapText="1"/>
      <protection locked="0"/>
    </xf>
    <xf numFmtId="49" fontId="30" fillId="45" borderId="31" xfId="0" applyFont="1" applyFill="1" applyBorder="1" applyNumberFormat="1">
      <alignment horizontal="left" vertical="center" wrapText="1"/>
      <protection locked="0"/>
    </xf>
    <xf numFmtId="49" fontId="30" fillId="45" borderId="27" xfId="0" applyFont="1" applyFill="1" applyBorder="1" applyNumberFormat="1">
      <alignment horizontal="left" vertical="center" wrapText="1"/>
      <protection locked="0"/>
    </xf>
    <xf numFmtId="49" fontId="0" fillId="44" borderId="16" xfId="0" applyFont="1" applyFill="1" applyBorder="1" applyNumberFormat="1">
      <alignment horizontal="right" vertical="center" wrapText="1"/>
    </xf>
    <xf numFmtId="0" fontId="23" fillId="0" borderId="0" xfId="0" applyFont="1" applyNumberFormat="1"/>
    <xf numFmtId="49" fontId="23" fillId="0" borderId="16" xfId="0" applyFont="1" applyBorder="1" applyNumberFormat="1">
      <alignment horizontal="left" vertical="center" wrapText="1"/>
    </xf>
    <xf numFmtId="49" fontId="51" fillId="44" borderId="17" xfId="0" applyFont="1" applyFill="1" applyBorder="1" applyNumberFormat="1">
      <alignment horizontal="left" vertical="center"/>
    </xf>
    <xf numFmtId="49" fontId="0" fillId="0" borderId="19" xfId="0" applyFont="1" applyBorder="1" applyNumberFormat="1">
      <alignment horizontal="left" vertical="center" indent="1"/>
    </xf>
    <xf numFmtId="49" fontId="73" fillId="0" borderId="0" xfId="0" applyFont="1" applyNumberFormat="1">
      <alignment vertical="top"/>
    </xf>
    <xf numFmtId="49" fontId="0" fillId="0" borderId="29" xfId="0" applyFont="1" applyBorder="1" applyNumberFormat="1">
      <alignment horizontal="center" vertical="center"/>
    </xf>
    <xf numFmtId="49" fontId="0" fillId="0" borderId="0" xfId="0" applyFont="1" applyNumberFormat="1">
      <alignment vertical="top"/>
    </xf>
    <xf numFmtId="49" fontId="0" fillId="0" borderId="0" xfId="0" applyFont="1" applyNumberFormat="1">
      <alignment vertical="top"/>
    </xf>
    <xf numFmtId="49" fontId="0" fillId="0" borderId="16" xfId="0" applyFont="1" applyBorder="1" applyNumberFormat="1">
      <alignment vertical="top"/>
    </xf>
    <xf numFmtId="49" fontId="0" fillId="0" borderId="18" xfId="0" applyFont="1" applyBorder="1" applyNumberFormat="1">
      <alignment vertical="top"/>
    </xf>
    <xf numFmtId="49" fontId="0" fillId="0" borderId="16" xfId="0" applyFont="1" applyBorder="1" applyNumberFormat="1">
      <alignment horizontal="center" vertical="top"/>
    </xf>
    <xf numFmtId="49" fontId="0" fillId="0" borderId="18" xfId="0" applyFont="1" applyBorder="1" applyNumberFormat="1">
      <alignment horizontal="center" vertical="top"/>
    </xf>
    <xf numFmtId="49" fontId="0" fillId="0" borderId="16" xfId="0" applyFont="1" applyBorder="1" applyNumberFormat="1">
      <alignment vertical="top"/>
    </xf>
    <xf numFmtId="49" fontId="0" fillId="48" borderId="21" xfId="0" applyFont="1" applyFill="1" applyBorder="1" applyNumberFormat="1">
      <alignment vertical="top"/>
    </xf>
    <xf numFmtId="49" fontId="0" fillId="0" borderId="18" xfId="0" applyFont="1" applyBorder="1" applyNumberFormat="1">
      <alignment horizontal="center" vertical="top"/>
    </xf>
    <xf numFmtId="49" fontId="0" fillId="49" borderId="16" xfId="0" applyFont="1" applyFill="1" applyBorder="1" applyNumberFormat="1">
      <alignment vertical="top"/>
    </xf>
    <xf numFmtId="49" fontId="0" fillId="0" borderId="19" xfId="0" applyFont="1" applyBorder="1" applyNumberFormat="1">
      <alignment horizontal="center" vertical="top"/>
    </xf>
    <xf numFmtId="49" fontId="0" fillId="3" borderId="16" xfId="0" applyFont="1" applyFill="1" applyBorder="1" applyNumberFormat="1">
      <alignment vertical="top"/>
    </xf>
    <xf numFmtId="49" fontId="0" fillId="50" borderId="16" xfId="0" applyFont="1" applyFill="1" applyBorder="1" applyNumberFormat="1">
      <alignment vertical="top"/>
    </xf>
    <xf numFmtId="49" fontId="0" fillId="16" borderId="21" xfId="0" applyFont="1" applyFill="1" applyBorder="1" applyNumberFormat="1">
      <alignment vertical="top"/>
    </xf>
    <xf numFmtId="49" fontId="0" fillId="5" borderId="18" xfId="0" applyFont="1" applyFill="1" applyBorder="1" applyNumberFormat="1">
      <alignment vertical="top"/>
    </xf>
    <xf numFmtId="49" fontId="0" fillId="5" borderId="16" xfId="0" applyFont="1" applyFill="1" applyBorder="1" applyNumberFormat="1">
      <alignment vertical="top"/>
    </xf>
    <xf numFmtId="49" fontId="0" fillId="16" borderId="16"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8" borderId="0" xfId="88" applyFont="1" applyFill="1" applyNumberFormat="1">
      <alignment vertical="top"/>
    </xf>
    <xf numFmtId="0" fontId="0" fillId="0" borderId="0" xfId="0" applyFont="1" applyNumberFormat="1"/>
    <xf numFmtId="0" fontId="1" fillId="0" borderId="0" xfId="0" applyFont="1" applyNumberFormat="1"/>
    <xf numFmtId="0" fontId="38" fillId="0" borderId="0" xfId="0" applyFont="1" applyNumberFormat="1"/>
    <xf numFmtId="0" fontId="38" fillId="0" borderId="0" xfId="0" applyFont="1" applyNumberFormat="1"/>
    <xf numFmtId="49" fontId="23" fillId="42" borderId="15" xfId="0" applyFont="1" applyFill="1" applyBorder="1" applyNumberFormat="1">
      <alignment horizontal="center" vertical="top"/>
    </xf>
    <xf numFmtId="49" fontId="0" fillId="0" borderId="0" xfId="0" applyFont="1" applyNumberFormat="1">
      <alignment vertical="top"/>
    </xf>
    <xf numFmtId="49" fontId="49" fillId="0" borderId="11" xfId="0" applyFont="1" applyBorder="1" applyNumberFormat="1">
      <alignment vertical="top" wrapText="1"/>
    </xf>
    <xf numFmtId="0" fontId="0" fillId="0" borderId="11" xfId="0" applyFont="1" applyBorder="1" applyNumberFormat="1">
      <alignment vertical="top" wrapText="1"/>
    </xf>
    <xf numFmtId="0" fontId="22" fillId="0" borderId="22" xfId="0" applyFont="1" applyBorder="1" applyNumberFormat="1">
      <alignment vertical="top" wrapText="1"/>
    </xf>
    <xf numFmtId="0" fontId="0" fillId="0" borderId="0" xfId="0" applyFont="1" applyNumberFormat="1">
      <alignment vertical="top"/>
    </xf>
    <xf numFmtId="0" fontId="0" fillId="0" borderId="16" xfId="0" applyFont="1" applyBorder="1" applyNumberFormat="1">
      <alignment vertical="top" wrapText="1"/>
    </xf>
    <xf numFmtId="49" fontId="0" fillId="0" borderId="16" xfId="0" applyFont="1" applyBorder="1" applyNumberFormat="1">
      <alignment vertical="top" wrapText="1"/>
    </xf>
    <xf numFmtId="49" fontId="0" fillId="0" borderId="21" xfId="0" applyFont="1" applyBorder="1" applyNumberFormat="1">
      <alignment vertical="top"/>
    </xf>
    <xf numFmtId="49" fontId="0" fillId="0" borderId="0" xfId="0" applyFont="1" applyNumberFormat="1">
      <alignment vertical="top"/>
    </xf>
    <xf numFmtId="0" fontId="36" fillId="0" borderId="11" xfId="0" applyFont="1" applyBorder="1" applyNumberFormat="1">
      <alignment vertical="center" wrapText="1"/>
    </xf>
    <xf numFmtId="0" fontId="22" fillId="0" borderId="0" xfId="0" applyFont="1" applyNumberFormat="1">
      <alignment vertical="top" wrapText="1"/>
    </xf>
    <xf numFmtId="0" fontId="23" fillId="0" borderId="11" xfId="0" applyFont="1" applyBorder="1" applyNumberFormat="1">
      <alignment vertical="center" wrapText="1"/>
    </xf>
    <xf numFmtId="49" fontId="0" fillId="0" borderId="0" xfId="0" applyFont="1" applyNumberFormat="1">
      <alignment vertical="top"/>
    </xf>
  </cellXfs>
  <cellStyles count="270">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 2 2" xfId="49"/>
    <cellStyle name=" 1 3" xfId="48"/>
    <cellStyle name=" 1_Stage1" xfId="48"/>
    <cellStyle name="_Model_RAB Мой_PR.PROG.WARM.NOTCOMBI.2012.2.16_v1.4(04.04.11) " xfId="50"/>
    <cellStyle name="_Model_RAB Мой_PR.PROG.WARM.NOTCOMBI.2012.2.16_v1.4(04.04.11)  2" xfId="50"/>
    <cellStyle name="_Model_RAB Мой_Книга2_PR.PROG.WARM.NOTCOMBI.2012.2.16_v1.4(04.04.11) " xfId="50"/>
    <cellStyle name="_Model_RAB Мой_Книга2_PR.PROG.WARM.NOTCOMBI.2012.2.16_v1.4(04.04.11)  2" xfId="50"/>
    <cellStyle name="_Model_RAB_MRSK_svod_PR.PROG.WARM.NOTCOMBI.2012.2.16_v1.4(04.04.11) " xfId="50"/>
    <cellStyle name="_Model_RAB_MRSK_svod_PR.PROG.WARM.NOTCOMBI.2012.2.16_v1.4(04.04.11)  2" xfId="50"/>
    <cellStyle name="_Model_RAB_MRSK_svod_Книга2_PR.PROG.WARM.NOTCOMBI.2012.2.16_v1.4(04.04.11) " xfId="50"/>
    <cellStyle name="_Model_RAB_MRSK_svod_Книга2_PR.PROG.WARM.NOTCOMBI.2012.2.16_v1.4(04.04.11)  2" xfId="50"/>
    <cellStyle name="_МОДЕЛЬ_1 (2)_PR.PROG.WARM.NOTCOMBI.2012.2.16_v1.4(04.04.11) " xfId="50"/>
    <cellStyle name="_МОДЕЛЬ_1 (2)_PR.PROG.WARM.NOTCOMBI.2012.2.16_v1.4(04.04.11)  2" xfId="50"/>
    <cellStyle name="_МОДЕЛЬ_1 (2)_Книга2_PR.PROG.WARM.NOTCOMBI.2012.2.16_v1.4(04.04.11) " xfId="50"/>
    <cellStyle name="_МОДЕЛЬ_1 (2)_Книга2_PR.PROG.WARM.NOTCOMBI.2012.2.16_v1.4(04.04.11)  2" xfId="50"/>
    <cellStyle name="_пр 5 тариф RAB_PR.PROG.WARM.NOTCOMBI.2012.2.16_v1.4(04.04.11) " xfId="50"/>
    <cellStyle name="_пр 5 тариф RAB_PR.PROG.WARM.NOTCOMBI.2012.2.16_v1.4(04.04.11)  2" xfId="50"/>
    <cellStyle name="_пр 5 тариф RAB_Книга2_PR.PROG.WARM.NOTCOMBI.2012.2.16_v1.4(04.04.11) " xfId="50"/>
    <cellStyle name="_пр 5 тариф RAB_Книга2_PR.PROG.WARM.NOTCOMBI.2012.2.16_v1.4(04.04.11)  2" xfId="50"/>
    <cellStyle name="_Расчет RAB_22072008_PR.PROG.WARM.NOTCOMBI.2012.2.16_v1.4(04.04.11) " xfId="50"/>
    <cellStyle name="_Расчет RAB_22072008_PR.PROG.WARM.NOTCOMBI.2012.2.16_v1.4(04.04.11)  2" xfId="50"/>
    <cellStyle name="_Расчет RAB_22072008_Книга2_PR.PROG.WARM.NOTCOMBI.2012.2.16_v1.4(04.04.11) " xfId="50"/>
    <cellStyle name="_Расчет RAB_22072008_Книга2_PR.PROG.WARM.NOTCOMBI.2012.2.16_v1.4(04.04.11)  2"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PR.PROG.WARM.NOTCOMBI.2012.2.16_v1.4(04.04.11)  2" xfId="50"/>
    <cellStyle name="_Расчет RAB_Лен и МОЭСК_с 2010 года_14.04.2009_со сглаж_version 3.0_без ФСК_Книга2_PR.PROG.WARM.NOTCOMBI.2012.2.16_v1.4(04.04.11) " xfId="50"/>
    <cellStyle name="_Расчет RAB_Лен и МОЭСК_с 2010 года_14.04.2009_со сглаж_version 3.0_без ФСК_Книга2_PR.PROG.WARM.NOTCOMBI.2012.2.16_v1.4(04.04.11)  2" xfId="50"/>
    <cellStyle name="Cells 2" xfId="51"/>
    <cellStyle name="Cells 2 2" xfId="52"/>
    <cellStyle name="currency1" xfId="53"/>
    <cellStyle name="currency1 2" xfId="54"/>
    <cellStyle name="Currency2" xfId="55"/>
    <cellStyle name="Currency2 2" xfId="55"/>
    <cellStyle name="currency3" xfId="56"/>
    <cellStyle name="currency3 2" xfId="57"/>
    <cellStyle name="currency4" xfId="58"/>
    <cellStyle name="currency4 2" xfId="59"/>
    <cellStyle name="Followed Hyperlink" xfId="60"/>
    <cellStyle name="Followed Hyperlink 2" xfId="60"/>
    <cellStyle name="Header 3" xfId="61"/>
    <cellStyle name="Header 3 2" xfId="62"/>
    <cellStyle name="Hyperlink" xfId="63" builtinId="8"/>
    <cellStyle name="normal 2" xfId="41"/>
    <cellStyle name="Normal1" xfId="64"/>
    <cellStyle name="Normal1 2" xfId="64"/>
    <cellStyle name="Normal2" xfId="55"/>
    <cellStyle name="Normal2 2" xfId="55"/>
    <cellStyle name="Percent1" xfId="55"/>
    <cellStyle name="Percent1 2" xfId="55"/>
    <cellStyle name="Title 4" xfId="65"/>
    <cellStyle name="Title 4 2" xfId="66"/>
    <cellStyle name="Ввод  2" xfId="67"/>
    <cellStyle name="Ввод  2 2" xfId="68"/>
    <cellStyle name="Ввод  3" xfId="67"/>
    <cellStyle name="Ввод  3 2" xfId="68"/>
    <cellStyle name="Гиперссылка" xfId="69"/>
    <cellStyle name="Гиперссылка 2" xfId="70"/>
    <cellStyle name="Гиперссылка 2 2" xfId="71"/>
    <cellStyle name="Гиперссылка 2 2 2" xfId="71"/>
    <cellStyle name="Гиперссылка 2 3" xfId="72"/>
    <cellStyle name="Гиперссылка 2 3 2" xfId="72"/>
    <cellStyle name="Гиперссылка 2 4" xfId="70"/>
    <cellStyle name="Гиперссылка 3" xfId="69"/>
    <cellStyle name="Гиперссылка 4" xfId="73"/>
    <cellStyle name="Гиперссылка 4 2" xfId="69"/>
    <cellStyle name="Гиперссылка 4 2 2" xfId="69"/>
    <cellStyle name="Гиперссылка 4 3" xfId="73"/>
    <cellStyle name="Гиперссылка 5" xfId="69"/>
    <cellStyle name="Гиперссылка 5 2" xfId="69"/>
    <cellStyle name="Границы" xfId="74"/>
    <cellStyle name="Границы 2" xfId="75"/>
    <cellStyle name="Заголовок" xfId="76"/>
    <cellStyle name="Заголовок 2" xfId="76"/>
    <cellStyle name="ЗаголовокСтолбца" xfId="77"/>
    <cellStyle name="ЗаголовокСтолбца 2" xfId="77"/>
    <cellStyle name="Значение" xfId="78"/>
    <cellStyle name="Значение 2" xfId="79"/>
    <cellStyle name="Обычный 10" xfId="80"/>
    <cellStyle name="Обычный 10 2" xfId="80"/>
    <cellStyle name="Обычный 11" xfId="81"/>
    <cellStyle name="Обычный 11 2" xfId="81"/>
    <cellStyle name="Обычный 11 2 2" xfId="81"/>
    <cellStyle name="Обычный 11 2 2 2" xfId="81"/>
    <cellStyle name="Обычный 11 2 3" xfId="81"/>
    <cellStyle name="Обычный 11 3" xfId="81"/>
    <cellStyle name="Обычный 11 3 2" xfId="81"/>
    <cellStyle name="Обычный 11 4" xfId="81"/>
    <cellStyle name="Обычный 12" xfId="81"/>
    <cellStyle name="Обычный 12 2" xfId="82"/>
    <cellStyle name="Обычный 12 2 2" xfId="82"/>
    <cellStyle name="Обычный 12 3" xfId="81"/>
    <cellStyle name="Обычный 12 3 2" xfId="81"/>
    <cellStyle name="Обычный 12 3 2 2" xfId="81"/>
    <cellStyle name="Обычный 12 3 2 2 2" xfId="81"/>
    <cellStyle name="Обычный 12 3 2 3" xfId="81"/>
    <cellStyle name="Обычный 12 3 3" xfId="81"/>
    <cellStyle name="Обычный 12 3 3 2" xfId="81"/>
    <cellStyle name="Обычный 12 3 4" xfId="81"/>
    <cellStyle name="Обычный 12 4" xfId="81"/>
    <cellStyle name="Обычный 12 4 2" xfId="81"/>
    <cellStyle name="Обычный 12 4 2 2" xfId="81"/>
    <cellStyle name="Обычный 12 4 3" xfId="81"/>
    <cellStyle name="Обычный 12 5" xfId="81"/>
    <cellStyle name="Обычный 12 5 2" xfId="81"/>
    <cellStyle name="Обычный 12 5 2 2" xfId="81"/>
    <cellStyle name="Обычный 12 5 3" xfId="81"/>
    <cellStyle name="Обычный 12 6" xfId="81"/>
    <cellStyle name="Обычный 12 6 2" xfId="81"/>
    <cellStyle name="Обычный 12 6 2 2" xfId="81"/>
    <cellStyle name="Обычный 12 6 3" xfId="81"/>
    <cellStyle name="Обычный 12 7" xfId="81"/>
    <cellStyle name="Обычный 12 7 2" xfId="81"/>
    <cellStyle name="Обычный 12 8" xfId="81"/>
    <cellStyle name="Обычный 13" xfId="83"/>
    <cellStyle name="Обычный 13 2" xfId="83"/>
    <cellStyle name="Обычный 14" xfId="81"/>
    <cellStyle name="Обычный 14 2" xfId="81"/>
    <cellStyle name="Обычный 14 2 2" xfId="81"/>
    <cellStyle name="Обычный 14 2 2 2" xfId="81"/>
    <cellStyle name="Обычный 14 2 2 2 2" xfId="81"/>
    <cellStyle name="Обычный 14 2 2 3" xfId="81"/>
    <cellStyle name="Обычный 14 2 3" xfId="81"/>
    <cellStyle name="Обычный 14 2 3 2" xfId="81"/>
    <cellStyle name="Обычный 14 2 4" xfId="81"/>
    <cellStyle name="Обычный 14 3" xfId="81"/>
    <cellStyle name="Обычный 14 3 2" xfId="81"/>
    <cellStyle name="Обычный 14 3 2 2" xfId="81"/>
    <cellStyle name="Обычный 14 3 3" xfId="81"/>
    <cellStyle name="Обычный 14 4" xfId="81"/>
    <cellStyle name="Обычный 14 4 2" xfId="81"/>
    <cellStyle name="Обычный 14 4 2 2" xfId="81"/>
    <cellStyle name="Обычный 14 4 3" xfId="81"/>
    <cellStyle name="Обычный 14 5" xfId="81"/>
    <cellStyle name="Обычный 14 5 2" xfId="81"/>
    <cellStyle name="Обычный 14 5 2 2" xfId="81"/>
    <cellStyle name="Обычный 14 5 3" xfId="81"/>
    <cellStyle name="Обычный 14 6" xfId="81"/>
    <cellStyle name="Обычный 14 6 2" xfId="81"/>
    <cellStyle name="Обычный 14 6 2 2" xfId="81"/>
    <cellStyle name="Обычный 14 6 2 2 2" xfId="81"/>
    <cellStyle name="Обычный 14 6 2 2 2 2" xfId="81"/>
    <cellStyle name="Обычный 14 6 2 2 3" xfId="81"/>
    <cellStyle name="Обычный 14 6 2 3" xfId="81"/>
    <cellStyle name="Обычный 14 6 2 3 2" xfId="81"/>
    <cellStyle name="Обычный 14 6 2 4" xfId="81"/>
    <cellStyle name="Обычный 14 6 3" xfId="81"/>
    <cellStyle name="Обычный 14 6 3 2" xfId="81"/>
    <cellStyle name="Обычный 14 6 3 2 2" xfId="81"/>
    <cellStyle name="Обычный 14 6 3 3" xfId="81"/>
    <cellStyle name="Обычный 14 6 4" xfId="81"/>
    <cellStyle name="Обычный 14 6 4 2" xfId="81"/>
    <cellStyle name="Обычный 14 6 5" xfId="81"/>
    <cellStyle name="Обычный 14 7" xfId="81"/>
    <cellStyle name="Обычный 14 7 2" xfId="81"/>
    <cellStyle name="Обычный 14 8" xfId="84"/>
    <cellStyle name="Обычный 14 8 2" xfId="84"/>
    <cellStyle name="Обычный 14 9" xfId="81"/>
    <cellStyle name="Обычный 15" xfId="81"/>
    <cellStyle name="Обычный 15 2" xfId="81"/>
    <cellStyle name="Обычный 16" xfId="85"/>
    <cellStyle name="Обычный 16 2" xfId="83"/>
    <cellStyle name="Обычный 17" xfId="81"/>
    <cellStyle name="Обычный 17 2" xfId="81"/>
    <cellStyle name="Обычный 18" xfId="83"/>
    <cellStyle name="Обычный 2" xfId="84"/>
    <cellStyle name="Обычный 2 10 2" xfId="84"/>
    <cellStyle name="Обычный 2 10 2 2" xfId="84"/>
    <cellStyle name="Обычный 2 2" xfId="86"/>
    <cellStyle name="Обычный 2 2 2" xfId="87"/>
    <cellStyle name="Обычный 2 3" xfId="82"/>
    <cellStyle name="Обычный 2 3 2" xfId="82"/>
    <cellStyle name="Обычный 2 4" xfId="85"/>
    <cellStyle name="Обычный 2 4 2" xfId="83"/>
    <cellStyle name="Обычный 2 5" xfId="84"/>
    <cellStyle name="Обычный 3" xfId="80"/>
    <cellStyle name="Обычный 3 2" xfId="85"/>
    <cellStyle name="Обычный 3 2 2" xfId="88"/>
    <cellStyle name="Обычный 3 2 2 2" xfId="88"/>
    <cellStyle name="Обычный 3 2 3" xfId="83"/>
    <cellStyle name="Обычный 3 3" xfId="89"/>
    <cellStyle name="Обычный 3 3 2" xfId="89"/>
    <cellStyle name="Обычный 3 3 2 2" xfId="90"/>
    <cellStyle name="Обычный 3 3 3" xfId="90"/>
    <cellStyle name="Обычный 3 4" xfId="91"/>
    <cellStyle name="Обычный 3 4 2" xfId="80"/>
    <cellStyle name="Обычный 3 4 2 2" xfId="80"/>
    <cellStyle name="Обычный 3 4 3" xfId="91"/>
    <cellStyle name="Обычный 3 5" xfId="80"/>
    <cellStyle name="Обычный 4" xfId="88"/>
    <cellStyle name="Обычный 4 2" xfId="85"/>
    <cellStyle name="Обычный 4 2 2" xfId="83"/>
    <cellStyle name="Обычный 4 3" xfId="88"/>
    <cellStyle name="Обычный 5" xfId="85"/>
    <cellStyle name="Обычный 5 2" xfId="83"/>
    <cellStyle name="Обычный 6" xfId="81"/>
    <cellStyle name="Обычный 6 2" xfId="88"/>
    <cellStyle name="Обычный 6 2 2" xfId="88"/>
    <cellStyle name="Обычный 6 3" xfId="81"/>
    <cellStyle name="Обычный 6 3 2" xfId="81"/>
    <cellStyle name="Обычный 6 4" xfId="81"/>
    <cellStyle name="Обычный 7" xfId="88"/>
    <cellStyle name="Обычный 7 2" xfId="88"/>
    <cellStyle name="Обычный 8" xfId="88"/>
    <cellStyle name="Обычный 8 2" xfId="88"/>
    <cellStyle name="Обычный 9" xfId="88"/>
    <cellStyle name="Обычный 9 2" xfId="88"/>
    <cellStyle name="Обычный_BALANCE.WARM.2007YEAR(FACT)" xfId="84"/>
    <cellStyle name="Обычный_JKH.OPEN.INFO.HVS(v3.5)_цены161210" xfId="82"/>
    <cellStyle name="Обычный_JKH.OPEN.INFO.PRICE.VO_v4.0(10.02.11)" xfId="80"/>
    <cellStyle name="Обычный_MINENERGO.340.PRIL79(v0.1)" xfId="84"/>
    <cellStyle name="Обычный_razrabotka_sablonov_po_WKU" xfId="84"/>
    <cellStyle name="Обычный_RESP.INFO" xfId="82"/>
    <cellStyle name="Обычный_SIMPLE_1_massive2" xfId="92"/>
    <cellStyle name="Обычный_ЖКУ_проект3" xfId="84"/>
    <cellStyle name="Обычный_Мониторинг инвестиций" xfId="84"/>
    <cellStyle name="Обычный_форма 1 водопровод для орг" xfId="93"/>
    <cellStyle name="Обычный_Шаблон по источникам для Модуля Реестр (2)" xfId="82"/>
    <cellStyle name="Открывавшаяся гиперссылка" xfId="94"/>
    <cellStyle name="Открывавшаяся гиперссылка 2" xfId="94"/>
    <cellStyle name="ФормулаВБ_Мониторинг инвестиций" xfId="95"/>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28</xdr:row>
      <xdr:rowOff>0</xdr:rowOff>
    </xdr:from>
    <xdr:to>
      <xdr:col>4</xdr:col>
      <xdr:colOff>288036</xdr:colOff>
      <xdr:row>28</xdr:row>
      <xdr:rowOff>292227</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104775</xdr:colOff>
      <xdr:row>63</xdr:row>
      <xdr:rowOff>76200</xdr:rowOff>
    </xdr:from>
    <xdr:to>
      <xdr:col>4</xdr:col>
      <xdr:colOff>312325</xdr:colOff>
      <xdr:row>63</xdr:row>
      <xdr:rowOff>400240</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2.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D93918-96D8-EE2C-F75F-2742BCC147DF}"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5165" width="5.421875" customWidth="1"/>
    <col min="2" max="2" style="5165" width="9.140625" customWidth="1"/>
    <col min="3" max="3" style="5165" width="16.421875" customWidth="1"/>
    <col min="4" max="25" style="5165" width="6.28125" customWidth="1"/>
    <col min="26" max="28" style="5165" width="11.00390625"/>
  </cols>
  <sheetData>
    <row customHeight="1" ht="15.75">
      <c r="A1" s="1940"/>
      <c r="B1" s="1941"/>
      <c r="C1" s="1941"/>
      <c r="D1" s="1941"/>
      <c r="E1" s="1941"/>
      <c r="F1" s="1941"/>
      <c r="G1" s="1941"/>
      <c r="H1" s="1941"/>
      <c r="I1" s="1941"/>
      <c r="J1" s="1941"/>
      <c r="K1" s="1941"/>
      <c r="L1" s="1941"/>
      <c r="M1" s="1941"/>
      <c r="N1" s="1941"/>
      <c r="O1" s="1941"/>
      <c r="P1" s="1941"/>
      <c r="Q1" s="1941"/>
      <c r="R1" s="1941"/>
      <c r="S1" s="1941"/>
      <c r="T1" s="1941"/>
      <c r="U1" s="1941"/>
      <c r="V1" s="1941"/>
      <c r="W1" s="1941"/>
      <c r="X1" s="1941"/>
      <c r="Y1" s="1942"/>
      <c r="Z1" s="1941"/>
      <c r="AA1" s="1943" t="s">
        <v>0</v>
      </c>
      <c r="AB1" s="1941"/>
    </row>
    <row customHeight="1" ht="17.25">
      <c r="A2" s="1941"/>
      <c r="B2" s="2038" t="s">
        <v>1</v>
      </c>
      <c r="C2" s="2038"/>
      <c r="D2" s="2038"/>
      <c r="E2" s="2038"/>
      <c r="F2" s="2038"/>
      <c r="G2" s="2038"/>
      <c r="H2" s="2038"/>
      <c r="I2" s="2038"/>
      <c r="J2" s="2038"/>
      <c r="K2" s="2038"/>
      <c r="L2" s="2038"/>
      <c r="M2" s="2038"/>
      <c r="N2" s="2038"/>
      <c r="O2" s="2038"/>
      <c r="P2" s="2038"/>
      <c r="Q2" s="1945"/>
      <c r="R2" s="1945"/>
      <c r="S2" s="1945"/>
      <c r="T2" s="1945"/>
      <c r="U2" s="1945"/>
      <c r="V2" s="1946"/>
      <c r="W2" s="1945"/>
      <c r="X2" s="1945"/>
      <c r="Y2" s="1942"/>
      <c r="Z2" s="1941"/>
      <c r="AA2" s="1943"/>
      <c r="AB2" s="1941"/>
    </row>
    <row customHeight="1" ht="15.75">
      <c r="A3" s="1941"/>
      <c r="B3" s="2039" t="s">
        <v>2</v>
      </c>
      <c r="C3" s="2039"/>
      <c r="D3" s="2039"/>
      <c r="E3" s="2039"/>
      <c r="F3" s="2039"/>
      <c r="G3" s="2039"/>
      <c r="H3" s="2039"/>
      <c r="I3" s="2039"/>
      <c r="J3" s="2039"/>
      <c r="K3" s="2039"/>
      <c r="L3" s="2039"/>
      <c r="M3" s="2039"/>
      <c r="N3" s="2039"/>
      <c r="O3" s="2039"/>
      <c r="P3" s="2039"/>
      <c r="Q3" s="1946"/>
      <c r="R3" s="1946"/>
      <c r="S3" s="1945"/>
      <c r="T3" s="1945"/>
      <c r="U3" s="1945"/>
      <c r="V3" s="1946"/>
      <c r="W3" s="1946"/>
      <c r="X3" s="1946"/>
      <c r="Y3" s="1946"/>
      <c r="Z3" s="1941"/>
      <c r="AA3" s="1943"/>
      <c r="AB3" s="1941"/>
    </row>
    <row customHeight="1" ht="17.25">
      <c r="A4" s="1941"/>
      <c r="B4" s="1947"/>
      <c r="C4" s="1941"/>
      <c r="D4" s="1946"/>
      <c r="E4" s="1946"/>
      <c r="F4" s="1946"/>
      <c r="G4" s="1946"/>
      <c r="H4" s="1946"/>
      <c r="I4" s="1946"/>
      <c r="J4" s="1946"/>
      <c r="K4" s="1946"/>
      <c r="L4" s="1946"/>
      <c r="M4" s="1946"/>
      <c r="N4" s="1946"/>
      <c r="O4" s="1946"/>
      <c r="P4" s="1946"/>
      <c r="Q4" s="1946"/>
      <c r="R4" s="1946"/>
      <c r="S4" s="1946"/>
      <c r="T4" s="1946"/>
      <c r="U4" s="1946"/>
      <c r="V4" s="1946"/>
      <c r="W4" s="1946"/>
      <c r="X4" s="1946"/>
      <c r="Y4" s="1946"/>
      <c r="Z4" s="1941"/>
      <c r="AA4" s="1943"/>
      <c r="AB4" s="1941"/>
    </row>
    <row customHeight="1" ht="22.5">
      <c r="A5" s="1948"/>
      <c r="B5" s="2040"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C5" s="2041"/>
      <c r="D5" s="2041"/>
      <c r="E5" s="2041"/>
      <c r="F5" s="2041"/>
      <c r="G5" s="2041"/>
      <c r="H5" s="2041"/>
      <c r="I5" s="2041"/>
      <c r="J5" s="2041"/>
      <c r="K5" s="2041"/>
      <c r="L5" s="2041"/>
      <c r="M5" s="2041"/>
      <c r="N5" s="2041"/>
      <c r="O5" s="2041"/>
      <c r="P5" s="2041"/>
      <c r="Q5" s="2041"/>
      <c r="R5" s="2041"/>
      <c r="S5" s="2041"/>
      <c r="T5" s="2041"/>
      <c r="U5" s="2041"/>
      <c r="V5" s="2041"/>
      <c r="W5" s="2041"/>
      <c r="X5" s="2041"/>
      <c r="Y5" s="2042"/>
      <c r="Z5" s="1948"/>
      <c r="AA5" s="1943"/>
      <c r="AB5" s="1948"/>
    </row>
    <row customHeight="1" ht="15">
      <c r="A6" s="1949"/>
      <c r="B6" s="2043" t="s">
        <v>3</v>
      </c>
      <c r="C6" s="2044"/>
      <c r="D6" s="1950"/>
      <c r="E6" s="1950"/>
      <c r="F6" s="1950"/>
      <c r="G6" s="1950"/>
      <c r="H6" s="1950"/>
      <c r="I6" s="1950"/>
      <c r="J6" s="1950"/>
      <c r="K6" s="1950"/>
      <c r="L6" s="1950"/>
      <c r="M6" s="1950"/>
      <c r="N6" s="1950"/>
      <c r="O6" s="1950"/>
      <c r="P6" s="1950"/>
      <c r="Q6" s="1950"/>
      <c r="R6" s="1950"/>
      <c r="S6" s="1950"/>
      <c r="T6" s="1950"/>
      <c r="U6" s="1950"/>
      <c r="V6" s="1950"/>
      <c r="W6" s="1950"/>
      <c r="X6" s="1950"/>
      <c r="Y6" s="1951"/>
      <c r="Z6" s="1952"/>
      <c r="AA6" s="1953"/>
      <c r="AB6" s="1953"/>
    </row>
    <row customHeight="1" ht="15">
      <c r="A7" s="1949"/>
      <c r="B7" s="2043"/>
      <c r="C7" s="2044"/>
      <c r="D7" s="1950"/>
      <c r="E7" s="1950"/>
      <c r="F7" s="1954"/>
      <c r="G7" s="1954"/>
      <c r="H7" s="1954"/>
      <c r="I7" s="1954"/>
      <c r="J7" s="1954"/>
      <c r="K7" s="1954"/>
      <c r="L7" s="1954"/>
      <c r="M7" s="1954"/>
      <c r="N7" s="1954"/>
      <c r="O7" s="1950"/>
      <c r="P7" s="1954"/>
      <c r="Q7" s="1954"/>
      <c r="R7" s="1954"/>
      <c r="S7" s="1954"/>
      <c r="T7" s="1954"/>
      <c r="U7" s="1954"/>
      <c r="V7" s="1954"/>
      <c r="W7" s="1954"/>
      <c r="X7" s="1954"/>
      <c r="Y7" s="1951"/>
      <c r="Z7" s="1952"/>
      <c r="AA7" s="1953"/>
      <c r="AB7" s="1953"/>
    </row>
    <row customHeight="1" ht="15">
      <c r="A8" s="1949"/>
      <c r="B8" s="2043"/>
      <c r="C8" s="2044"/>
      <c r="D8" s="1955"/>
      <c r="E8" s="1956" t="s">
        <v>4</v>
      </c>
      <c r="F8" s="2046" t="s">
        <v>5</v>
      </c>
      <c r="G8" s="2047"/>
      <c r="H8" s="2047"/>
      <c r="I8" s="2047"/>
      <c r="J8" s="2047"/>
      <c r="K8" s="2047"/>
      <c r="L8" s="2047"/>
      <c r="M8" s="2047"/>
      <c r="N8" s="1955"/>
      <c r="O8" s="1957" t="s">
        <v>4</v>
      </c>
      <c r="P8" s="2048" t="s">
        <v>6</v>
      </c>
      <c r="Q8" s="2049"/>
      <c r="R8" s="2049"/>
      <c r="S8" s="2049"/>
      <c r="T8" s="2049"/>
      <c r="U8" s="2049"/>
      <c r="V8" s="2049"/>
      <c r="W8" s="2049"/>
      <c r="X8" s="2049"/>
      <c r="Y8" s="1951"/>
      <c r="Z8" s="1952"/>
      <c r="AA8" s="1953"/>
      <c r="AB8" s="1953"/>
    </row>
    <row customHeight="1" ht="15">
      <c r="A9" s="1949"/>
      <c r="B9" s="2043"/>
      <c r="C9" s="2044"/>
      <c r="D9" s="1955"/>
      <c r="E9" s="1958" t="s">
        <v>4</v>
      </c>
      <c r="F9" s="2046" t="s">
        <v>7</v>
      </c>
      <c r="G9" s="2047"/>
      <c r="H9" s="2047"/>
      <c r="I9" s="2047"/>
      <c r="J9" s="2047"/>
      <c r="K9" s="2047"/>
      <c r="L9" s="2047"/>
      <c r="M9" s="2047"/>
      <c r="N9" s="1955"/>
      <c r="O9" s="1959" t="s">
        <v>4</v>
      </c>
      <c r="P9" s="2048" t="s">
        <v>8</v>
      </c>
      <c r="Q9" s="2049"/>
      <c r="R9" s="2049"/>
      <c r="S9" s="2049"/>
      <c r="T9" s="2049"/>
      <c r="U9" s="2049"/>
      <c r="V9" s="2049"/>
      <c r="W9" s="2049"/>
      <c r="X9" s="2049"/>
      <c r="Y9" s="1951"/>
      <c r="Z9" s="1952"/>
      <c r="AA9" s="1953"/>
      <c r="AB9" s="1953"/>
    </row>
    <row customHeight="1" ht="30">
      <c r="A10" s="1949"/>
      <c r="B10" s="2043"/>
      <c r="C10" s="2045"/>
      <c r="D10" s="1960"/>
      <c r="E10" s="1961"/>
      <c r="F10" s="1954"/>
      <c r="G10" s="1954"/>
      <c r="H10" s="1954"/>
      <c r="I10" s="1954"/>
      <c r="J10" s="1954"/>
      <c r="K10" s="1954"/>
      <c r="L10" s="1954"/>
      <c r="M10" s="1954"/>
      <c r="N10" s="1954"/>
      <c r="O10" s="1961"/>
      <c r="P10" s="1954"/>
      <c r="Q10" s="1954"/>
      <c r="R10" s="1954"/>
      <c r="S10" s="1954"/>
      <c r="T10" s="1954"/>
      <c r="U10" s="1954"/>
      <c r="V10" s="1954"/>
      <c r="W10" s="1954"/>
      <c r="X10" s="1954"/>
      <c r="Y10" s="1951"/>
      <c r="Z10" s="1952"/>
      <c r="AA10" s="1953"/>
      <c r="AB10" s="1953"/>
    </row>
    <row customHeight="1" ht="19.5">
      <c r="A11" s="1949"/>
      <c r="B11" s="2050" t="s">
        <v>9</v>
      </c>
      <c r="C11" s="2051"/>
      <c r="D11" s="1955"/>
      <c r="E11" s="1962"/>
      <c r="F11" s="1962"/>
      <c r="G11" s="1962"/>
      <c r="H11" s="1962"/>
      <c r="I11" s="1962"/>
      <c r="J11" s="1962"/>
      <c r="K11" s="1962"/>
      <c r="L11" s="1962"/>
      <c r="M11" s="1962"/>
      <c r="N11" s="1962"/>
      <c r="O11" s="1962"/>
      <c r="P11" s="1962"/>
      <c r="Q11" s="1962"/>
      <c r="R11" s="1962"/>
      <c r="S11" s="1962"/>
      <c r="T11" s="1962"/>
      <c r="U11" s="1962"/>
      <c r="V11" s="1962"/>
      <c r="W11" s="1962"/>
      <c r="X11" s="1962"/>
      <c r="Y11" s="1951"/>
      <c r="Z11" s="1952"/>
      <c r="AA11" s="1953"/>
      <c r="AB11" s="1953"/>
    </row>
    <row customHeight="1" ht="69">
      <c r="A12" s="1949"/>
      <c r="B12" s="2043"/>
      <c r="C12" s="2045"/>
      <c r="D12" s="1963"/>
      <c r="E12" s="2047" t="s">
        <v>10</v>
      </c>
      <c r="F12" s="2047"/>
      <c r="G12" s="2047"/>
      <c r="H12" s="2047"/>
      <c r="I12" s="2047"/>
      <c r="J12" s="2047"/>
      <c r="K12" s="2047"/>
      <c r="L12" s="2047"/>
      <c r="M12" s="2047"/>
      <c r="N12" s="2047"/>
      <c r="O12" s="2047"/>
      <c r="P12" s="2047"/>
      <c r="Q12" s="2047"/>
      <c r="R12" s="2047"/>
      <c r="S12" s="2047"/>
      <c r="T12" s="2047"/>
      <c r="U12" s="2047"/>
      <c r="V12" s="2047"/>
      <c r="W12" s="2047"/>
      <c r="X12" s="2047"/>
      <c r="Y12" s="1951"/>
      <c r="Z12" s="1952"/>
      <c r="AA12" s="1953"/>
      <c r="AB12" s="1953"/>
    </row>
    <row customHeight="1" ht="15">
      <c r="A13" s="1949"/>
      <c r="B13" s="2050" t="s">
        <v>11</v>
      </c>
      <c r="C13" s="2051"/>
      <c r="D13" s="1950"/>
      <c r="E13" s="1962"/>
      <c r="F13" s="1962"/>
      <c r="G13" s="1962"/>
      <c r="H13" s="1962"/>
      <c r="I13" s="1962"/>
      <c r="J13" s="1962"/>
      <c r="K13" s="1962"/>
      <c r="L13" s="1962"/>
      <c r="M13" s="1962"/>
      <c r="N13" s="1962"/>
      <c r="O13" s="1962"/>
      <c r="P13" s="1962"/>
      <c r="Q13" s="1962"/>
      <c r="R13" s="1962"/>
      <c r="S13" s="1962"/>
      <c r="T13" s="1962"/>
      <c r="U13" s="1962"/>
      <c r="V13" s="1962"/>
      <c r="W13" s="1962"/>
      <c r="X13" s="1962"/>
      <c r="Y13" s="1951"/>
      <c r="Z13" s="1952"/>
      <c r="AA13" s="1953"/>
      <c r="AB13" s="1953"/>
    </row>
    <row customHeight="1" ht="57">
      <c r="A14" s="1949"/>
      <c r="B14" s="2043"/>
      <c r="C14" s="2044"/>
      <c r="D14" s="1955"/>
      <c r="E14" s="2054" t="s">
        <v>12</v>
      </c>
      <c r="F14" s="2054"/>
      <c r="G14" s="2054"/>
      <c r="H14" s="2054"/>
      <c r="I14" s="2054"/>
      <c r="J14" s="2054"/>
      <c r="K14" s="2054"/>
      <c r="L14" s="2054"/>
      <c r="M14" s="2054"/>
      <c r="N14" s="2054"/>
      <c r="O14" s="2054"/>
      <c r="P14" s="2054"/>
      <c r="Q14" s="2054"/>
      <c r="R14" s="2054"/>
      <c r="S14" s="2054"/>
      <c r="T14" s="2054"/>
      <c r="U14" s="2054"/>
      <c r="V14" s="2054"/>
      <c r="W14" s="2054"/>
      <c r="X14" s="2054"/>
      <c r="Y14" s="1951"/>
      <c r="Z14" s="1952"/>
      <c r="AA14" s="1953"/>
      <c r="AB14" s="1953"/>
    </row>
    <row customHeight="1" ht="16.5">
      <c r="A15" s="1949"/>
      <c r="B15" s="2052"/>
      <c r="C15" s="2053"/>
      <c r="D15" s="1964"/>
      <c r="E15" s="1965"/>
      <c r="F15" s="1965"/>
      <c r="G15" s="1965"/>
      <c r="H15" s="1965"/>
      <c r="I15" s="1965"/>
      <c r="J15" s="1965"/>
      <c r="K15" s="1965"/>
      <c r="L15" s="1965"/>
      <c r="M15" s="1965"/>
      <c r="N15" s="1965"/>
      <c r="O15" s="1965"/>
      <c r="P15" s="1965"/>
      <c r="Q15" s="1965"/>
      <c r="R15" s="1965"/>
      <c r="S15" s="1965"/>
      <c r="T15" s="1965"/>
      <c r="U15" s="1965"/>
      <c r="V15" s="1965"/>
      <c r="W15" s="1965"/>
      <c r="X15" s="1965"/>
      <c r="Y15" s="1966"/>
      <c r="Z15" s="1952"/>
      <c r="AA15" s="1967"/>
      <c r="AB15" s="1953"/>
    </row>
    <row customHeight="1" ht="95.25">
      <c r="A16" s="1941"/>
      <c r="B16" s="2055"/>
      <c r="C16" s="2056"/>
      <c r="D16" s="2056"/>
      <c r="E16" s="2056"/>
      <c r="F16" s="2056"/>
      <c r="G16" s="2056"/>
      <c r="H16" s="2056"/>
      <c r="I16" s="2056"/>
      <c r="J16" s="2056"/>
      <c r="K16" s="2056"/>
      <c r="L16" s="2056"/>
      <c r="M16" s="2056"/>
      <c r="N16" s="2056"/>
      <c r="O16" s="2056"/>
      <c r="P16" s="2056"/>
      <c r="Q16" s="2056"/>
      <c r="R16" s="2056"/>
      <c r="S16" s="2056"/>
      <c r="T16" s="2056"/>
      <c r="U16" s="2056"/>
      <c r="V16" s="2056"/>
      <c r="W16" s="2056"/>
      <c r="X16" s="2056"/>
      <c r="Y16" s="2056"/>
      <c r="Z16" s="1941"/>
      <c r="AA16" s="1943"/>
      <c r="AB16" s="1941"/>
    </row>
    <row customHeight="1" ht="14.25">
      <c r="A17" s="1941"/>
      <c r="B17" s="1941"/>
      <c r="C17" s="1941"/>
      <c r="D17" s="1941"/>
      <c r="E17" s="1941"/>
      <c r="F17" s="1941"/>
      <c r="G17" s="1941"/>
      <c r="H17" s="1941"/>
      <c r="I17" s="1941"/>
      <c r="J17" s="1941"/>
      <c r="K17" s="1941"/>
      <c r="L17" s="1941"/>
      <c r="M17" s="1941"/>
      <c r="N17" s="1941"/>
      <c r="O17" s="1941"/>
      <c r="P17" s="1941"/>
      <c r="Q17" s="1941"/>
      <c r="R17" s="1941"/>
      <c r="S17" s="1941"/>
      <c r="T17" s="1941"/>
      <c r="U17" s="1941"/>
      <c r="V17" s="1941"/>
      <c r="W17" s="1941"/>
      <c r="X17" s="1941"/>
      <c r="Y17" s="1942"/>
      <c r="Z17" s="1941"/>
      <c r="AA17" s="1943"/>
      <c r="AB17" s="1941"/>
    </row>
    <row customHeight="1" ht="14.25">
      <c r="A18" s="1941"/>
      <c r="B18" s="1941"/>
      <c r="C18" s="1941"/>
      <c r="D18" s="1941"/>
      <c r="E18" s="1941"/>
      <c r="F18" s="1941"/>
      <c r="G18" s="1941"/>
      <c r="H18" s="1941"/>
      <c r="I18" s="1941"/>
      <c r="J18" s="1941"/>
      <c r="K18" s="1941"/>
      <c r="L18" s="1941"/>
      <c r="M18" s="1941"/>
      <c r="N18" s="1941"/>
      <c r="O18" s="1941"/>
      <c r="P18" s="1941"/>
      <c r="Q18" s="1941"/>
      <c r="R18" s="1941"/>
      <c r="S18" s="1941"/>
      <c r="T18" s="1941"/>
      <c r="U18" s="1941"/>
      <c r="V18" s="1941"/>
      <c r="W18" s="1941"/>
      <c r="X18" s="1941"/>
      <c r="Y18" s="1942"/>
      <c r="Z18" s="1941"/>
      <c r="AA18" s="1943"/>
      <c r="AB18" s="1941"/>
    </row>
    <row customHeight="1" ht="14.25">
      <c r="A19" s="1941"/>
      <c r="B19" s="1941"/>
      <c r="C19" s="1941"/>
      <c r="D19" s="1941"/>
      <c r="E19" s="1941"/>
      <c r="F19" s="1941"/>
      <c r="G19" s="1941"/>
      <c r="H19" s="1941"/>
      <c r="I19" s="1941"/>
      <c r="J19" s="1941"/>
      <c r="K19" s="1941"/>
      <c r="L19" s="1941"/>
      <c r="M19" s="1941"/>
      <c r="N19" s="1941"/>
      <c r="O19" s="1941"/>
      <c r="P19" s="1941"/>
      <c r="Q19" s="1941"/>
      <c r="R19" s="1941"/>
      <c r="S19" s="1941"/>
      <c r="T19" s="1941"/>
      <c r="U19" s="1941"/>
      <c r="V19" s="1941"/>
      <c r="W19" s="1941"/>
      <c r="X19" s="1941"/>
      <c r="Y19" s="1942"/>
      <c r="Z19" s="1941"/>
      <c r="AA19" s="1943"/>
      <c r="AB19" s="1941"/>
    </row>
    <row customHeight="1" ht="14.25">
      <c r="A20" s="1941"/>
      <c r="B20" s="1941"/>
      <c r="C20" s="1941"/>
      <c r="D20" s="1941"/>
      <c r="E20" s="1941"/>
      <c r="F20" s="1941"/>
      <c r="G20" s="1941"/>
      <c r="H20" s="1941"/>
      <c r="I20" s="1941"/>
      <c r="J20" s="1941"/>
      <c r="K20" s="1941"/>
      <c r="L20" s="1941"/>
      <c r="M20" s="1941"/>
      <c r="N20" s="1941"/>
      <c r="O20" s="1941"/>
      <c r="P20" s="1941"/>
      <c r="Q20" s="1941"/>
      <c r="R20" s="1941"/>
      <c r="S20" s="1941"/>
      <c r="T20" s="1941"/>
      <c r="U20" s="1941"/>
      <c r="V20" s="1941"/>
      <c r="W20" s="1941"/>
      <c r="X20" s="1941"/>
      <c r="Y20" s="1942"/>
      <c r="Z20" s="1941"/>
      <c r="AA20" s="1943"/>
      <c r="AB20" s="1941"/>
    </row>
    <row customHeight="1" ht="14.25">
      <c r="A21" s="1941"/>
      <c r="B21" s="1941"/>
      <c r="C21" s="1941"/>
      <c r="D21" s="1941"/>
      <c r="E21" s="1941"/>
      <c r="F21" s="1941"/>
      <c r="G21" s="1941"/>
      <c r="H21" s="1941"/>
      <c r="I21" s="1941"/>
      <c r="J21" s="1941"/>
      <c r="K21" s="1941"/>
      <c r="L21" s="1941"/>
      <c r="M21" s="1941"/>
      <c r="N21" s="1941"/>
      <c r="O21" s="1941"/>
      <c r="P21" s="1941"/>
      <c r="Q21" s="1941"/>
      <c r="R21" s="1941"/>
      <c r="S21" s="1941"/>
      <c r="T21" s="1941"/>
      <c r="U21" s="1941"/>
      <c r="V21" s="1941"/>
      <c r="W21" s="1941"/>
      <c r="X21" s="1941"/>
      <c r="Y21" s="1942"/>
      <c r="Z21" s="1941"/>
      <c r="AA21" s="1943"/>
      <c r="AB21" s="1941"/>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68899337-7321-128F-EF03-E80DCF9BBE55}" mc:Ignorable="x14ac xr xr2 xr3">
  <sheetPr>
    <tabColor rgb="FFCCCCFF"/>
  </sheetPr>
  <dimension ref="A1:Q82"/>
  <sheetViews>
    <sheetView topLeftCell="C1" showGridLines="0" zoomScale="90" workbookViewId="0">
      <selection activeCell="L64" sqref="L64"/>
    </sheetView>
  </sheetViews>
  <sheetFormatPr defaultColWidth="9.140625" customHeight="1" defaultRowHeight="11.25"/>
  <cols>
    <col min="1" max="1" style="5274" width="10.7109375" hidden="1" customWidth="1"/>
    <col min="2" max="2" style="5275" width="10.7109375" hidden="1" customWidth="1"/>
    <col min="3" max="3" style="5276" width="3.7109375" customWidth="1"/>
    <col min="4" max="4" style="5277" width="1.7109375" customWidth="1"/>
    <col min="5" max="5" style="5277" width="55.28125" customWidth="1"/>
    <col min="6" max="6" style="5277" width="50.7109375" customWidth="1"/>
    <col min="7" max="7" style="5278" width="1.7109375" customWidth="1"/>
    <col min="8" max="8" style="5213" width="18.00390625" hidden="1" customWidth="1"/>
    <col min="9" max="9" style="5279" width="9.57421875" customWidth="1"/>
    <col min="10" max="10" style="5280" width="52.140625" hidden="1" customWidth="1"/>
    <col min="11" max="11" style="5277" width="9.140625"/>
    <col min="12" max="12" style="5277" width="78.00390625" customWidth="1"/>
    <col min="13" max="16" style="5277" width="9.140625"/>
  </cols>
  <sheetData>
    <row s="5166" customFormat="1" customHeight="1" ht="3">
      <c r="A1" s="950"/>
      <c r="B1" s="376"/>
      <c r="F1" s="377">
        <v>26354809</v>
      </c>
      <c r="G1" s="574"/>
      <c r="H1" s="199"/>
      <c r="I1" s="574"/>
      <c r="J1" s="1045"/>
    </row>
    <row s="5173" customFormat="1" customHeight="1" ht="14.25">
      <c r="A2" s="950"/>
      <c r="B2" s="229"/>
      <c r="E2" s="1985" t="str">
        <f>code</f>
        <v>Код отчёта: PP108.OPEN.INFO.QUARTER.VOTV.EIAS</v>
      </c>
      <c r="F2" s="404"/>
      <c r="G2" s="2712"/>
      <c r="H2" s="2712"/>
      <c r="I2" s="2712"/>
      <c r="J2" s="2713"/>
      <c r="K2" s="2712"/>
    </row>
    <row customHeight="1" ht="14.25">
      <c r="E3" s="381" t="str">
        <f>version</f>
        <v>Версия отчёта: 1.0.0</v>
      </c>
      <c r="F3" s="404"/>
      <c r="G3" s="936"/>
      <c r="H3" s="936"/>
      <c r="I3" s="936"/>
      <c r="J3" s="1047"/>
      <c r="K3" s="217"/>
    </row>
    <row s="5183" customFormat="1" customHeight="1" ht="6">
      <c r="A4" s="951"/>
      <c r="B4" s="367"/>
      <c r="C4" s="368"/>
      <c r="D4" s="369"/>
      <c r="E4" s="378"/>
      <c r="F4" s="379"/>
      <c r="G4" s="937"/>
      <c r="H4" s="572"/>
      <c r="I4" s="574"/>
      <c r="J4" s="1048"/>
    </row>
    <row customHeight="1" ht="37.5">
      <c r="D5" s="203"/>
      <c r="E5" s="2057" t="str">
        <f>NameTemplatesInTitle</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F5" s="2058"/>
      <c r="G5" s="938"/>
      <c r="J5" s="1049"/>
    </row>
    <row s="5183" customFormat="1" customHeight="1" ht="6">
      <c r="A6" s="951"/>
      <c r="B6" s="367"/>
      <c r="C6" s="368"/>
      <c r="D6" s="369"/>
      <c r="E6" s="372"/>
      <c r="F6" s="373"/>
      <c r="G6" s="938"/>
      <c r="H6" s="572"/>
      <c r="I6" s="574"/>
      <c r="J6" s="1048"/>
    </row>
    <row customHeight="1" ht="19.5">
      <c r="D7" s="203"/>
      <c r="E7" s="550" t="s">
        <v>13</v>
      </c>
      <c r="F7" s="350" t="s">
        <v>14</v>
      </c>
      <c r="G7" s="938"/>
    </row>
    <row s="5183" customFormat="1" customHeight="1" ht="6">
      <c r="A8" s="952"/>
      <c r="B8" s="367"/>
      <c r="C8" s="368"/>
      <c r="D8" s="374"/>
      <c r="E8" s="372"/>
      <c r="F8" s="375"/>
      <c r="G8" s="205"/>
      <c r="H8" s="572"/>
      <c r="I8" s="574"/>
      <c r="J8" s="1051"/>
    </row>
    <row customHeight="1" ht="22.5" hidden="1">
      <c r="A9" s="2060" t="s">
        <v>15</v>
      </c>
      <c r="D9" s="203"/>
      <c r="E9" s="2654" t="s">
        <v>16</v>
      </c>
      <c r="F9" s="2652" t="s">
        <v>17</v>
      </c>
      <c r="G9" s="205"/>
      <c r="H9" s="939" t="s">
        <v>18</v>
      </c>
      <c r="J9" s="1050" t="s">
        <v>19</v>
      </c>
    </row>
    <row customHeight="1" ht="22.5" hidden="1">
      <c r="A10" s="2060"/>
      <c r="D10" s="203"/>
      <c r="E10" s="2654" t="s">
        <v>20</v>
      </c>
      <c r="F10" s="2652"/>
      <c r="G10" s="201"/>
      <c r="J10" s="1050" t="s">
        <v>21</v>
      </c>
    </row>
    <row s="5213" customFormat="1" customHeight="1" ht="22.5" hidden="1">
      <c r="A11" s="955" t="s">
        <v>22</v>
      </c>
      <c r="B11" s="229"/>
      <c r="C11" s="571"/>
      <c r="D11" s="573"/>
      <c r="E11" s="2654" t="s">
        <v>23</v>
      </c>
      <c r="F11" s="2652" t="s">
        <v>17</v>
      </c>
      <c r="G11" s="205"/>
      <c r="H11" s="936"/>
      <c r="I11" s="574"/>
      <c r="J11" s="1050" t="s">
        <v>24</v>
      </c>
    </row>
    <row s="5213" customFormat="1" customHeight="1" ht="27">
      <c r="A12" s="955" t="s">
        <v>25</v>
      </c>
      <c r="B12" s="229"/>
      <c r="C12" s="571"/>
      <c r="D12" s="573"/>
      <c r="E12" s="2654" t="s">
        <v>26</v>
      </c>
      <c r="F12" s="5217">
        <v>2023</v>
      </c>
      <c r="G12" s="205"/>
      <c r="H12" s="936"/>
      <c r="I12" s="574"/>
      <c r="J12" s="1050" t="s">
        <v>27</v>
      </c>
    </row>
    <row s="5213" customFormat="1" customHeight="1" ht="19.5">
      <c r="A13" s="955" t="s">
        <v>28</v>
      </c>
      <c r="B13" s="229"/>
      <c r="C13" s="571"/>
      <c r="D13" s="573"/>
      <c r="E13" s="2654" t="s">
        <v>29</v>
      </c>
      <c r="F13" s="5217" t="s">
        <v>30</v>
      </c>
      <c r="G13" s="205"/>
      <c r="H13" s="936"/>
      <c r="I13" s="574"/>
      <c r="J13" s="1050" t="s">
        <v>31</v>
      </c>
    </row>
    <row s="5183" customFormat="1" customHeight="1" ht="6">
      <c r="A14" s="952"/>
      <c r="B14" s="367"/>
      <c r="C14" s="368"/>
      <c r="D14" s="374"/>
      <c r="E14" s="372"/>
      <c r="F14" s="375"/>
      <c r="G14" s="205"/>
      <c r="H14" s="572"/>
      <c r="I14" s="574"/>
      <c r="J14" s="1048"/>
    </row>
    <row customHeight="1" ht="19.5">
      <c r="D15" s="203"/>
      <c r="E15" s="550" t="s">
        <v>32</v>
      </c>
      <c r="F15" s="351" t="s">
        <v>33</v>
      </c>
      <c r="G15" s="201"/>
      <c r="H15" s="939" t="s">
        <v>18</v>
      </c>
    </row>
    <row customHeight="1" ht="22.5" hidden="1">
      <c r="D16" s="203"/>
      <c r="E16" s="550" t="s">
        <v>34</v>
      </c>
      <c r="F16" s="1975" t="s">
        <v>35</v>
      </c>
      <c r="G16" s="201"/>
      <c r="I16" s="940"/>
      <c r="J16" s="2059" t="s">
        <v>36</v>
      </c>
    </row>
    <row customHeight="1" ht="22.5" hidden="1">
      <c r="D17" s="203"/>
      <c r="E17" s="550" t="s">
        <v>37</v>
      </c>
      <c r="F17" s="1975"/>
      <c r="G17" s="201"/>
      <c r="I17" s="940"/>
      <c r="J17" s="2059"/>
    </row>
    <row customHeight="1" ht="22.5" hidden="1">
      <c r="D18" s="203"/>
      <c r="E18" s="204"/>
      <c r="F18" s="405" t="str">
        <f>"Первичное "&amp;IF(TEMPLATE_GROUP="P","установление тарифов","предложение по тарифам")</f>
        <v>Первичное предложение по тарифам</v>
      </c>
      <c r="G18" s="201"/>
      <c r="I18" s="553"/>
      <c r="J18" s="1049" t="s">
        <v>38</v>
      </c>
    </row>
    <row customHeight="1" ht="19.5" hidden="1">
      <c r="D19" s="203"/>
      <c r="E19" s="550" t="str">
        <f>"Дата "&amp;IF(TEMPLATE_GROUP="P","документа","подачи заявления")&amp;" об "&amp;IF(TITLE_DATE_PR_CHANGE="","утверждении","изменении")&amp;" тарифов"</f>
        <v>Дата подачи заявления об утверждении тарифов</v>
      </c>
      <c r="F19" s="1974" t="s">
        <v>17</v>
      </c>
      <c r="G19" s="201"/>
      <c r="I19" s="941"/>
    </row>
    <row customHeight="1" ht="19.5" hidden="1">
      <c r="D20" s="203"/>
      <c r="E20" s="550" t="str">
        <f>"Номер "&amp;IF(TEMPLATE_GROUP="P","документа","подачи заявления")&amp;" об "&amp;IF(TITLE_NUMBER_PR_CHANGE="","утверждении","изменении")&amp;" тарифов"</f>
        <v>Номер подачи заявления об утверждении тарифов</v>
      </c>
      <c r="F20" s="351"/>
      <c r="G20" s="201"/>
      <c r="I20" s="941"/>
    </row>
    <row customHeight="1" ht="22.5" hidden="1">
      <c r="D21" s="203"/>
      <c r="E21" s="550" t="s">
        <v>39</v>
      </c>
      <c r="F21" s="351"/>
      <c r="G21" s="201"/>
    </row>
    <row customHeight="1" ht="19.5" hidden="1">
      <c r="D22" s="203"/>
      <c r="E22" s="550" t="s">
        <v>40</v>
      </c>
      <c r="F22" s="351"/>
      <c r="G22" s="201"/>
    </row>
    <row customHeight="1" ht="22.5" hidden="1">
      <c r="D23" s="203"/>
      <c r="E23" s="204"/>
      <c r="F23" s="405" t="str">
        <f>"Изменение "&amp;IF(TEMPLATE_GROUP="P","тарифов","предложения по тарифам")</f>
        <v>Изменение предложения по тарифам</v>
      </c>
      <c r="G23" s="201"/>
      <c r="J23" s="1049" t="s">
        <v>41</v>
      </c>
    </row>
    <row customHeight="1" ht="22.5" hidden="1">
      <c r="D24" s="203"/>
      <c r="E24" s="550" t="s">
        <v>42</v>
      </c>
      <c r="F24" s="353"/>
      <c r="G24" s="201"/>
    </row>
    <row customHeight="1" ht="19.5" hidden="1">
      <c r="D25" s="203"/>
      <c r="E25" s="550" t="s">
        <v>43</v>
      </c>
      <c r="F25" s="1975"/>
      <c r="G25" s="201"/>
    </row>
    <row customHeight="1" ht="19.5" hidden="1">
      <c r="D26" s="203"/>
      <c r="E26" s="550" t="s">
        <v>44</v>
      </c>
      <c r="F26" s="353"/>
      <c r="G26" s="201"/>
    </row>
    <row customHeight="1" ht="19.5" hidden="1">
      <c r="D27" s="203"/>
      <c r="E27" s="550" t="s">
        <v>40</v>
      </c>
      <c r="F27" s="353"/>
      <c r="G27" s="201"/>
    </row>
    <row s="5183" customFormat="1" customHeight="1" ht="6">
      <c r="A28" s="952"/>
      <c r="B28" s="367"/>
      <c r="C28" s="368"/>
      <c r="D28" s="374"/>
      <c r="E28" s="372"/>
      <c r="F28" s="375"/>
      <c r="G28" s="205"/>
      <c r="H28" s="572"/>
      <c r="I28" s="574"/>
      <c r="J28" s="1048"/>
    </row>
    <row customHeight="1" ht="39.166666666666664">
      <c r="C29" s="206"/>
      <c r="D29" s="207"/>
      <c r="E29" s="550" t="s">
        <v>45</v>
      </c>
      <c r="F29" s="352" t="s">
        <v>46</v>
      </c>
      <c r="G29" s="942"/>
    </row>
    <row customHeight="1" ht="19.5" hidden="1">
      <c r="C30" s="206"/>
      <c r="D30" s="207"/>
      <c r="E30" s="551" t="s">
        <v>47</v>
      </c>
      <c r="F30" s="2655"/>
      <c r="G30" s="942"/>
    </row>
    <row customHeight="1" ht="19.5">
      <c r="C31" s="206"/>
      <c r="D31" s="207"/>
      <c r="E31" s="550" t="s">
        <v>48</v>
      </c>
      <c r="F31" s="352" t="s">
        <v>49</v>
      </c>
      <c r="G31" s="942"/>
    </row>
    <row customHeight="1" ht="19.5">
      <c r="C32" s="206"/>
      <c r="D32" s="207"/>
      <c r="E32" s="550" t="s">
        <v>50</v>
      </c>
      <c r="F32" s="352" t="s">
        <v>51</v>
      </c>
      <c r="G32" s="942"/>
      <c r="H32" s="208"/>
    </row>
    <row s="5183" customFormat="1" customHeight="1" ht="11.25">
      <c r="A33" s="952"/>
      <c r="B33" s="367"/>
      <c r="C33" s="368"/>
      <c r="D33" s="374"/>
      <c r="E33" s="372"/>
      <c r="F33" s="375"/>
      <c r="G33" s="205"/>
      <c r="H33" s="572"/>
      <c r="I33" s="574"/>
      <c r="J33" s="1048"/>
    </row>
    <row customHeight="1" ht="19.5" hidden="1">
      <c r="A34" s="1053"/>
      <c r="D34" s="207"/>
      <c r="E34" s="550" t="s">
        <v>52</v>
      </c>
      <c r="F34" s="496"/>
      <c r="G34" s="205"/>
    </row>
    <row customHeight="1" ht="19.5">
      <c r="A35" s="1053"/>
      <c r="D35" s="207"/>
      <c r="E35" s="550" t="s">
        <v>53</v>
      </c>
      <c r="F35" s="5237" t="s">
        <v>54</v>
      </c>
      <c r="G35" s="205"/>
    </row>
    <row s="5183" customFormat="1" customHeight="1" ht="6">
      <c r="A36" s="952"/>
      <c r="B36" s="367"/>
      <c r="C36" s="368"/>
      <c r="D36" s="369"/>
      <c r="E36" s="370"/>
      <c r="F36" s="1239"/>
      <c r="G36" s="201"/>
      <c r="H36" s="572"/>
      <c r="I36" s="574"/>
      <c r="J36" s="1050"/>
    </row>
    <row customHeight="1" ht="22.5">
      <c r="A37" s="952"/>
      <c r="D37" s="203"/>
      <c r="E37" s="550" t="s">
        <v>55</v>
      </c>
      <c r="F37" s="874" t="s">
        <v>56</v>
      </c>
      <c r="G37" s="201"/>
      <c r="H37" s="939" t="s">
        <v>18</v>
      </c>
    </row>
    <row s="5241" customFormat="1" customHeight="1" ht="6" hidden="1">
      <c r="A38" s="951"/>
      <c r="B38" s="589"/>
      <c r="C38" s="590"/>
      <c r="D38" s="591"/>
      <c r="E38" s="592"/>
      <c r="F38" s="1239"/>
      <c r="G38" s="201"/>
      <c r="H38" s="572"/>
      <c r="I38" s="574"/>
      <c r="J38" s="1050"/>
    </row>
    <row s="5213" customFormat="1" customHeight="1" ht="19.5" hidden="1">
      <c r="A39" s="955" t="s">
        <v>22</v>
      </c>
      <c r="B39" s="576"/>
      <c r="C39" s="571"/>
      <c r="D39" s="573"/>
      <c r="E39" s="550" t="str">
        <f>"Дифференциация информации по централизованным системам  "&amp;TEMPLATE_SPHERE_RUS</f>
        <v>Дифференциация информации по централизованным системам  водоотведения</v>
      </c>
      <c r="F39" s="874" t="s">
        <v>56</v>
      </c>
      <c r="G39" s="201"/>
      <c r="I39" s="574"/>
      <c r="J39" s="1050"/>
    </row>
    <row s="5241" customFormat="1" customHeight="1" ht="6" hidden="1">
      <c r="A40" s="951"/>
      <c r="B40" s="589"/>
      <c r="C40" s="590"/>
      <c r="D40" s="591"/>
      <c r="E40" s="592"/>
      <c r="F40" s="1239"/>
      <c r="G40" s="201"/>
      <c r="H40" s="572"/>
      <c r="I40" s="574"/>
      <c r="J40" s="1048"/>
    </row>
    <row s="5213" customFormat="1" customHeight="1" ht="22.5" hidden="1">
      <c r="A41" s="951"/>
      <c r="B41" s="576"/>
      <c r="C41" s="571"/>
      <c r="D41" s="573"/>
      <c r="E41" s="550" t="s">
        <v>57</v>
      </c>
      <c r="F41" s="874"/>
      <c r="G41" s="201"/>
      <c r="I41" s="574"/>
      <c r="J41" s="1050"/>
    </row>
    <row s="5213" customFormat="1" customHeight="1" ht="22.5" hidden="1">
      <c r="A42" s="951"/>
      <c r="B42" s="576"/>
      <c r="C42" s="571"/>
      <c r="D42" s="573"/>
      <c r="E42" s="1353" t="s">
        <v>58</v>
      </c>
      <c r="F42" s="917"/>
      <c r="G42" s="201"/>
      <c r="I42" s="574"/>
      <c r="J42" s="1050"/>
    </row>
    <row s="5241" customFormat="1" customHeight="1" ht="6" hidden="1">
      <c r="A43" s="951"/>
      <c r="B43" s="589"/>
      <c r="C43" s="590"/>
      <c r="D43" s="591"/>
      <c r="E43" s="592"/>
      <c r="F43" s="1239"/>
      <c r="G43" s="201"/>
      <c r="H43" s="572"/>
      <c r="I43" s="574"/>
      <c r="J43" s="1050"/>
    </row>
    <row s="5241" customFormat="1" customHeight="1" ht="22.5" hidden="1">
      <c r="A44" s="951"/>
      <c r="B44" s="589"/>
      <c r="C44" s="590"/>
      <c r="D44" s="591"/>
      <c r="E44" s="1353" t="s">
        <v>59</v>
      </c>
      <c r="F44" s="874" t="s">
        <v>56</v>
      </c>
      <c r="G44" s="201"/>
      <c r="H44" s="572"/>
      <c r="I44" s="574"/>
      <c r="J44" s="1050"/>
    </row>
    <row s="5213" customFormat="1" customHeight="1" ht="22.5" hidden="1">
      <c r="A45" s="951"/>
      <c r="B45" s="576"/>
      <c r="C45" s="571"/>
      <c r="D45" s="573"/>
      <c r="E45" s="1353" t="s">
        <v>60</v>
      </c>
      <c r="F45" s="874" t="s">
        <v>56</v>
      </c>
      <c r="G45" s="201"/>
      <c r="I45" s="574"/>
      <c r="J45" s="1050"/>
    </row>
    <row s="5183" customFormat="1" customHeight="1" ht="6" hidden="1">
      <c r="A46" s="951"/>
      <c r="B46" s="367"/>
      <c r="C46" s="368"/>
      <c r="D46" s="369"/>
      <c r="E46" s="370"/>
      <c r="F46" s="1239"/>
      <c r="G46" s="201"/>
      <c r="H46" s="572"/>
      <c r="I46" s="574"/>
      <c r="J46" s="1050"/>
    </row>
    <row customHeight="1" ht="19.5" hidden="1">
      <c r="B47" s="281"/>
      <c r="D47" s="203"/>
      <c r="E47" s="550"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47" s="874"/>
      <c r="G47" s="201"/>
    </row>
    <row s="5241" customFormat="1" customHeight="1" ht="6" hidden="1">
      <c r="A48" s="952"/>
      <c r="B48" s="589"/>
      <c r="C48" s="590"/>
      <c r="D48" s="374"/>
      <c r="E48" s="372"/>
      <c r="F48" s="375"/>
      <c r="G48" s="205"/>
      <c r="H48" s="572"/>
      <c r="I48" s="574"/>
      <c r="J48" s="1050"/>
    </row>
    <row s="5250" customFormat="1" customHeight="1" ht="22.5" hidden="1">
      <c r="A49" s="953"/>
      <c r="B49" s="576"/>
      <c r="C49" s="694"/>
      <c r="D49" s="695"/>
      <c r="E49" s="550" t="s">
        <v>61</v>
      </c>
      <c r="F49" s="874" t="s">
        <v>56</v>
      </c>
      <c r="G49" s="696"/>
      <c r="I49" s="698"/>
      <c r="J49" s="1052"/>
      <c r="P49" s="699"/>
    </row>
    <row s="5241" customFormat="1" customHeight="1" ht="6" hidden="1">
      <c r="A50" s="952"/>
      <c r="B50" s="589"/>
      <c r="C50" s="590"/>
      <c r="D50" s="374"/>
      <c r="E50" s="372"/>
      <c r="F50" s="375"/>
      <c r="G50" s="205"/>
      <c r="H50" s="572"/>
      <c r="I50" s="574"/>
      <c r="J50" s="1048"/>
    </row>
    <row s="5250" customFormat="1" customHeight="1" ht="22.5" hidden="1">
      <c r="A51" s="953"/>
      <c r="B51" s="576"/>
      <c r="C51" s="694"/>
      <c r="D51" s="695"/>
      <c r="E51" s="550" t="s">
        <v>62</v>
      </c>
      <c r="F51" s="1234" t="s">
        <v>56</v>
      </c>
      <c r="G51" s="696"/>
      <c r="I51" s="698"/>
      <c r="J51" s="1052"/>
      <c r="P51" s="699"/>
    </row>
    <row s="5250" customFormat="1" customHeight="1" ht="22.5" hidden="1">
      <c r="A52" s="953"/>
      <c r="B52" s="576"/>
      <c r="C52" s="694"/>
      <c r="D52" s="695"/>
      <c r="E52" s="550" t="s">
        <v>63</v>
      </c>
      <c r="F52" s="1240"/>
      <c r="G52" s="696"/>
      <c r="I52" s="698"/>
      <c r="J52" s="1052"/>
      <c r="P52" s="699"/>
    </row>
    <row s="5241" customFormat="1" customHeight="1" ht="6" hidden="1">
      <c r="A53" s="952"/>
      <c r="B53" s="589"/>
      <c r="C53" s="590"/>
      <c r="D53" s="374"/>
      <c r="E53" s="372"/>
      <c r="F53" s="375"/>
      <c r="G53" s="205"/>
      <c r="H53" s="572"/>
      <c r="I53" s="574"/>
      <c r="J53" s="1048"/>
    </row>
    <row s="5250" customFormat="1" customHeight="1" ht="22.5" hidden="1">
      <c r="A54" s="953"/>
      <c r="B54" s="576"/>
      <c r="C54" s="694"/>
      <c r="D54" s="695"/>
      <c r="E54" s="550" t="s">
        <v>64</v>
      </c>
      <c r="F54" s="1234" t="s">
        <v>56</v>
      </c>
      <c r="G54" s="696"/>
      <c r="I54" s="698"/>
      <c r="J54" s="1052"/>
      <c r="P54" s="699"/>
    </row>
    <row s="5241" customFormat="1" customHeight="1" ht="6" hidden="1">
      <c r="A55" s="952"/>
      <c r="B55" s="589"/>
      <c r="C55" s="590"/>
      <c r="D55" s="374"/>
      <c r="E55" s="372"/>
      <c r="F55" s="375"/>
      <c r="G55" s="205"/>
      <c r="H55" s="572"/>
      <c r="I55" s="574"/>
      <c r="J55" s="1048"/>
    </row>
    <row s="5250" customFormat="1" customHeight="1" ht="15" hidden="1">
      <c r="A56" s="953"/>
      <c r="B56" s="576"/>
      <c r="C56" s="694"/>
      <c r="D56" s="695"/>
      <c r="E56" s="550" t="s">
        <v>65</v>
      </c>
      <c r="F56" s="1234" t="s">
        <v>66</v>
      </c>
      <c r="G56" s="696"/>
      <c r="I56" s="698"/>
      <c r="J56" s="1052"/>
      <c r="P56" s="699"/>
    </row>
    <row s="5250" customFormat="1" customHeight="1" ht="15" hidden="1">
      <c r="A57" s="953"/>
      <c r="B57" s="576"/>
      <c r="C57" s="694"/>
      <c r="D57" s="695"/>
      <c r="E57" s="550"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57" s="1381"/>
      <c r="G57" s="696"/>
      <c r="I57" s="698"/>
      <c r="J57" s="1052"/>
      <c r="P57" s="699"/>
    </row>
    <row s="5250" customFormat="1" customHeight="1" ht="15" hidden="1">
      <c r="A58" s="953"/>
      <c r="B58" s="576"/>
      <c r="C58" s="694"/>
      <c r="D58" s="695"/>
      <c r="E58" s="1353" t="s">
        <v>67</v>
      </c>
      <c r="F58" s="1339"/>
      <c r="G58" s="696"/>
      <c r="I58" s="698"/>
      <c r="J58" s="1052"/>
      <c r="P58" s="699"/>
    </row>
    <row s="5241" customFormat="1" customHeight="1" ht="6" hidden="1">
      <c r="A59" s="952"/>
      <c r="B59" s="589"/>
      <c r="C59" s="590"/>
      <c r="D59" s="591"/>
      <c r="E59" s="592"/>
      <c r="F59" s="1239"/>
      <c r="G59" s="201"/>
      <c r="H59" s="572"/>
      <c r="I59" s="574"/>
      <c r="J59" s="1050"/>
    </row>
    <row s="5213" customFormat="1" customHeight="1" ht="33.75" hidden="1">
      <c r="A60" s="952"/>
      <c r="B60" s="229"/>
      <c r="C60" s="571"/>
      <c r="D60" s="573"/>
      <c r="E60" s="1353" t="s">
        <v>68</v>
      </c>
      <c r="F60" s="1911" t="s">
        <v>66</v>
      </c>
      <c r="G60" s="201"/>
      <c r="H60" s="939" t="s">
        <v>18</v>
      </c>
      <c r="I60" s="574"/>
      <c r="J60" s="1050"/>
    </row>
    <row s="5183" customFormat="1" customHeight="1" ht="6">
      <c r="A61" s="952"/>
      <c r="B61" s="367"/>
      <c r="C61" s="368"/>
      <c r="D61" s="374"/>
      <c r="E61" s="372"/>
      <c r="F61" s="375"/>
      <c r="G61" s="205"/>
      <c r="H61" s="572"/>
      <c r="I61" s="574"/>
      <c r="J61" s="1048"/>
    </row>
    <row customHeight="1" ht="19.5">
      <c r="A62" s="954"/>
      <c r="B62" s="230"/>
      <c r="D62" s="210"/>
      <c r="E62" s="550" t="s">
        <v>69</v>
      </c>
      <c r="F62" s="351" t="s">
        <v>70</v>
      </c>
      <c r="G62" s="205"/>
    </row>
    <row customHeight="1" ht="19.5">
      <c r="A63" s="954"/>
      <c r="B63" s="230"/>
      <c r="D63" s="210"/>
      <c r="E63" s="550" t="s">
        <v>71</v>
      </c>
      <c r="F63" s="351" t="s">
        <v>72</v>
      </c>
      <c r="G63" s="205"/>
    </row>
    <row customHeight="1" ht="35.25">
      <c r="D64" s="203"/>
      <c r="E64" s="552" t="s">
        <v>73</v>
      </c>
      <c r="F64" s="1241"/>
      <c r="G64" s="201"/>
    </row>
    <row customHeight="1" ht="19.5">
      <c r="A65" s="954"/>
      <c r="D65" s="573"/>
      <c r="E65" s="550" t="s">
        <v>74</v>
      </c>
      <c r="F65" s="406" t="s">
        <v>75</v>
      </c>
      <c r="G65" s="205"/>
    </row>
    <row customHeight="1" ht="19.5">
      <c r="A66" s="954"/>
      <c r="B66" s="230"/>
      <c r="D66" s="210"/>
      <c r="E66" s="550" t="s">
        <v>76</v>
      </c>
      <c r="F66" s="406" t="s">
        <v>77</v>
      </c>
      <c r="G66" s="205"/>
    </row>
    <row customHeight="1" ht="19.5">
      <c r="A67" s="954"/>
      <c r="B67" s="230"/>
      <c r="D67" s="210"/>
      <c r="E67" s="550" t="s">
        <v>78</v>
      </c>
      <c r="F67" s="406" t="s">
        <v>79</v>
      </c>
      <c r="G67" s="205"/>
    </row>
    <row customHeight="1" ht="19.5">
      <c r="D68" s="573"/>
      <c r="E68" s="550" t="s">
        <v>80</v>
      </c>
      <c r="F68" s="406" t="s">
        <v>81</v>
      </c>
      <c r="G68" s="201"/>
    </row>
    <row customHeight="1" ht="20.25">
      <c r="A69" s="954"/>
      <c r="D69" s="201"/>
      <c r="F69" s="266"/>
      <c r="G69" s="205"/>
    </row>
    <row customHeight="1" ht="19.5">
      <c r="A70" s="954"/>
      <c r="B70" s="230"/>
      <c r="D70" s="210"/>
      <c r="E70" s="209"/>
      <c r="F70" s="267"/>
      <c r="G70" s="205"/>
    </row>
    <row customHeight="1" ht="19.5">
      <c r="A71" s="954"/>
      <c r="B71" s="230"/>
      <c r="D71" s="210"/>
      <c r="E71" s="209"/>
      <c r="F71" s="267"/>
      <c r="G71" s="205"/>
    </row>
    <row customHeight="1" ht="19.5">
      <c r="A72" s="954"/>
      <c r="B72" s="230"/>
      <c r="D72" s="210"/>
      <c r="E72" s="215"/>
      <c r="F72" s="267"/>
      <c r="G72" s="205"/>
    </row>
    <row customHeight="1" ht="19.5">
      <c r="A73" s="954"/>
      <c r="B73" s="230"/>
      <c r="D73" s="210"/>
      <c r="E73" s="209"/>
      <c r="F73" s="267"/>
      <c r="G73" s="205"/>
    </row>
    <row r="76" customHeight="1" ht="11.25">
      <c r="E76" s="549"/>
      <c r="F76" s="549"/>
      <c r="G76" s="549"/>
      <c r="H76" s="549"/>
      <c r="I76" s="549"/>
    </row>
  </sheetData>
  <sheetProtection formatColumns="0" formatRows="0" sort="0" autoFilter="0" insertRows="0" insertColumns="1" deleteRows="0" deleteColumns="0"/>
  <mergeCells count="3">
    <mergeCell ref="E5:F5"/>
    <mergeCell ref="J16:J17"/>
    <mergeCell ref="A9:A10"/>
  </mergeCells>
  <dataValidations count="11">
    <dataValidation type="textLength" operator="lessThanOrEqual" allowBlank="1" showInputMessage="1" showErrorMessage="1" errorTitle="Ошибка" error="Допускается ввод не более 900 символов!" sqref="F70:F73 F26:F27 F62:F63 F65:F68 F20:F22 F24">
      <formula1>900</formula1>
    </dataValidation>
    <dataValidation type="list" allowBlank="1" showInputMessage="1" showErrorMessage="1" errorTitle="Ошибка" error="Выберите значение из списка" prompt="Выберите значение из списка" sqref="F35:F36 F59">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5 F19 F16:F17 F9:F11"/>
    <dataValidation type="list" allowBlank="1" showInputMessage="1" showErrorMessage="1" errorTitle="Ошибка" error="Выберите значение из списка" prompt="Выберите значение из списка" sqref="F15">
      <formula1>kind_of_data_type</formula1>
    </dataValidation>
    <dataValidation allowBlank="1" showInputMessage="1" showErrorMessage="1" prompt="Для выбора выполните двойной щелчок левой клавиши мыши по соответствующей ячейке." sqref="F47 F51 F54 F56 F49 F37:F39 F41 F43:F45 F60"/>
    <dataValidation type="list" allowBlank="1" showInputMessage="1" showErrorMessage="1" errorTitle="Ошибка" error="Выберите значение из списка" prompt="Выберите значение из списка" sqref="F34">
      <formula1>kind_of_org_type</formula1>
    </dataValidation>
    <dataValidation type="list" allowBlank="1" showInputMessage="1" showErrorMessage="1" errorTitle="Ошибка" error="Выберите значение из списка" prompt="Выберите значение из списка" sqref="F12">
      <formula1>year_list</formula1>
    </dataValidation>
    <dataValidation type="list" allowBlank="1" showInputMessage="1" showErrorMessage="1" errorTitle="Ошибка" error="Выберите значение из списка" prompt="Выберите значение из списка" sqref="F13">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2"/>
    <dataValidation type="list" allowBlank="1" showInputMessage="1" showErrorMessage="1" errorTitle="Ошибка" error="Выберите значение из списка" prompt="Выберите значение из списка" sqref="F58">
      <formula1>TITLE_IP_DETAILED_METHOD_LIST</formula1>
    </dataValidation>
    <dataValidation type="textLength" operator="lessThanOrEqual" allowBlank="1" showInputMessage="1" showErrorMessage="1" errorTitle="Ошибка" error="Допускается ввод не более 900 символов!" sqref="F30">
      <formula1>900</formula1>
    </dataValidation>
  </dataValidations>
  <hyperlinks>
    <hyperlink ref="H9" location="Титульный!H9" display="Как заполнить?" tooltip="Помощь по работе с полями отчётной формы" xr:uid="{48B9959E-9EAE-FEC6-412F-CDD732331635}"/>
    <hyperlink ref="H15" location="Титульный!H9" display="Как заполнить?" tooltip="Помощь по работе с полями отчётной формы" xr:uid="{85C6D882-BD15-A165-E69A-A9AE8F32A7BD}"/>
    <hyperlink ref="H37" location="Титульный!H9" display="Как заполнить?" tooltip="Помощь по работе с полями отчётной формы" xr:uid="{C0A67C99-BC17-F6F5-0554-623EDAD2F977}"/>
    <hyperlink ref="H60" location="Титульный!H9" display="Как заполнить?" tooltip="Помощь по работе с полями отчётной формы" xr:uid="{8DEC129F-3798-D495-3896-170B03819CAC}"/>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61D3AE-1A2C-CBF2-18A1-EF581BBF2BBA}" mc:Ignorable="x14ac xr xr2 xr3">
  <sheetPr>
    <tabColor rgb="FFCCCCFF"/>
    <pageSetUpPr fitToPage="1"/>
  </sheetPr>
  <dimension ref="A1:AB30"/>
  <sheetViews>
    <sheetView topLeftCell="C2" showGridLines="0" zoomScale="90" workbookViewId="0">
      <selection activeCell="G22" sqref="G22"/>
    </sheetView>
  </sheetViews>
  <sheetFormatPr defaultColWidth="9.140625" customHeight="1" defaultRowHeight="14.25"/>
  <cols>
    <col min="1" max="1" style="5367" width="8.00390625" hidden="1" customWidth="1"/>
    <col min="2" max="2" style="5368" width="6.00390625" hidden="1" customWidth="1"/>
    <col min="3" max="3" style="5367" width="3.7109375" customWidth="1"/>
    <col min="4" max="4" style="5369" width="3.7109375" customWidth="1"/>
    <col min="5" max="5" style="5370" width="6.28125" customWidth="1"/>
    <col min="6" max="6" style="5367" width="2.7109375" hidden="1" customWidth="1"/>
    <col min="7" max="7" style="5370" width="46.7109375" customWidth="1"/>
    <col min="8" max="8" style="5370" width="43.140625" customWidth="1"/>
    <col min="9" max="9" style="5370" width="14.8515625" customWidth="1"/>
    <col min="10" max="10" style="5371" width="3.7109375" customWidth="1"/>
    <col min="11" max="13" style="5371" width="9.140625" hidden="1"/>
    <col min="14" max="14" style="5372" width="25.7109375" hidden="1" customWidth="1"/>
    <col min="15" max="15" style="5371" width="14.421875" hidden="1" customWidth="1"/>
    <col min="16" max="19" style="5373" width="9.140625" hidden="1"/>
    <col min="20" max="27" style="5370" width="9.140625" hidden="1"/>
    <col min="28" max="28" style="5370" width="9.140625"/>
  </cols>
  <sheetData>
    <row s="5281" customFormat="1" customHeight="1" ht="5.25" hidden="1">
      <c r="A1" s="660"/>
      <c r="B1" s="675"/>
      <c r="C1" s="675"/>
      <c r="D1" s="356"/>
      <c r="F1" s="675"/>
      <c r="G1" s="382" t="s">
        <v>82</v>
      </c>
      <c r="H1" s="658" t="s">
        <v>83</v>
      </c>
      <c r="I1" s="362" t="s">
        <v>84</v>
      </c>
      <c r="J1" s="382" t="s">
        <v>82</v>
      </c>
      <c r="K1" s="382"/>
      <c r="L1" s="382"/>
      <c r="M1" s="382"/>
      <c r="N1" s="383"/>
      <c r="O1" s="382"/>
      <c r="P1" s="382"/>
      <c r="Q1" s="382"/>
      <c r="R1" s="382"/>
      <c r="S1" s="382"/>
      <c r="T1" s="362"/>
      <c r="U1" s="362"/>
      <c r="V1" s="362"/>
      <c r="W1" s="362"/>
      <c r="X1" s="362"/>
      <c r="Y1" s="362"/>
      <c r="Z1" s="362"/>
      <c r="AA1" s="362"/>
      <c r="AB1" s="362"/>
    </row>
    <row s="5289" customFormat="1" customHeight="1" ht="11.25">
      <c r="A2" s="1003"/>
      <c r="B2" s="363"/>
      <c r="C2" s="363"/>
      <c r="D2" s="364"/>
      <c r="E2" s="363"/>
      <c r="F2" s="363"/>
      <c r="G2" s="363"/>
      <c r="H2" s="363"/>
      <c r="I2" s="363"/>
      <c r="J2" s="382"/>
      <c r="K2" s="382"/>
      <c r="L2" s="382"/>
      <c r="M2" s="382"/>
      <c r="N2" s="383"/>
      <c r="O2" s="382"/>
      <c r="P2" s="365"/>
      <c r="Q2" s="365"/>
      <c r="R2" s="365"/>
      <c r="S2" s="365"/>
      <c r="T2" s="364"/>
      <c r="U2" s="364"/>
      <c r="V2" s="364"/>
      <c r="W2" s="364"/>
      <c r="X2" s="364"/>
      <c r="Y2" s="364"/>
      <c r="Z2" s="364"/>
      <c r="AA2" s="364"/>
      <c r="AB2" s="364"/>
    </row>
    <row s="5294" customFormat="1" customHeight="1" ht="3">
      <c r="A3" s="924"/>
      <c r="B3" s="580"/>
      <c r="C3" s="924"/>
      <c r="D3" s="299"/>
      <c r="E3" s="235"/>
      <c r="F3" s="673"/>
      <c r="G3" s="235"/>
      <c r="H3" s="235"/>
      <c r="I3" s="301"/>
      <c r="J3" s="382"/>
      <c r="K3" s="290"/>
      <c r="L3" s="290"/>
      <c r="M3" s="290"/>
      <c r="N3" s="361"/>
      <c r="O3" s="290"/>
      <c r="P3" s="360"/>
      <c r="Q3" s="360"/>
      <c r="R3" s="360"/>
      <c r="S3" s="360"/>
    </row>
    <row s="5294" customFormat="1" customHeight="1" ht="25.5">
      <c r="A4" s="924"/>
      <c r="B4" s="580"/>
      <c r="C4" s="924"/>
      <c r="D4" s="299"/>
      <c r="E4" s="2062" t="str">
        <f>NameTemplatesInListMO</f>
        <v>Перечень муниципальных районов и муниципальных образований (территорий действия тарифа)</v>
      </c>
      <c r="F4" s="2062"/>
      <c r="G4" s="2062"/>
      <c r="H4" s="2062"/>
      <c r="I4" s="2062"/>
      <c r="J4" s="382"/>
      <c r="K4" s="290"/>
      <c r="L4" s="290"/>
      <c r="M4" s="290"/>
      <c r="N4" s="361"/>
      <c r="O4" s="290"/>
      <c r="P4" s="360"/>
      <c r="Q4" s="360"/>
      <c r="R4" s="360"/>
      <c r="S4" s="360"/>
    </row>
    <row s="5294" customFormat="1" customHeight="1" ht="3">
      <c r="A5" s="924"/>
      <c r="B5" s="580"/>
      <c r="C5" s="924"/>
      <c r="D5" s="299"/>
      <c r="E5" s="235"/>
      <c r="F5" s="673"/>
      <c r="G5" s="302"/>
      <c r="H5" s="302"/>
      <c r="I5" s="303"/>
      <c r="J5" s="290"/>
      <c r="K5" s="290"/>
      <c r="L5" s="290"/>
      <c r="M5" s="290"/>
      <c r="N5" s="361"/>
      <c r="O5" s="290"/>
      <c r="P5" s="360"/>
      <c r="Q5" s="360"/>
      <c r="R5" s="360"/>
      <c r="S5" s="360"/>
    </row>
    <row s="5294" customFormat="1" customHeight="1" ht="20.25" hidden="1">
      <c r="A6" s="1010"/>
      <c r="B6" s="1005"/>
      <c r="C6" s="304"/>
      <c r="D6" s="299"/>
      <c r="E6" s="945"/>
      <c r="F6" s="945"/>
      <c r="G6" s="302"/>
      <c r="H6" s="305"/>
      <c r="I6" s="305"/>
      <c r="J6" s="290"/>
      <c r="K6" s="290"/>
      <c r="L6" s="290"/>
      <c r="M6" s="290"/>
      <c r="N6" s="361"/>
      <c r="O6" s="290"/>
      <c r="P6" s="360"/>
      <c r="Q6" s="360"/>
      <c r="R6" s="360"/>
      <c r="S6" s="360"/>
    </row>
    <row customHeight="1" ht="25.5" hidden="1"/>
    <row s="5294" customFormat="1" customHeight="1" ht="14.25">
      <c r="A8" s="924"/>
      <c r="B8" s="580"/>
      <c r="C8" s="924"/>
      <c r="D8" s="299"/>
      <c r="E8" s="2063" t="s">
        <v>85</v>
      </c>
      <c r="F8" s="2064"/>
      <c r="G8" s="2065"/>
      <c r="H8" s="2066" t="s">
        <v>86</v>
      </c>
      <c r="I8" s="2066"/>
      <c r="J8" s="290"/>
      <c r="K8" s="290"/>
      <c r="L8" s="290"/>
      <c r="M8" s="290"/>
      <c r="N8" s="361"/>
      <c r="O8" s="290"/>
      <c r="P8" s="360"/>
      <c r="Q8" s="360"/>
      <c r="R8" s="360"/>
      <c r="S8" s="360"/>
    </row>
    <row s="5294" customFormat="1" customHeight="1" ht="20.25">
      <c r="A9" s="924"/>
      <c r="B9" s="580"/>
      <c r="C9" s="924"/>
      <c r="D9" s="299"/>
      <c r="E9" s="943" t="s">
        <v>87</v>
      </c>
      <c r="F9" s="943"/>
      <c r="G9" s="307" t="s">
        <v>88</v>
      </c>
      <c r="H9" s="307" t="s">
        <v>88</v>
      </c>
      <c r="I9" s="307" t="s">
        <v>84</v>
      </c>
      <c r="J9" s="290"/>
      <c r="K9" s="290"/>
      <c r="L9" s="290"/>
      <c r="M9" s="290"/>
      <c r="N9" s="361"/>
      <c r="O9" s="290"/>
      <c r="P9" s="360"/>
      <c r="Q9" s="360"/>
      <c r="R9" s="360"/>
      <c r="S9" s="360"/>
    </row>
    <row customHeight="1" ht="11.25">
      <c r="D10" s="311"/>
      <c r="E10" s="944" t="s">
        <v>89</v>
      </c>
      <c r="F10" s="944"/>
      <c r="G10" s="358" t="s">
        <v>90</v>
      </c>
      <c r="H10" s="358" t="s">
        <v>91</v>
      </c>
      <c r="I10" s="358" t="s">
        <v>92</v>
      </c>
      <c r="J10" s="320"/>
      <c r="K10" s="320"/>
      <c r="L10" s="320"/>
      <c r="M10" s="320"/>
      <c r="N10" s="306"/>
      <c r="O10" s="320"/>
      <c r="P10" s="359"/>
      <c r="Q10" s="359"/>
      <c r="R10" s="359"/>
      <c r="S10" s="359"/>
    </row>
    <row s="5294" customFormat="1" customHeight="1" ht="0.75">
      <c r="A11" s="924"/>
      <c r="B11" s="580"/>
      <c r="C11" s="924"/>
      <c r="D11" s="299"/>
      <c r="E11" s="957"/>
      <c r="F11" s="957"/>
      <c r="G11" s="308"/>
      <c r="H11" s="308"/>
      <c r="I11" s="310"/>
      <c r="J11" s="384" t="s">
        <v>93</v>
      </c>
      <c r="K11" s="290"/>
      <c r="L11" s="290"/>
      <c r="M11" s="290" t="s">
        <v>94</v>
      </c>
      <c r="N11" s="361" t="s">
        <v>95</v>
      </c>
      <c r="O11" s="290" t="s">
        <v>96</v>
      </c>
      <c r="P11" s="360"/>
      <c r="Q11" s="360"/>
      <c r="R11" s="360"/>
      <c r="S11" s="360"/>
    </row>
    <row s="5328" customFormat="1" customHeight="1" ht="14.25">
      <c r="A12" s="2061">
        <v>1</v>
      </c>
      <c r="B12" s="580"/>
      <c r="C12" s="924"/>
      <c r="D12" s="949"/>
      <c r="E12" s="354">
        <f>A12</f>
        <v>1</v>
      </c>
      <c r="F12" s="969" t="s">
        <v>97</v>
      </c>
      <c r="G12" s="704" t="s">
        <v>98</v>
      </c>
      <c r="H12" s="959"/>
      <c r="I12" s="959"/>
      <c r="J12" s="956"/>
      <c r="K12" s="664"/>
      <c r="L12" s="664"/>
      <c r="M12" s="664"/>
      <c r="N12" s="361"/>
      <c r="O12" s="664"/>
      <c r="P12" s="360"/>
      <c r="Q12" s="360"/>
      <c r="R12" s="360"/>
      <c r="S12" s="360"/>
    </row>
    <row s="5337" customFormat="1" customHeight="1" ht="15">
      <c r="A13" s="2061"/>
      <c r="B13" s="580">
        <v>1</v>
      </c>
      <c r="C13" s="580"/>
      <c r="D13" s="967"/>
      <c r="E13" s="946" t="str">
        <f>A12&amp;"."&amp;B13</f>
        <v>1.1</v>
      </c>
      <c r="F13" s="962" t="s">
        <v>99</v>
      </c>
      <c r="G13" s="960" t="s">
        <v>100</v>
      </c>
      <c r="H13" s="960" t="s">
        <v>100</v>
      </c>
      <c r="I13" s="958" t="s">
        <v>101</v>
      </c>
      <c r="J13" s="664">
        <f>MERGEVALUE(G13)</f>
      </c>
      <c r="K13" s="675"/>
      <c r="L13" s="675"/>
      <c r="M13" s="664" t="str">
        <f t="array" ref="M13:M13">IF(ISERROR(MATCH(MID(N13,1,250),MID(note_ter,1,250),0)),"n","y")</f>
        <v>n</v>
      </c>
      <c r="N13" s="675"/>
      <c r="O13" s="664" t="str">
        <f>H13&amp;"("&amp;I13&amp;")"</f>
        <v>Город Горячий Ключ(03709000)</v>
      </c>
      <c r="P13" s="580"/>
      <c r="Q13" s="580"/>
      <c r="R13" s="583"/>
      <c r="S13" s="580"/>
      <c r="T13" s="580"/>
      <c r="U13" s="580"/>
      <c r="V13" s="585"/>
      <c r="W13" s="585"/>
      <c r="X13" s="582"/>
      <c r="Y13" s="582"/>
      <c r="Z13" s="582"/>
      <c r="AA13" s="582"/>
      <c r="AB13" s="582"/>
    </row>
    <row customHeight="1" ht="15">
      <c r="A14" s="2197"/>
      <c r="B14" s="580" t="s">
        <v>102</v>
      </c>
      <c r="C14" s="580"/>
      <c r="D14" s="967" t="s">
        <v>103</v>
      </c>
      <c r="E14" s="965" t="str">
        <f>A12&amp;"."&amp;B14</f>
        <v>1.2</v>
      </c>
      <c r="F14" s="970" t="s">
        <v>104</v>
      </c>
      <c r="G14" s="960" t="s">
        <v>105</v>
      </c>
      <c r="H14" s="960" t="s">
        <v>105</v>
      </c>
      <c r="I14" s="958" t="s">
        <v>106</v>
      </c>
      <c r="J14" s="664">
        <f>MERGEVALUE(G14)</f>
      </c>
      <c r="K14" s="675"/>
      <c r="L14" s="675"/>
      <c r="M14" s="664" t="str">
        <f t="array" ref="M14:M14">IF(ISERROR(MATCH(MID(N14,1,250),MID(note_ter,1,250),0)),"n","y")</f>
        <v>n</v>
      </c>
      <c r="N14" s="675"/>
      <c r="O14" s="664" t="str">
        <f>H14&amp;"("&amp;I14&amp;")"</f>
        <v>Город-курорт Сочи(03726000)</v>
      </c>
      <c r="P14" s="580"/>
      <c r="Q14" s="580"/>
      <c r="R14" s="583"/>
      <c r="S14" s="580"/>
      <c r="T14" s="580"/>
      <c r="U14" s="580"/>
      <c r="V14" s="585"/>
      <c r="W14" s="585"/>
      <c r="X14" s="582"/>
      <c r="Y14" s="582"/>
      <c r="Z14" s="582"/>
      <c r="AA14" s="582"/>
      <c r="AB14" s="582"/>
    </row>
    <row customHeight="1" ht="15">
      <c r="A15" s="2197"/>
      <c r="B15" s="580" t="s">
        <v>89</v>
      </c>
      <c r="C15" s="580"/>
      <c r="D15" s="967" t="s">
        <v>103</v>
      </c>
      <c r="E15" s="965" t="str">
        <f>A12&amp;"."&amp;B15</f>
        <v>1.3</v>
      </c>
      <c r="F15" s="970" t="s">
        <v>107</v>
      </c>
      <c r="G15" s="960" t="s">
        <v>108</v>
      </c>
      <c r="H15" s="960" t="s">
        <v>109</v>
      </c>
      <c r="I15" s="958" t="s">
        <v>110</v>
      </c>
      <c r="J15" s="664">
        <f>MERGEVALUE(G15)</f>
      </c>
      <c r="K15" s="675"/>
      <c r="L15" s="675"/>
      <c r="M15" s="664" t="str">
        <f t="array" ref="M15:M15">IF(ISERROR(MATCH(MID(N15,1,250),MID(note_ter,1,250),0)),"n","y")</f>
        <v>n</v>
      </c>
      <c r="N15" s="675"/>
      <c r="O15" s="664" t="str">
        <f>H15&amp;"("&amp;I15&amp;")"</f>
        <v>Кропоткинское городское(03618101)</v>
      </c>
      <c r="P15" s="580"/>
      <c r="Q15" s="580"/>
      <c r="R15" s="583"/>
      <c r="S15" s="580"/>
      <c r="T15" s="580"/>
      <c r="U15" s="580"/>
      <c r="V15" s="585"/>
      <c r="W15" s="585"/>
      <c r="X15" s="582"/>
      <c r="Y15" s="582"/>
      <c r="Z15" s="582"/>
      <c r="AA15" s="582"/>
      <c r="AB15" s="582"/>
    </row>
    <row s="5337" customFormat="1" customHeight="1" ht="15">
      <c r="A16" s="2061"/>
      <c r="B16" s="580"/>
      <c r="C16" s="575"/>
      <c r="D16" s="968"/>
      <c r="E16" s="584"/>
      <c r="F16" s="312"/>
      <c r="G16" s="578" t="s">
        <v>111</v>
      </c>
      <c r="H16" s="321"/>
      <c r="I16" s="587"/>
      <c r="J16" s="675"/>
      <c r="K16" s="675"/>
      <c r="L16" s="675"/>
      <c r="M16" s="675"/>
      <c r="N16" s="664"/>
      <c r="O16" s="675"/>
      <c r="P16" s="580"/>
      <c r="Q16" s="580"/>
      <c r="R16" s="583"/>
      <c r="S16" s="580"/>
      <c r="T16" s="580"/>
      <c r="U16" s="580"/>
      <c r="V16" s="585"/>
      <c r="W16" s="585"/>
      <c r="X16" s="582"/>
      <c r="Y16" s="582"/>
      <c r="Z16" s="582"/>
      <c r="AA16" s="582"/>
      <c r="AB16" s="582"/>
    </row>
    <row s="5294" customFormat="1" customHeight="1" ht="14.25">
      <c r="A17" s="924"/>
      <c r="B17" s="580"/>
      <c r="C17" s="924"/>
      <c r="D17" s="949"/>
      <c r="E17" s="961"/>
      <c r="F17" s="313"/>
      <c r="G17" s="579" t="s">
        <v>112</v>
      </c>
      <c r="H17" s="313"/>
      <c r="I17" s="314"/>
      <c r="J17" s="384"/>
      <c r="K17" s="290"/>
      <c r="L17" s="290"/>
      <c r="M17" s="290"/>
      <c r="N17" s="361" t="s">
        <v>113</v>
      </c>
      <c r="O17" s="290"/>
      <c r="P17" s="360"/>
      <c r="Q17" s="360"/>
      <c r="R17" s="360"/>
      <c r="S17" s="360"/>
    </row>
    <row s="5294" customFormat="1" customHeight="1" ht="21">
      <c r="A18" s="924"/>
      <c r="B18" s="580"/>
      <c r="C18" s="924"/>
      <c r="D18" s="300"/>
      <c r="E18" s="315"/>
      <c r="F18" s="315"/>
      <c r="G18" s="315"/>
      <c r="H18" s="315"/>
      <c r="I18" s="315"/>
      <c r="J18" s="290"/>
      <c r="K18" s="290"/>
      <c r="L18" s="290"/>
      <c r="M18" s="290"/>
      <c r="N18" s="361"/>
      <c r="O18" s="290"/>
      <c r="P18" s="360"/>
      <c r="Q18" s="360"/>
      <c r="R18" s="360"/>
      <c r="S18" s="360"/>
    </row>
    <row s="5294" customFormat="1" customHeight="1" ht="14.25">
      <c r="A19" s="924"/>
      <c r="B19" s="580"/>
      <c r="C19" s="924"/>
      <c r="D19" s="300"/>
      <c r="E19" s="212"/>
      <c r="F19" s="924"/>
      <c r="G19" s="212"/>
      <c r="H19" s="212"/>
      <c r="I19" s="212"/>
      <c r="J19" s="290"/>
      <c r="K19" s="290"/>
      <c r="L19" s="290"/>
      <c r="M19" s="290"/>
      <c r="N19" s="361"/>
      <c r="O19" s="290"/>
      <c r="P19" s="360"/>
      <c r="Q19" s="360"/>
      <c r="R19" s="360"/>
      <c r="S19" s="360"/>
    </row>
    <row s="5294" customFormat="1" customHeight="1" ht="0.75">
      <c r="A20" s="924"/>
      <c r="B20" s="580"/>
      <c r="C20" s="924"/>
      <c r="D20" s="300"/>
      <c r="E20" s="212"/>
      <c r="F20" s="924"/>
      <c r="G20" s="212"/>
      <c r="H20" s="212"/>
      <c r="I20" s="212"/>
      <c r="J20" s="290"/>
      <c r="K20" s="290"/>
      <c r="L20" s="290"/>
      <c r="M20" s="290"/>
      <c r="N20" s="361"/>
      <c r="O20" s="290"/>
      <c r="P20" s="360"/>
      <c r="Q20" s="360"/>
      <c r="R20" s="360"/>
      <c r="S20" s="360"/>
    </row>
    <row s="5363" customFormat="1" customHeight="1" ht="10.5">
      <c r="B21" s="1006"/>
      <c r="D21" s="317"/>
      <c r="J21" s="290"/>
      <c r="K21" s="290"/>
      <c r="L21" s="290"/>
      <c r="M21" s="290"/>
      <c r="N21" s="361"/>
      <c r="O21" s="290"/>
      <c r="P21" s="360"/>
      <c r="Q21" s="360"/>
      <c r="R21" s="360"/>
      <c r="S21" s="360"/>
    </row>
    <row s="5363" customFormat="1" customHeight="1" ht="10.5">
      <c r="B22" s="1006"/>
      <c r="D22" s="317"/>
      <c r="J22" s="290"/>
      <c r="K22" s="290"/>
      <c r="L22" s="290"/>
      <c r="M22" s="290"/>
      <c r="N22" s="361"/>
      <c r="O22" s="290"/>
      <c r="P22" s="360"/>
      <c r="Q22" s="360"/>
      <c r="R22" s="360"/>
      <c r="S22" s="360"/>
    </row>
    <row r="26" customHeight="1" ht="14.25">
      <c r="H26" s="182"/>
    </row>
    <row r="30" customHeight="1" ht="14.25">
      <c r="J30" s="212"/>
      <c r="K30" s="212"/>
      <c r="L30" s="212"/>
    </row>
  </sheetData>
  <sheetProtection formatColumns="0" formatRows="0" autoFilter="0" sort="0" insertRows="0" insertColumns="1" deleteRows="0" deleteColumns="0"/>
  <mergeCells count="4">
    <mergeCell ref="A12:A16"/>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AF92187-1F41-59C5-C4F6-6F9DE4AD932C}" mc:Ignorable="x14ac xr xr2 xr3">
  <sheetPr>
    <tabColor rgb="FFCCCCFF"/>
  </sheetPr>
  <dimension ref="A1:AL16"/>
  <sheetViews>
    <sheetView topLeftCell="C3" showGridLines="0" zoomScale="90" workbookViewId="0">
      <selection activeCell="I13" sqref="I13:I14"/>
    </sheetView>
  </sheetViews>
  <sheetFormatPr defaultColWidth="9.140625" customHeight="1" defaultRowHeight="11.25"/>
  <cols>
    <col min="1" max="1" style="5457" width="6.421875" hidden="1" customWidth="1"/>
    <col min="2" max="2" style="5457" width="2.00390625" hidden="1" customWidth="1"/>
    <col min="3" max="3" style="5457" width="3.7109375" customWidth="1"/>
    <col min="4" max="4" style="5457" width="4.28125" customWidth="1"/>
    <col min="5" max="5" style="5457" width="45.00390625" customWidth="1"/>
    <col min="6" max="6" style="5457" width="6.421875" customWidth="1"/>
    <col min="7" max="7" style="5457" width="4.421875" customWidth="1"/>
    <col min="8" max="8" style="5457" width="5.57421875" customWidth="1"/>
    <col min="9" max="9" style="5457" width="52.8515625" customWidth="1"/>
    <col min="10" max="10" style="5457" width="7.00390625" customWidth="1"/>
    <col min="11" max="11" style="5457" width="3.7109375" customWidth="1"/>
    <col min="12" max="12" style="5457" width="6.28125" customWidth="1"/>
    <col min="13" max="13" style="5457" width="56.28125" customWidth="1"/>
    <col min="14" max="14" style="5458" width="9.140625"/>
    <col min="15" max="20" style="5459" width="9.140625" hidden="1"/>
    <col min="21" max="24" style="5460" width="9.140625" hidden="1"/>
    <col min="25" max="37" style="5458" width="9.140625" hidden="1"/>
    <col min="38" max="38" style="5458" width="9.140625"/>
  </cols>
  <sheetData>
    <row customHeight="1" ht="11.25" hidden="1"/>
    <row customHeight="1" ht="11.25" hidden="1"/>
    <row r="4" customHeight="1" ht="34.5">
      <c r="A4" s="749"/>
      <c r="B4" s="749"/>
      <c r="D4" s="2081" t="str">
        <f>Титульный!E5</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E4" s="2082"/>
      <c r="F4" s="2082"/>
      <c r="G4" s="2082"/>
      <c r="H4" s="2082"/>
      <c r="I4" s="2083"/>
      <c r="J4" s="748"/>
      <c r="K4" s="748"/>
      <c r="L4" s="748"/>
      <c r="M4" s="748"/>
    </row>
    <row s="5379" customFormat="1" customHeight="1" ht="15">
      <c r="A5" s="749"/>
      <c r="B5" s="749"/>
      <c r="C5" s="749"/>
      <c r="D5" s="208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085"/>
      <c r="F5" s="2085"/>
      <c r="G5" s="2085"/>
      <c r="H5" s="2085"/>
      <c r="I5" s="2086"/>
      <c r="J5" s="750"/>
      <c r="K5" s="750"/>
      <c r="L5" s="750"/>
      <c r="M5" s="750"/>
      <c r="N5" s="750"/>
      <c r="O5" s="1044"/>
      <c r="P5" s="1044"/>
      <c r="Q5" s="1044"/>
      <c r="R5" s="1044"/>
      <c r="S5" s="1044"/>
      <c r="T5" s="1044"/>
      <c r="U5" s="1477"/>
      <c r="V5" s="1477"/>
      <c r="W5" s="1477"/>
      <c r="X5" s="1477"/>
      <c r="Y5" s="750"/>
      <c r="Z5" s="750"/>
      <c r="AA5" s="750"/>
      <c r="AB5" s="750"/>
      <c r="AC5" s="750"/>
      <c r="AD5" s="750"/>
      <c r="AE5" s="750"/>
      <c r="AF5" s="750"/>
      <c r="AG5" s="750"/>
      <c r="AH5" s="750"/>
      <c r="AI5" s="750"/>
      <c r="AJ5" s="750"/>
      <c r="AK5" s="750"/>
      <c r="AL5" s="750"/>
    </row>
    <row s="5386" customFormat="1" customHeight="1" ht="6">
      <c r="A6" s="2087"/>
      <c r="B6" s="2087"/>
      <c r="C6" s="2087"/>
      <c r="D6" s="2087"/>
      <c r="E6" s="2087"/>
      <c r="F6" s="2087"/>
      <c r="G6" s="752"/>
      <c r="H6" s="752"/>
      <c r="I6" s="752"/>
      <c r="J6" s="752"/>
      <c r="K6" s="752"/>
      <c r="N6" s="754"/>
      <c r="O6" s="1638"/>
      <c r="P6" s="1638"/>
      <c r="Q6" s="1638"/>
      <c r="R6" s="1638"/>
      <c r="S6" s="1638"/>
      <c r="T6" s="1638"/>
      <c r="U6" s="1480"/>
      <c r="V6" s="1480"/>
      <c r="W6" s="1480"/>
      <c r="X6" s="1480"/>
      <c r="Y6" s="754"/>
      <c r="Z6" s="754"/>
      <c r="AA6" s="754"/>
      <c r="AB6" s="754"/>
      <c r="AC6" s="754"/>
      <c r="AD6" s="754"/>
      <c r="AE6" s="754"/>
      <c r="AF6" s="754"/>
      <c r="AG6" s="754"/>
      <c r="AH6" s="754"/>
      <c r="AI6" s="754"/>
      <c r="AJ6" s="754"/>
      <c r="AK6" s="754"/>
      <c r="AL6" s="754"/>
    </row>
    <row customHeight="1" ht="45.75" hidden="1">
      <c r="E7" s="209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093"/>
      <c r="G7" s="2093"/>
      <c r="H7" s="2093"/>
      <c r="I7" s="2093"/>
      <c r="J7" s="2093"/>
      <c r="K7" s="2093"/>
      <c r="L7" s="2093"/>
      <c r="M7" s="2093"/>
    </row>
    <row s="5379" customFormat="1" customHeight="1" ht="6">
      <c r="A8" s="755"/>
      <c r="B8" s="755"/>
      <c r="C8" s="755"/>
      <c r="D8" s="755"/>
      <c r="E8" s="755"/>
      <c r="F8" s="755"/>
      <c r="G8" s="755"/>
      <c r="H8" s="755"/>
      <c r="I8" s="755"/>
      <c r="J8" s="755"/>
      <c r="K8" s="755"/>
      <c r="L8" s="755"/>
      <c r="M8" s="753"/>
      <c r="N8" s="750"/>
      <c r="O8" s="1044"/>
      <c r="P8" s="1044"/>
      <c r="Q8" s="1044"/>
      <c r="R8" s="1044"/>
      <c r="S8" s="1044"/>
      <c r="T8" s="1044"/>
      <c r="U8" s="1477"/>
      <c r="V8" s="1477"/>
      <c r="W8" s="1477"/>
      <c r="X8" s="1477"/>
      <c r="Y8" s="750"/>
      <c r="Z8" s="750"/>
      <c r="AA8" s="750"/>
      <c r="AB8" s="750"/>
      <c r="AC8" s="750"/>
      <c r="AD8" s="750"/>
      <c r="AE8" s="750"/>
      <c r="AF8" s="750"/>
      <c r="AG8" s="750"/>
      <c r="AH8" s="750"/>
      <c r="AI8" s="750"/>
      <c r="AJ8" s="750"/>
      <c r="AK8" s="750"/>
      <c r="AL8" s="750"/>
    </row>
    <row customHeight="1" ht="18">
      <c r="A9" s="2088"/>
      <c r="B9" s="470"/>
      <c r="C9" s="470"/>
      <c r="D9" s="2089" t="s">
        <v>114</v>
      </c>
      <c r="E9" s="2089"/>
      <c r="F9" s="2090" t="s">
        <v>115</v>
      </c>
      <c r="G9" s="2091"/>
      <c r="H9" s="2091"/>
      <c r="I9" s="2091"/>
      <c r="J9" s="2094" t="s">
        <v>116</v>
      </c>
      <c r="K9" s="2094"/>
      <c r="L9" s="2094"/>
      <c r="M9" s="2094"/>
    </row>
    <row customHeight="1" ht="22.5">
      <c r="A10" s="2088"/>
      <c r="B10" s="756"/>
      <c r="C10" s="689"/>
      <c r="D10" s="687" t="s">
        <v>87</v>
      </c>
      <c r="E10" s="687" t="s">
        <v>88</v>
      </c>
      <c r="F10" s="687" t="s">
        <v>117</v>
      </c>
      <c r="G10" s="2095" t="s">
        <v>87</v>
      </c>
      <c r="H10" s="2096"/>
      <c r="I10" s="687" t="s">
        <v>88</v>
      </c>
      <c r="J10" s="687" t="s">
        <v>117</v>
      </c>
      <c r="K10" s="2095" t="s">
        <v>87</v>
      </c>
      <c r="L10" s="2096"/>
      <c r="M10" s="687" t="s">
        <v>88</v>
      </c>
      <c r="N10" s="1867"/>
    </row>
    <row s="5408" customFormat="1" customHeight="1" ht="11.25" hidden="1">
      <c r="A11" s="757"/>
      <c r="B11" s="757"/>
      <c r="C11" s="757"/>
      <c r="D11" s="758" t="s">
        <v>118</v>
      </c>
      <c r="E11" s="758" t="s">
        <v>102</v>
      </c>
      <c r="F11" s="758" t="s">
        <v>89</v>
      </c>
      <c r="G11" s="2077" t="s">
        <v>90</v>
      </c>
      <c r="H11" s="2078"/>
      <c r="I11" s="758" t="s">
        <v>119</v>
      </c>
      <c r="J11" s="758" t="s">
        <v>91</v>
      </c>
      <c r="K11" s="2079" t="s">
        <v>92</v>
      </c>
      <c r="L11" s="2080"/>
      <c r="M11" s="758" t="s">
        <v>120</v>
      </c>
      <c r="N11" s="1866"/>
      <c r="O11" s="1637"/>
      <c r="P11" s="1639"/>
      <c r="Q11" s="1639"/>
      <c r="R11" s="1639"/>
      <c r="S11" s="1639"/>
      <c r="T11" s="1639"/>
      <c r="U11" s="1481"/>
      <c r="V11" s="1481"/>
      <c r="W11" s="1481"/>
      <c r="X11" s="1481"/>
      <c r="Y11" s="759"/>
      <c r="Z11" s="759"/>
      <c r="AA11" s="759"/>
      <c r="AB11" s="759"/>
      <c r="AC11" s="759"/>
      <c r="AD11" s="759"/>
      <c r="AE11" s="759"/>
      <c r="AF11" s="759"/>
      <c r="AG11" s="759"/>
      <c r="AH11" s="759"/>
      <c r="AI11" s="759"/>
      <c r="AJ11" s="759"/>
      <c r="AK11" s="759"/>
      <c r="AL11" s="759"/>
    </row>
    <row customHeight="1" ht="0.75">
      <c r="A12" s="761"/>
      <c r="B12" s="762"/>
      <c r="C12" s="762"/>
      <c r="D12" s="763"/>
      <c r="E12" s="519"/>
      <c r="F12" s="764"/>
      <c r="G12" s="1246"/>
      <c r="H12" s="1246"/>
      <c r="I12" s="764"/>
      <c r="J12" s="764"/>
      <c r="K12" s="309"/>
      <c r="L12" s="519"/>
      <c r="M12" s="765"/>
      <c r="N12" s="1867"/>
      <c r="O12" s="1637" t="s">
        <v>121</v>
      </c>
      <c r="P12" s="1637" t="s">
        <v>122</v>
      </c>
      <c r="Q12" s="1637" t="s">
        <v>123</v>
      </c>
      <c r="R12" s="1637" t="s">
        <v>124</v>
      </c>
    </row>
    <row s="5428" customFormat="1" customHeight="1" ht="15">
      <c r="A13" s="430"/>
      <c r="B13" s="430"/>
      <c r="C13" s="690"/>
      <c r="D13" s="2070" t="s">
        <v>118</v>
      </c>
      <c r="E13" s="2071" t="str">
        <f>INDEX(VD_NAME_LIST,MATCH("4189714",VD_ID_LIST,0))</f>
        <v>Водоотведение</v>
      </c>
      <c r="F13" s="2074" t="s">
        <v>66</v>
      </c>
      <c r="G13" s="2075"/>
      <c r="H13" s="2076">
        <v>1</v>
      </c>
      <c r="I13" s="2067" t="str">
        <f>IF(U13="","",INDEX(TERRITORY_MR_LIST,MATCH(U13,TERRITORY_LIST_ID,0)))</f>
        <v>Краснодарский край (тариф на водоотведение)  </v>
      </c>
      <c r="J13" s="2069" t="s">
        <v>56</v>
      </c>
      <c r="K13" s="766"/>
      <c r="L13" s="691" t="s">
        <v>118</v>
      </c>
      <c r="M13" s="767" t="s">
        <v>17</v>
      </c>
      <c r="N13" s="982"/>
      <c r="O13" s="1640" t="s">
        <v>125</v>
      </c>
      <c r="P13" s="1637" t="str">
        <f>$E$13</f>
        <v>Водоотведение</v>
      </c>
      <c r="Q13" s="1637" t="str">
        <f>IF($F$13="нет","без дифференциации",$I$13)</f>
        <v>Краснодарский край (тариф на водоотведение)  </v>
      </c>
      <c r="R13" s="1637" t="str">
        <f>IF($J$13="нет","без дифференциации",M13)</f>
        <v>без дифференциации</v>
      </c>
      <c r="S13" s="1640"/>
      <c r="T13" s="1640"/>
      <c r="U13" s="1482" t="s">
        <v>97</v>
      </c>
      <c r="V13" s="1482" t="s">
        <v>126</v>
      </c>
      <c r="W13" s="1482"/>
      <c r="X13" s="1482"/>
      <c r="Y13" s="768" t="s">
        <v>127</v>
      </c>
      <c r="Z13" s="768">
        <v>1705000</v>
      </c>
      <c r="AA13" s="768"/>
      <c r="AB13" s="768"/>
      <c r="AC13" s="768"/>
      <c r="AD13" s="768"/>
      <c r="AE13" s="768"/>
      <c r="AF13" s="768"/>
      <c r="AG13" s="768"/>
      <c r="AH13" s="768"/>
      <c r="AI13" s="768"/>
      <c r="AJ13" s="768"/>
      <c r="AK13" s="768"/>
      <c r="AL13" s="768"/>
    </row>
    <row s="5428" customFormat="1" customHeight="1" ht="15">
      <c r="A14" s="430"/>
      <c r="B14" s="430"/>
      <c r="C14" s="311"/>
      <c r="D14" s="2070"/>
      <c r="E14" s="2072"/>
      <c r="F14" s="2069"/>
      <c r="G14" s="2075"/>
      <c r="H14" s="2076"/>
      <c r="I14" s="2068"/>
      <c r="J14" s="2069"/>
      <c r="K14" s="584"/>
      <c r="L14" s="312"/>
      <c r="M14" s="771" t="s">
        <v>128</v>
      </c>
      <c r="N14" s="982"/>
      <c r="O14" s="1640"/>
      <c r="P14" s="1637"/>
      <c r="Q14" s="1637"/>
      <c r="R14" s="1637"/>
      <c r="S14" s="1640"/>
      <c r="T14" s="1640"/>
      <c r="U14" s="1482"/>
      <c r="V14" s="1482"/>
      <c r="W14" s="1482"/>
      <c r="X14" s="1482"/>
      <c r="Y14" s="768"/>
      <c r="Z14" s="768"/>
      <c r="AA14" s="768"/>
      <c r="AB14" s="768"/>
      <c r="AC14" s="768"/>
      <c r="AD14" s="768"/>
      <c r="AE14" s="768"/>
      <c r="AF14" s="768"/>
      <c r="AG14" s="768"/>
      <c r="AH14" s="768"/>
      <c r="AI14" s="768"/>
      <c r="AJ14" s="768"/>
      <c r="AK14" s="768"/>
      <c r="AL14" s="768"/>
    </row>
    <row s="5428" customFormat="1" customHeight="1" ht="15">
      <c r="A15" s="430"/>
      <c r="B15" s="430"/>
      <c r="C15" s="311"/>
      <c r="D15" s="2070"/>
      <c r="E15" s="2073"/>
      <c r="F15" s="2069"/>
      <c r="G15" s="1247"/>
      <c r="H15" s="1248"/>
      <c r="I15" s="744" t="s">
        <v>129</v>
      </c>
      <c r="J15" s="312"/>
      <c r="K15" s="312"/>
      <c r="L15" s="312"/>
      <c r="M15" s="772"/>
      <c r="N15" s="982"/>
      <c r="O15" s="1640"/>
      <c r="P15" s="1637"/>
      <c r="Q15" s="1637"/>
      <c r="R15" s="1637"/>
      <c r="S15" s="1640"/>
      <c r="T15" s="1640"/>
      <c r="U15" s="1482"/>
      <c r="V15" s="1482"/>
      <c r="W15" s="1482"/>
      <c r="X15" s="1482"/>
      <c r="Y15" s="768"/>
      <c r="Z15" s="768"/>
      <c r="AA15" s="768"/>
      <c r="AB15" s="768"/>
      <c r="AC15" s="768"/>
      <c r="AD15" s="768"/>
      <c r="AE15" s="768"/>
      <c r="AF15" s="768"/>
      <c r="AG15" s="768"/>
      <c r="AH15" s="768"/>
      <c r="AI15" s="768"/>
      <c r="AJ15" s="768"/>
      <c r="AK15" s="768"/>
      <c r="AL15" s="768"/>
    </row>
    <row customHeight="1" ht="15">
      <c r="A16" s="773"/>
      <c r="B16" s="268"/>
      <c r="C16" s="976"/>
      <c r="D16" s="584"/>
      <c r="E16" s="735" t="s">
        <v>130</v>
      </c>
      <c r="F16" s="312"/>
      <c r="G16" s="312"/>
      <c r="H16" s="312"/>
      <c r="I16" s="312"/>
      <c r="J16" s="312"/>
      <c r="K16" s="312" t="s">
        <v>17</v>
      </c>
      <c r="L16" s="312"/>
      <c r="M16" s="772"/>
      <c r="N16" s="1867"/>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AC0D93-F4F3-8621-835A-79523CB294C2}" mc:Ignorable="x14ac xr xr2 xr3">
  <sheetPr>
    <tabColor rgb="FFCCCCFF"/>
  </sheetPr>
  <dimension ref="A1:AQ130"/>
  <sheetViews>
    <sheetView topLeftCell="C4" showGridLines="0" zoomScale="90" workbookViewId="0">
      <selection activeCell="A1" sqref="A1"/>
    </sheetView>
  </sheetViews>
  <sheetFormatPr defaultColWidth="9.140625" customHeight="1" defaultRowHeight="11.25"/>
  <cols>
    <col min="1" max="2" style="5575" width="3.7109375" hidden="1" customWidth="1"/>
    <col min="3" max="3" style="5576" width="3.7109375" customWidth="1"/>
    <col min="4" max="4" style="5576" width="6.140625" customWidth="1"/>
    <col min="5" max="5" style="5576" width="43.140625" customWidth="1"/>
    <col min="6" max="6" style="5546" width="15.00390625" customWidth="1"/>
    <col min="7" max="7" style="5576" width="43.140625" customWidth="1"/>
    <col min="8" max="8" style="5576" width="3.7109375" customWidth="1"/>
    <col min="9" max="9" style="5576" width="5.421875" customWidth="1"/>
    <col min="10" max="10" style="5576" width="47.8515625" customWidth="1"/>
    <col min="11" max="12" style="5576" width="3.7109375" customWidth="1"/>
    <col min="13" max="13" style="5576" width="5.7109375" customWidth="1"/>
    <col min="14" max="14" style="5576" width="28.140625" customWidth="1"/>
    <col min="15" max="16" style="5576" width="3.7109375" customWidth="1"/>
    <col min="17" max="17" style="5576" width="5.7109375" customWidth="1"/>
    <col min="18" max="18" style="5576" width="34.421875" customWidth="1"/>
    <col min="19" max="20" style="5577" width="3.7109375" hidden="1" customWidth="1"/>
    <col min="21" max="21" style="5577" width="5.7109375" hidden="1" customWidth="1"/>
    <col min="22" max="22" style="5577" width="34.421875" hidden="1" customWidth="1"/>
    <col min="23" max="23" style="5576" width="30.7109375" customWidth="1"/>
    <col min="24" max="24" style="5576" width="3.7109375" customWidth="1"/>
    <col min="25" max="28" style="5578" width="9.8515625" hidden="1" customWidth="1"/>
    <col min="29" max="29" style="5489" width="16.8515625" hidden="1" customWidth="1"/>
    <col min="30" max="30" style="5489" width="10.57421875" hidden="1" customWidth="1"/>
    <col min="31" max="31" style="5489" width="10.7109375" hidden="1" customWidth="1"/>
    <col min="32" max="32" style="5489" width="10.00390625" hidden="1" customWidth="1"/>
    <col min="33" max="33" style="5489" width="12.8515625" hidden="1" customWidth="1"/>
    <col min="34" max="34" style="5489" width="10.28125" hidden="1" customWidth="1"/>
    <col min="35" max="35" style="5489" width="15.8515625" hidden="1" customWidth="1"/>
    <col min="36" max="36" style="5489" width="19.421875" hidden="1" customWidth="1"/>
    <col min="37" max="37" style="5489" width="11.00390625" hidden="1" customWidth="1"/>
    <col min="38" max="38" style="5489" width="23.57421875" hidden="1" customWidth="1"/>
    <col min="39" max="39" style="5489" width="23.8515625" hidden="1" customWidth="1"/>
    <col min="40" max="40" style="5489" width="25.28125" hidden="1" customWidth="1"/>
    <col min="41" max="41" style="5489" width="16.8515625" hidden="1" customWidth="1"/>
    <col min="42" max="42" style="5489" width="29.57421875" hidden="1" customWidth="1"/>
    <col min="43" max="43" style="5489" width="29.8515625" hidden="1" customWidth="1"/>
  </cols>
  <sheetData>
    <row customHeight="1" ht="11.25" hidden="1">
      <c r="A1" s="291"/>
    </row>
    <row customHeight="1" ht="11.25" hidden="1"/>
    <row customHeight="1" ht="11.25" hidden="1"/>
    <row customHeight="1" ht="3"/>
    <row s="5462" customFormat="1" customHeight="1" ht="39">
      <c r="A5" s="289"/>
      <c r="B5" s="289"/>
      <c r="D5" s="212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2124"/>
      <c r="F5" s="2124"/>
      <c r="G5" s="2124"/>
      <c r="H5" s="2124"/>
      <c r="I5" s="2124"/>
      <c r="J5" s="2125"/>
      <c r="K5" s="400"/>
      <c r="L5" s="275"/>
      <c r="M5" s="275"/>
      <c r="N5" s="275"/>
      <c r="O5" s="275"/>
      <c r="P5" s="275"/>
      <c r="Q5" s="275"/>
      <c r="R5" s="275"/>
      <c r="S5" s="427"/>
      <c r="T5" s="427"/>
      <c r="U5" s="427"/>
      <c r="V5" s="427"/>
      <c r="W5" s="275"/>
      <c r="Y5" s="1476"/>
      <c r="Z5" s="1476"/>
      <c r="AA5" s="1476"/>
      <c r="AB5" s="1476"/>
      <c r="AC5" s="289"/>
      <c r="AD5" s="289"/>
      <c r="AE5" s="289"/>
      <c r="AF5" s="289"/>
      <c r="AG5" s="289"/>
      <c r="AH5" s="289"/>
      <c r="AI5" s="289"/>
      <c r="AJ5" s="289"/>
      <c r="AK5" s="289"/>
      <c r="AL5" s="289"/>
      <c r="AM5" s="289"/>
      <c r="AN5" s="289"/>
      <c r="AO5" s="289"/>
      <c r="AP5" s="289"/>
      <c r="AQ5" s="289"/>
    </row>
    <row s="5379" customFormat="1" customHeight="1" ht="15">
      <c r="A6" s="749"/>
      <c r="B6" s="749"/>
      <c r="C6" s="749"/>
      <c r="D6" s="212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129"/>
      <c r="F6" s="2129"/>
      <c r="G6" s="2129"/>
      <c r="H6" s="2129"/>
      <c r="I6" s="2129"/>
      <c r="J6" s="2129"/>
      <c r="K6" s="750"/>
      <c r="L6" s="750"/>
      <c r="M6" s="750"/>
      <c r="N6" s="750"/>
      <c r="O6" s="1044"/>
      <c r="P6" s="1044"/>
      <c r="Q6" s="1044"/>
      <c r="R6" s="1044"/>
      <c r="S6" s="1044"/>
      <c r="T6" s="1044"/>
      <c r="U6" s="1044"/>
      <c r="V6" s="1044"/>
      <c r="W6" s="1044"/>
      <c r="X6" s="750"/>
      <c r="Y6" s="1477"/>
      <c r="Z6" s="1477"/>
      <c r="AA6" s="1477"/>
      <c r="AB6" s="1477"/>
      <c r="AC6" s="1044"/>
      <c r="AD6" s="1044"/>
      <c r="AE6" s="1044"/>
      <c r="AF6" s="1044"/>
      <c r="AG6" s="1044"/>
      <c r="AH6" s="1044"/>
      <c r="AI6" s="1044"/>
      <c r="AJ6" s="1044"/>
      <c r="AK6" s="1044"/>
      <c r="AL6" s="1044"/>
      <c r="AM6" s="1044"/>
      <c r="AN6" s="1044"/>
      <c r="AO6" s="1044"/>
      <c r="AP6" s="1044"/>
      <c r="AQ6" s="1044"/>
    </row>
    <row s="5472" customFormat="1" customHeight="1" ht="11.25">
      <c r="A7" s="346"/>
      <c r="B7" s="346"/>
      <c r="D7" s="2126"/>
      <c r="E7" s="2127"/>
      <c r="F7" s="2127"/>
      <c r="G7" s="2127"/>
      <c r="H7" s="2127"/>
      <c r="I7" s="2127"/>
      <c r="J7" s="2128"/>
      <c r="S7" s="436"/>
      <c r="T7" s="436"/>
      <c r="U7" s="436"/>
      <c r="V7" s="436"/>
      <c r="Y7" s="1478"/>
      <c r="Z7" s="1478"/>
      <c r="AA7" s="1478"/>
      <c r="AB7" s="1478"/>
      <c r="AC7" s="346"/>
      <c r="AD7" s="346"/>
      <c r="AE7" s="346"/>
      <c r="AF7" s="346"/>
      <c r="AG7" s="346"/>
      <c r="AH7" s="346"/>
      <c r="AI7" s="346"/>
      <c r="AJ7" s="346"/>
      <c r="AK7" s="346"/>
      <c r="AL7" s="346"/>
      <c r="AM7" s="346"/>
      <c r="AN7" s="346"/>
      <c r="AO7" s="346"/>
      <c r="AP7" s="346"/>
      <c r="AQ7" s="346"/>
    </row>
    <row s="5462" customFormat="1" customHeight="1" ht="0.75">
      <c r="A8" s="289"/>
      <c r="B8" s="289"/>
      <c r="D8" s="347"/>
      <c r="E8" s="347"/>
      <c r="F8" s="347"/>
      <c r="G8" s="347"/>
      <c r="H8" s="347"/>
      <c r="I8" s="347"/>
      <c r="J8" s="347"/>
      <c r="K8" s="347"/>
      <c r="L8" s="347"/>
      <c r="M8" s="347"/>
      <c r="N8" s="347"/>
      <c r="O8" s="347"/>
      <c r="P8" s="347"/>
      <c r="Q8" s="347"/>
      <c r="R8" s="347"/>
      <c r="S8" s="347"/>
      <c r="T8" s="347"/>
      <c r="U8" s="347"/>
      <c r="V8" s="347"/>
      <c r="W8" s="347"/>
      <c r="X8" s="264"/>
      <c r="Y8" s="1476"/>
      <c r="Z8" s="1476"/>
      <c r="AA8" s="1476"/>
      <c r="AB8" s="1476"/>
      <c r="AC8" s="289"/>
      <c r="AD8" s="289"/>
      <c r="AE8" s="289"/>
      <c r="AF8" s="289"/>
      <c r="AG8" s="289"/>
      <c r="AH8" s="289"/>
      <c r="AI8" s="289"/>
      <c r="AJ8" s="289"/>
      <c r="AK8" s="289"/>
      <c r="AL8" s="289"/>
      <c r="AM8" s="289"/>
      <c r="AN8" s="289"/>
      <c r="AO8" s="289"/>
      <c r="AP8" s="289"/>
      <c r="AQ8" s="289"/>
    </row>
    <row customHeight="1" ht="27">
      <c r="D9" s="2089" t="s">
        <v>87</v>
      </c>
      <c r="E9" s="2130" t="s">
        <v>131</v>
      </c>
      <c r="F9" s="2131"/>
      <c r="G9" s="2089" t="s">
        <v>114</v>
      </c>
      <c r="H9" s="2089" t="s">
        <v>87</v>
      </c>
      <c r="I9" s="2089"/>
      <c r="J9" s="2089" t="s">
        <v>132</v>
      </c>
      <c r="K9" s="2121" t="s">
        <v>133</v>
      </c>
      <c r="L9" s="2121"/>
      <c r="M9" s="2121"/>
      <c r="N9" s="2121"/>
      <c r="O9" s="2121" t="s">
        <v>134</v>
      </c>
      <c r="P9" s="2121"/>
      <c r="Q9" s="2121"/>
      <c r="R9" s="2121"/>
      <c r="S9" s="2121" t="s">
        <v>135</v>
      </c>
      <c r="T9" s="2121"/>
      <c r="U9" s="2121"/>
      <c r="V9" s="2121"/>
      <c r="W9" s="2089" t="s">
        <v>136</v>
      </c>
      <c r="Z9" s="1593"/>
      <c r="AA9" s="1593"/>
      <c r="AB9" s="1593"/>
    </row>
    <row customHeight="1" ht="30">
      <c r="D10" s="2089"/>
      <c r="E10" s="1501" t="s">
        <v>88</v>
      </c>
      <c r="F10" s="1501" t="s">
        <v>137</v>
      </c>
      <c r="G10" s="2089"/>
      <c r="H10" s="2089"/>
      <c r="I10" s="2089"/>
      <c r="J10" s="2089"/>
      <c r="K10" s="242" t="s">
        <v>117</v>
      </c>
      <c r="L10" s="2089" t="s">
        <v>87</v>
      </c>
      <c r="M10" s="2089"/>
      <c r="N10" s="242" t="s">
        <v>138</v>
      </c>
      <c r="O10" s="242" t="s">
        <v>117</v>
      </c>
      <c r="P10" s="2089" t="s">
        <v>87</v>
      </c>
      <c r="Q10" s="2089"/>
      <c r="R10" s="242" t="s">
        <v>138</v>
      </c>
      <c r="S10" s="420" t="s">
        <v>117</v>
      </c>
      <c r="T10" s="2089" t="s">
        <v>87</v>
      </c>
      <c r="U10" s="2089"/>
      <c r="V10" s="420" t="s">
        <v>88</v>
      </c>
      <c r="W10" s="2089"/>
      <c r="Z10" s="1593" t="s">
        <v>139</v>
      </c>
      <c r="AA10" s="1593" t="s">
        <v>140</v>
      </c>
      <c r="AB10" s="1593" t="s">
        <v>141</v>
      </c>
      <c r="AC10" s="412" t="s">
        <v>142</v>
      </c>
      <c r="AD10" s="412" t="s">
        <v>143</v>
      </c>
      <c r="AE10" s="412" t="s">
        <v>144</v>
      </c>
      <c r="AF10" s="412" t="s">
        <v>145</v>
      </c>
      <c r="AG10" s="412" t="s">
        <v>146</v>
      </c>
      <c r="AH10" s="412" t="s">
        <v>147</v>
      </c>
      <c r="AI10" s="412" t="s">
        <v>148</v>
      </c>
      <c r="AJ10" s="412" t="s">
        <v>149</v>
      </c>
      <c r="AK10" s="412" t="s">
        <v>150</v>
      </c>
      <c r="AL10" s="412" t="s">
        <v>151</v>
      </c>
      <c r="AM10" s="412" t="s">
        <v>152</v>
      </c>
      <c r="AN10" s="412" t="s">
        <v>153</v>
      </c>
      <c r="AO10" s="412" t="s">
        <v>154</v>
      </c>
      <c r="AP10" s="412" t="s">
        <v>155</v>
      </c>
      <c r="AQ10" s="412" t="s">
        <v>156</v>
      </c>
    </row>
    <row s="5489" customFormat="1" customHeight="1" ht="12" hidden="1">
      <c r="D11" s="1455" t="s">
        <v>118</v>
      </c>
      <c r="E11" s="1455" t="s">
        <v>102</v>
      </c>
      <c r="F11" s="1455"/>
      <c r="G11" s="1455" t="s">
        <v>89</v>
      </c>
      <c r="H11" s="2122" t="s">
        <v>119</v>
      </c>
      <c r="I11" s="2122"/>
      <c r="J11" s="1455" t="s">
        <v>91</v>
      </c>
      <c r="K11" s="1455" t="s">
        <v>92</v>
      </c>
      <c r="L11" s="2122" t="s">
        <v>120</v>
      </c>
      <c r="M11" s="2122"/>
      <c r="N11" s="1455" t="s">
        <v>157</v>
      </c>
      <c r="O11" s="1455" t="s">
        <v>158</v>
      </c>
      <c r="P11" s="2122" t="s">
        <v>159</v>
      </c>
      <c r="Q11" s="2122"/>
      <c r="R11" s="1455" t="s">
        <v>160</v>
      </c>
      <c r="S11" s="1455" t="s">
        <v>159</v>
      </c>
      <c r="T11" s="2122" t="s">
        <v>160</v>
      </c>
      <c r="U11" s="2122"/>
      <c r="V11" s="1455" t="s">
        <v>161</v>
      </c>
      <c r="W11" s="1455" t="s">
        <v>162</v>
      </c>
    </row>
    <row customHeight="1" ht="14.25" hidden="1">
      <c r="C12" s="344"/>
      <c r="D12" s="1499">
        <v>0</v>
      </c>
      <c r="E12" s="385"/>
      <c r="F12" s="385"/>
      <c r="G12" s="385"/>
      <c r="H12" s="386"/>
      <c r="I12" s="386"/>
      <c r="J12" s="293"/>
      <c r="K12" s="244"/>
      <c r="L12" s="293"/>
      <c r="M12" s="293"/>
      <c r="N12" s="387"/>
      <c r="O12" s="244"/>
      <c r="P12" s="293"/>
      <c r="Q12" s="293"/>
      <c r="R12" s="388"/>
      <c r="S12" s="421"/>
      <c r="T12" s="429"/>
      <c r="U12" s="429"/>
      <c r="V12" s="433"/>
      <c r="W12" s="244"/>
      <c r="X12" s="274"/>
    </row>
    <row s="5504" customFormat="1" customHeight="1" ht="17.25" hidden="1">
      <c r="A13" s="466"/>
      <c r="C13" s="344"/>
      <c r="D13" s="2105">
        <v>1</v>
      </c>
      <c r="E13" s="2107" t="s">
        <v>163</v>
      </c>
      <c r="F13" s="2109" t="s">
        <v>56</v>
      </c>
      <c r="G13" s="2112"/>
      <c r="H13" s="2114"/>
      <c r="I13" s="2116"/>
      <c r="J13" s="2118"/>
      <c r="K13" s="2102"/>
      <c r="L13" s="2097"/>
      <c r="M13" s="2097"/>
      <c r="N13" s="2099"/>
      <c r="O13" s="2102"/>
      <c r="P13" s="2097"/>
      <c r="Q13" s="2097"/>
      <c r="R13" s="2104"/>
      <c r="S13" s="2102"/>
      <c r="T13" s="1644"/>
      <c r="U13" s="1644"/>
      <c r="V13" s="1643"/>
      <c r="W13" s="1516"/>
      <c r="Y13" s="1483"/>
      <c r="Z13" s="1483"/>
      <c r="AA13" s="1483"/>
      <c r="AB13" s="1483"/>
      <c r="AC13" s="1565" t="s">
        <v>164</v>
      </c>
      <c r="AD13" s="1565" t="s">
        <v>165</v>
      </c>
      <c r="AE13" s="1565" t="s">
        <v>166</v>
      </c>
      <c r="AF13" s="1565" t="s">
        <v>167</v>
      </c>
      <c r="AG13" s="1565" t="s">
        <v>168</v>
      </c>
      <c r="AH13" s="1565"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565" t="str">
        <f>IF($G$13=0,"",$G$13)</f>
        <v/>
      </c>
      <c r="AJ13" s="1565" t="str">
        <f>IF($J$13=0,"",$J$13)</f>
        <v/>
      </c>
      <c r="AK13" s="1565" t="str">
        <f>IF($K$13="нет","без дифференциации",IF($N$13=0,"",$N$13))</f>
        <v/>
      </c>
      <c r="AL13" s="1565" t="str">
        <f>IF($O$13="нет","без дифференциации",IF($R$13=0,"",$R$13))</f>
        <v/>
      </c>
      <c r="AM13" s="1565" t="str">
        <f>IF($S$13="нет","без дифференциации",IF($V$13=0,"",$V$13))</f>
        <v/>
      </c>
      <c r="AN13" s="1565">
        <f>$I$13</f>
        <v>0</v>
      </c>
      <c r="AO13" s="1565" t="str">
        <f>$I$13&amp;"."&amp;$M$13</f>
        <v>.</v>
      </c>
      <c r="AP13" s="1565" t="str">
        <f>$I$13&amp;"."&amp;$M$13&amp;"."&amp;$Q$13</f>
        <v>..</v>
      </c>
      <c r="AQ13" s="1565" t="str">
        <f>$I$13&amp;"."&amp;$M$13&amp;"."&amp;$Q$13&amp;"."&amp;$U$13</f>
        <v>...</v>
      </c>
    </row>
    <row s="5504" customFormat="1" customHeight="1" ht="17.25" hidden="1">
      <c r="A14" s="466"/>
      <c r="C14" s="465"/>
      <c r="D14" s="2105"/>
      <c r="E14" s="2107"/>
      <c r="F14" s="2110"/>
      <c r="G14" s="2112"/>
      <c r="H14" s="2115"/>
      <c r="I14" s="2117"/>
      <c r="J14" s="2119"/>
      <c r="K14" s="2103"/>
      <c r="L14" s="2098"/>
      <c r="M14" s="2098"/>
      <c r="N14" s="2100"/>
      <c r="O14" s="2103"/>
      <c r="P14" s="2098"/>
      <c r="Q14" s="2098"/>
      <c r="R14" s="2101"/>
      <c r="S14" s="2103"/>
      <c r="T14" s="1517"/>
      <c r="U14" s="1517"/>
      <c r="V14" s="1517"/>
      <c r="W14" s="1518"/>
      <c r="Y14" s="1475"/>
      <c r="Z14" s="1475"/>
      <c r="AA14" s="1475"/>
      <c r="AB14" s="1475"/>
      <c r="AC14" s="412"/>
      <c r="AD14" s="412"/>
      <c r="AE14" s="412"/>
      <c r="AF14" s="412"/>
      <c r="AG14" s="412"/>
      <c r="AH14" s="412"/>
      <c r="AI14" s="412"/>
      <c r="AJ14" s="412"/>
      <c r="AK14" s="412"/>
      <c r="AL14" s="412"/>
      <c r="AM14" s="412"/>
      <c r="AN14" s="412"/>
      <c r="AO14" s="412"/>
      <c r="AP14" s="412"/>
      <c r="AQ14" s="412"/>
    </row>
    <row s="5534" customFormat="1" customHeight="1" ht="17.25" hidden="1">
      <c r="A15" s="466"/>
      <c r="C15" s="344"/>
      <c r="D15" s="2105"/>
      <c r="E15" s="2107"/>
      <c r="F15" s="2110"/>
      <c r="G15" s="2112"/>
      <c r="H15" s="2115"/>
      <c r="I15" s="2117"/>
      <c r="J15" s="2120"/>
      <c r="K15" s="2103"/>
      <c r="L15" s="2098"/>
      <c r="M15" s="2098"/>
      <c r="N15" s="2101"/>
      <c r="O15" s="2103"/>
      <c r="P15" s="1642"/>
      <c r="Q15" s="1517"/>
      <c r="R15" s="1517"/>
      <c r="S15" s="477"/>
      <c r="T15" s="477"/>
      <c r="U15" s="477"/>
      <c r="V15" s="477"/>
      <c r="W15" s="1518"/>
      <c r="Y15" s="1483"/>
      <c r="Z15" s="1483"/>
      <c r="AA15" s="1483"/>
      <c r="AB15" s="1483"/>
      <c r="AC15" s="1565" t="s">
        <v>164</v>
      </c>
      <c r="AD15" s="1565" t="s">
        <v>165</v>
      </c>
      <c r="AE15" s="1565" t="s">
        <v>166</v>
      </c>
      <c r="AF15" s="1565" t="s">
        <v>169</v>
      </c>
      <c r="AG15" s="1565" t="s">
        <v>170</v>
      </c>
      <c r="AH15" s="1565"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5" s="1565" t="str">
        <f>IF($G$13=0,"",$G$13)</f>
        <v/>
      </c>
      <c r="AJ15" s="1565" t="str">
        <f>IF($J$13=0,"",$J$13)</f>
        <v/>
      </c>
      <c r="AK15" s="1565" t="str">
        <f>IF($K$13="нет","без дифференциации",IF($N$13=0,"",$N$13))</f>
        <v/>
      </c>
      <c r="AL15" s="1565" t="str">
        <f>IF($O$15="нет","без дифференциации",IF($R$15=0,"",$R$15))</f>
        <v/>
      </c>
      <c r="AM15" s="1565" t="str">
        <f>IF($S$15="нет","без дифференциации",IF($V$15=0,"",$V$15))</f>
        <v/>
      </c>
      <c r="AN15" s="1565">
        <f>$I$13</f>
        <v>0</v>
      </c>
      <c r="AO15" s="1565" t="str">
        <f>$I$13&amp;"."&amp;$M$13</f>
        <v>.</v>
      </c>
      <c r="AP15" s="1565" t="str">
        <f>$I$13&amp;"."&amp;$M$13&amp;"."&amp;$Q$15</f>
        <v>..</v>
      </c>
      <c r="AQ15" s="1565" t="str">
        <f>$I$13&amp;"."&amp;$M$13&amp;"."&amp;$Q$15&amp;"."&amp;$U$15</f>
        <v>...</v>
      </c>
    </row>
    <row s="5534" customFormat="1" customHeight="1" ht="17.25" hidden="1">
      <c r="A16" s="466"/>
      <c r="C16" s="465"/>
      <c r="D16" s="2105"/>
      <c r="E16" s="2107"/>
      <c r="F16" s="2110"/>
      <c r="G16" s="2112"/>
      <c r="H16" s="2115"/>
      <c r="I16" s="2117"/>
      <c r="J16" s="2120"/>
      <c r="K16" s="2103"/>
      <c r="L16" s="1517"/>
      <c r="M16" s="1517"/>
      <c r="N16" s="1517"/>
      <c r="O16" s="1517"/>
      <c r="P16" s="1517"/>
      <c r="Q16" s="1517"/>
      <c r="R16" s="1517"/>
      <c r="S16" s="477"/>
      <c r="T16" s="477"/>
      <c r="U16" s="477"/>
      <c r="V16" s="477"/>
      <c r="W16" s="1518"/>
      <c r="Y16" s="1475"/>
      <c r="Z16" s="1475"/>
      <c r="AA16" s="1475"/>
      <c r="AB16" s="1475"/>
      <c r="AC16" s="412"/>
      <c r="AD16" s="412"/>
      <c r="AE16" s="412"/>
      <c r="AF16" s="412"/>
      <c r="AG16" s="412"/>
      <c r="AH16" s="412"/>
      <c r="AI16" s="412"/>
      <c r="AJ16" s="412"/>
      <c r="AK16" s="412"/>
      <c r="AL16" s="412"/>
      <c r="AM16" s="412"/>
      <c r="AN16" s="412"/>
      <c r="AO16" s="412"/>
      <c r="AP16" s="412"/>
      <c r="AQ16" s="412"/>
    </row>
    <row s="5504" customFormat="1" customHeight="1" ht="17.25" hidden="1">
      <c r="A17" s="466"/>
      <c r="C17" s="465"/>
      <c r="D17" s="2106"/>
      <c r="E17" s="2108"/>
      <c r="F17" s="2111"/>
      <c r="G17" s="2113"/>
      <c r="H17" s="1520"/>
      <c r="I17" s="1521"/>
      <c r="J17" s="1521"/>
      <c r="K17" s="1521"/>
      <c r="L17" s="1521"/>
      <c r="M17" s="1521"/>
      <c r="N17" s="1521"/>
      <c r="O17" s="1521"/>
      <c r="P17" s="1521"/>
      <c r="Q17" s="1521"/>
      <c r="R17" s="1521"/>
      <c r="S17" s="1522"/>
      <c r="T17" s="1522"/>
      <c r="U17" s="1522"/>
      <c r="V17" s="1522"/>
      <c r="W17" s="1523"/>
      <c r="Y17" s="1475"/>
      <c r="Z17" s="1475"/>
      <c r="AA17" s="1475"/>
      <c r="AB17" s="1475"/>
      <c r="AC17" s="412"/>
      <c r="AD17" s="412"/>
      <c r="AE17" s="412"/>
      <c r="AF17" s="412"/>
      <c r="AG17" s="412"/>
      <c r="AH17" s="412"/>
      <c r="AI17" s="412"/>
      <c r="AJ17" s="412"/>
      <c r="AK17" s="412"/>
      <c r="AL17" s="412"/>
      <c r="AM17" s="412"/>
      <c r="AN17" s="412"/>
      <c r="AO17" s="412"/>
      <c r="AP17" s="412"/>
      <c r="AQ17" s="412"/>
    </row>
    <row s="5546" customFormat="1" customHeight="1" ht="17.25" hidden="1">
      <c r="A18" s="466"/>
      <c r="C18" s="344"/>
      <c r="D18" s="2105">
        <v>2</v>
      </c>
      <c r="E18" s="2107" t="s">
        <v>171</v>
      </c>
      <c r="F18" s="2109" t="s">
        <v>56</v>
      </c>
      <c r="G18" s="2112"/>
      <c r="H18" s="2114"/>
      <c r="I18" s="2116"/>
      <c r="J18" s="2118"/>
      <c r="K18" s="2102"/>
      <c r="L18" s="2097"/>
      <c r="M18" s="2097"/>
      <c r="N18" s="2099"/>
      <c r="O18" s="2102"/>
      <c r="P18" s="2097"/>
      <c r="Q18" s="2097"/>
      <c r="R18" s="2104"/>
      <c r="S18" s="2102"/>
      <c r="T18" s="1644"/>
      <c r="U18" s="1644"/>
      <c r="V18" s="1643"/>
      <c r="W18" s="1516"/>
      <c r="X18" s="1483"/>
      <c r="Y18" s="1483"/>
      <c r="Z18" s="1483"/>
      <c r="AA18" s="1483"/>
      <c r="AB18" s="1483"/>
      <c r="AC18" s="1565" t="s">
        <v>172</v>
      </c>
      <c r="AD18" s="1565" t="s">
        <v>173</v>
      </c>
      <c r="AE18" s="1565" t="s">
        <v>174</v>
      </c>
      <c r="AF18" s="1565" t="s">
        <v>175</v>
      </c>
      <c r="AG18" s="1565" t="s">
        <v>176</v>
      </c>
      <c r="AH18" s="1565" t="str">
        <f>IF($E$18=0,"",$E$18)</f>
        <v>Тарифы на тепловую энергию (мощность), поставляемую теплоснабжающими организациями потребителям, другим теплоснабжающим организациям</v>
      </c>
      <c r="AI18" s="1565" t="str">
        <f>IF($G$18=0,"",$G$18)</f>
        <v/>
      </c>
      <c r="AJ18" s="1565" t="str">
        <f>IF($J$18=0,"",$J$18)</f>
        <v/>
      </c>
      <c r="AK18" s="1565" t="str">
        <f>IF($K$18="нет","без дифференциации",IF($N$18=0,"",$N$18))</f>
        <v/>
      </c>
      <c r="AL18" s="1565" t="str">
        <f>IF($O$18="нет","без дифференциации",IF($R$18=0,"",$R$18))</f>
        <v/>
      </c>
      <c r="AM18" s="1565" t="str">
        <f>IF($S$18="нет","без дифференциации",IF($V$18=0,"",$V$18))</f>
        <v/>
      </c>
      <c r="AN18" s="1744">
        <f>$I$18</f>
        <v>0</v>
      </c>
      <c r="AO18" s="1565" t="str">
        <f>$I$18&amp;"."&amp;$M$18</f>
        <v>.</v>
      </c>
      <c r="AP18" s="412" t="str">
        <f>$I$18&amp;"."&amp;$M$18&amp;"."&amp;$Q$18</f>
        <v>..</v>
      </c>
      <c r="AQ18" s="412" t="str">
        <f>$I$18&amp;"."&amp;$M$18&amp;"."&amp;$Q$18&amp;"."&amp;$U$18</f>
        <v>...</v>
      </c>
    </row>
    <row s="5546" customFormat="1" customHeight="1" ht="17.25" hidden="1">
      <c r="A19" s="466"/>
      <c r="C19" s="465"/>
      <c r="D19" s="2105"/>
      <c r="E19" s="2107"/>
      <c r="F19" s="2110"/>
      <c r="G19" s="2112"/>
      <c r="H19" s="2115"/>
      <c r="I19" s="2117"/>
      <c r="J19" s="2119"/>
      <c r="K19" s="2103"/>
      <c r="L19" s="2098"/>
      <c r="M19" s="2098"/>
      <c r="N19" s="2100"/>
      <c r="O19" s="2103"/>
      <c r="P19" s="2098"/>
      <c r="Q19" s="2098"/>
      <c r="R19" s="2101"/>
      <c r="S19" s="2103"/>
      <c r="T19" s="1517"/>
      <c r="U19" s="1517"/>
      <c r="V19" s="1517"/>
      <c r="W19" s="1518"/>
      <c r="X19" s="1475"/>
      <c r="Y19" s="1475"/>
      <c r="Z19" s="1475"/>
      <c r="AA19" s="1475"/>
      <c r="AB19" s="1475"/>
      <c r="AC19" s="412"/>
      <c r="AD19" s="412"/>
      <c r="AE19" s="412"/>
      <c r="AF19" s="412"/>
      <c r="AG19" s="412"/>
      <c r="AH19" s="412"/>
      <c r="AI19" s="412"/>
      <c r="AJ19" s="412"/>
      <c r="AK19" s="412"/>
      <c r="AL19" s="412"/>
      <c r="AM19" s="412"/>
      <c r="AN19" s="412"/>
      <c r="AO19" s="412"/>
      <c r="AP19" s="412"/>
      <c r="AQ19" s="412"/>
    </row>
    <row s="5546" customFormat="1" customHeight="1" ht="17.25" hidden="1">
      <c r="A20" s="466"/>
      <c r="C20" s="465"/>
      <c r="D20" s="2106"/>
      <c r="E20" s="2108"/>
      <c r="F20" s="2110"/>
      <c r="G20" s="2113"/>
      <c r="H20" s="2115"/>
      <c r="I20" s="2117"/>
      <c r="J20" s="2120"/>
      <c r="K20" s="2103"/>
      <c r="L20" s="2098"/>
      <c r="M20" s="2098"/>
      <c r="N20" s="2101"/>
      <c r="O20" s="2103"/>
      <c r="P20" s="1642"/>
      <c r="Q20" s="1517"/>
      <c r="R20" s="1517"/>
      <c r="S20" s="477"/>
      <c r="T20" s="477"/>
      <c r="U20" s="477"/>
      <c r="V20" s="477"/>
      <c r="W20" s="1518"/>
      <c r="X20" s="1475"/>
      <c r="Y20" s="1475"/>
      <c r="Z20" s="1475"/>
      <c r="AA20" s="1475"/>
      <c r="AB20" s="1475"/>
      <c r="AC20" s="412"/>
      <c r="AD20" s="412"/>
      <c r="AE20" s="412"/>
      <c r="AF20" s="412"/>
      <c r="AG20" s="412"/>
      <c r="AH20" s="412"/>
      <c r="AI20" s="412"/>
      <c r="AJ20" s="412"/>
      <c r="AK20" s="412"/>
      <c r="AL20" s="412"/>
      <c r="AM20" s="412"/>
      <c r="AN20" s="412"/>
      <c r="AO20" s="412"/>
      <c r="AP20" s="412"/>
      <c r="AQ20" s="412"/>
    </row>
    <row s="5546" customFormat="1" customHeight="1" ht="17.25" hidden="1">
      <c r="A21" s="466"/>
      <c r="C21" s="465"/>
      <c r="D21" s="2106"/>
      <c r="E21" s="2108"/>
      <c r="F21" s="2110"/>
      <c r="G21" s="2113"/>
      <c r="H21" s="2115"/>
      <c r="I21" s="2117"/>
      <c r="J21" s="2120"/>
      <c r="K21" s="2103"/>
      <c r="L21" s="1517"/>
      <c r="M21" s="1517"/>
      <c r="N21" s="1517"/>
      <c r="O21" s="1517"/>
      <c r="P21" s="1517"/>
      <c r="Q21" s="1517"/>
      <c r="R21" s="1517"/>
      <c r="S21" s="477"/>
      <c r="T21" s="477"/>
      <c r="U21" s="477"/>
      <c r="V21" s="477"/>
      <c r="W21" s="1518"/>
      <c r="X21" s="1475"/>
      <c r="Y21" s="1475"/>
      <c r="Z21" s="1475"/>
      <c r="AA21" s="1475"/>
      <c r="AB21" s="1475"/>
      <c r="AC21" s="412"/>
      <c r="AD21" s="412"/>
      <c r="AE21" s="412"/>
      <c r="AF21" s="412"/>
      <c r="AG21" s="412"/>
      <c r="AH21" s="412"/>
      <c r="AI21" s="412"/>
      <c r="AJ21" s="412"/>
      <c r="AK21" s="412"/>
      <c r="AL21" s="412"/>
      <c r="AM21" s="412"/>
      <c r="AN21" s="412"/>
      <c r="AO21" s="412"/>
      <c r="AP21" s="412"/>
      <c r="AQ21" s="412"/>
    </row>
    <row s="5546" customFormat="1" customHeight="1" ht="17.25" hidden="1">
      <c r="A22" s="466"/>
      <c r="C22" s="465"/>
      <c r="D22" s="2106"/>
      <c r="E22" s="2108"/>
      <c r="F22" s="2111"/>
      <c r="G22" s="2113"/>
      <c r="H22" s="1520"/>
      <c r="I22" s="1521"/>
      <c r="J22" s="1521"/>
      <c r="K22" s="1521"/>
      <c r="L22" s="1521"/>
      <c r="M22" s="1521"/>
      <c r="N22" s="1521"/>
      <c r="O22" s="1521"/>
      <c r="P22" s="1521"/>
      <c r="Q22" s="1521"/>
      <c r="R22" s="1521"/>
      <c r="S22" s="1522"/>
      <c r="T22" s="1522"/>
      <c r="U22" s="1522"/>
      <c r="V22" s="1522"/>
      <c r="W22" s="1523"/>
      <c r="X22" s="1475"/>
      <c r="Y22" s="1475"/>
      <c r="Z22" s="1475"/>
      <c r="AA22" s="1475"/>
      <c r="AB22" s="1475"/>
      <c r="AC22" s="412"/>
      <c r="AD22" s="412"/>
      <c r="AE22" s="412"/>
      <c r="AF22" s="412"/>
      <c r="AG22" s="412"/>
      <c r="AH22" s="412"/>
      <c r="AI22" s="412"/>
      <c r="AJ22" s="412"/>
      <c r="AK22" s="412"/>
      <c r="AL22" s="412"/>
      <c r="AM22" s="412"/>
      <c r="AN22" s="412"/>
      <c r="AO22" s="412"/>
      <c r="AP22" s="412"/>
      <c r="AQ22" s="412"/>
    </row>
    <row s="5546" customFormat="1" customHeight="1" ht="17.25" hidden="1">
      <c r="A23" s="466"/>
      <c r="C23" s="344"/>
      <c r="D23" s="2105">
        <v>3</v>
      </c>
      <c r="E23" s="2107" t="s">
        <v>177</v>
      </c>
      <c r="F23" s="2109" t="s">
        <v>56</v>
      </c>
      <c r="G23" s="2112"/>
      <c r="H23" s="2114"/>
      <c r="I23" s="2116"/>
      <c r="J23" s="2118"/>
      <c r="K23" s="2102"/>
      <c r="L23" s="2097"/>
      <c r="M23" s="2097"/>
      <c r="N23" s="2099"/>
      <c r="O23" s="2102"/>
      <c r="P23" s="2097"/>
      <c r="Q23" s="2097"/>
      <c r="R23" s="2104"/>
      <c r="S23" s="2102"/>
      <c r="T23" s="1644"/>
      <c r="U23" s="1644"/>
      <c r="V23" s="1643"/>
      <c r="W23" s="1516"/>
      <c r="X23" s="1483"/>
      <c r="Y23" s="1483"/>
      <c r="Z23" s="1483"/>
      <c r="AA23" s="1483"/>
      <c r="AB23" s="1483"/>
      <c r="AC23" s="1565" t="s">
        <v>178</v>
      </c>
      <c r="AD23" s="1565" t="s">
        <v>179</v>
      </c>
      <c r="AE23" s="1565" t="s">
        <v>180</v>
      </c>
      <c r="AF23" s="1565" t="s">
        <v>181</v>
      </c>
      <c r="AG23" s="1565" t="s">
        <v>182</v>
      </c>
      <c r="AH23" s="1565" t="str">
        <f>IF($E$23=0,"",$E$23)</f>
        <v>Тарифы на теплоноситель, поставляемый теплоснабжающими организациями потребителям, другим теплоснабжающим организациям</v>
      </c>
      <c r="AI23" s="1565" t="str">
        <f>IF($G$23=0,"",$G$23)</f>
        <v/>
      </c>
      <c r="AJ23" s="1565" t="str">
        <f>IF($J$23=0,"",$J$23)</f>
        <v/>
      </c>
      <c r="AK23" s="1565" t="str">
        <f>IF($K$23="нет","без дифференциации",IF($N$23=0,"",$N$23))</f>
        <v/>
      </c>
      <c r="AL23" s="1565" t="str">
        <f>IF($O$23="нет","без дифференциации",IF($R$23=0,"",$R$23))</f>
        <v/>
      </c>
      <c r="AM23" s="1565" t="str">
        <f>IF($S$23="нет","без дифференциации",IF($V$23=0,"",$V$23))</f>
        <v/>
      </c>
      <c r="AN23" s="1744">
        <f>$I$23</f>
        <v>0</v>
      </c>
      <c r="AO23" s="1565" t="str">
        <f>$I$23&amp;"."&amp;$M$23</f>
        <v>.</v>
      </c>
      <c r="AP23" s="412" t="str">
        <f>$I$23&amp;"."&amp;$M$23&amp;"."&amp;$Q$23</f>
        <v>..</v>
      </c>
      <c r="AQ23" s="412" t="str">
        <f>$I$23&amp;"."&amp;$M$23&amp;"."&amp;$Q$23&amp;"."&amp;$U$23</f>
        <v>...</v>
      </c>
    </row>
    <row s="5546" customFormat="1" customHeight="1" ht="17.25" hidden="1">
      <c r="A24" s="466"/>
      <c r="C24" s="465"/>
      <c r="D24" s="2105"/>
      <c r="E24" s="2107"/>
      <c r="F24" s="2110"/>
      <c r="G24" s="2112"/>
      <c r="H24" s="2115"/>
      <c r="I24" s="2117"/>
      <c r="J24" s="2119"/>
      <c r="K24" s="2103"/>
      <c r="L24" s="2098"/>
      <c r="M24" s="2098"/>
      <c r="N24" s="2100"/>
      <c r="O24" s="2103"/>
      <c r="P24" s="2098"/>
      <c r="Q24" s="2098"/>
      <c r="R24" s="2101"/>
      <c r="S24" s="2103"/>
      <c r="T24" s="1517"/>
      <c r="U24" s="1517"/>
      <c r="V24" s="1517"/>
      <c r="W24" s="1518"/>
      <c r="X24" s="1475"/>
      <c r="Y24" s="1475"/>
      <c r="Z24" s="1475"/>
      <c r="AA24" s="1475"/>
      <c r="AB24" s="1475"/>
      <c r="AC24" s="412"/>
      <c r="AD24" s="412"/>
      <c r="AE24" s="412"/>
      <c r="AF24" s="412"/>
      <c r="AG24" s="412"/>
      <c r="AH24" s="412"/>
      <c r="AI24" s="412"/>
      <c r="AJ24" s="412"/>
      <c r="AK24" s="412"/>
      <c r="AL24" s="412"/>
      <c r="AM24" s="412"/>
      <c r="AN24" s="412"/>
      <c r="AO24" s="412"/>
      <c r="AP24" s="412"/>
      <c r="AQ24" s="412"/>
    </row>
    <row s="5546" customFormat="1" customHeight="1" ht="17.25" hidden="1">
      <c r="A25" s="466"/>
      <c r="C25" s="465"/>
      <c r="D25" s="2106"/>
      <c r="E25" s="2108"/>
      <c r="F25" s="2110"/>
      <c r="G25" s="2113"/>
      <c r="H25" s="2115"/>
      <c r="I25" s="2117"/>
      <c r="J25" s="2120"/>
      <c r="K25" s="2103"/>
      <c r="L25" s="2098"/>
      <c r="M25" s="2098"/>
      <c r="N25" s="2101"/>
      <c r="O25" s="2103"/>
      <c r="P25" s="1642"/>
      <c r="Q25" s="1517"/>
      <c r="R25" s="1517"/>
      <c r="S25" s="477"/>
      <c r="T25" s="477"/>
      <c r="U25" s="477"/>
      <c r="V25" s="477"/>
      <c r="W25" s="1518"/>
      <c r="X25" s="1475"/>
      <c r="Y25" s="1475"/>
      <c r="Z25" s="1475"/>
      <c r="AA25" s="1475"/>
      <c r="AB25" s="1475"/>
      <c r="AC25" s="412"/>
      <c r="AD25" s="412"/>
      <c r="AE25" s="412"/>
      <c r="AF25" s="412"/>
      <c r="AG25" s="412"/>
      <c r="AH25" s="412"/>
      <c r="AI25" s="412"/>
      <c r="AJ25" s="412"/>
      <c r="AK25" s="412"/>
      <c r="AL25" s="412"/>
      <c r="AM25" s="412"/>
      <c r="AN25" s="412"/>
      <c r="AO25" s="412"/>
      <c r="AP25" s="412"/>
      <c r="AQ25" s="412"/>
    </row>
    <row s="5546" customFormat="1" customHeight="1" ht="17.25" hidden="1">
      <c r="A26" s="466"/>
      <c r="C26" s="465"/>
      <c r="D26" s="2106"/>
      <c r="E26" s="2108"/>
      <c r="F26" s="2110"/>
      <c r="G26" s="2113"/>
      <c r="H26" s="2115"/>
      <c r="I26" s="2117"/>
      <c r="J26" s="2120"/>
      <c r="K26" s="2103"/>
      <c r="L26" s="1517"/>
      <c r="M26" s="1517"/>
      <c r="N26" s="1517"/>
      <c r="O26" s="1517"/>
      <c r="P26" s="1517"/>
      <c r="Q26" s="1517"/>
      <c r="R26" s="1517"/>
      <c r="S26" s="477"/>
      <c r="T26" s="477"/>
      <c r="U26" s="477"/>
      <c r="V26" s="477"/>
      <c r="W26" s="1518"/>
      <c r="X26" s="1475"/>
      <c r="Y26" s="1475"/>
      <c r="Z26" s="1475"/>
      <c r="AA26" s="1475"/>
      <c r="AB26" s="1475"/>
      <c r="AC26" s="412"/>
      <c r="AD26" s="412"/>
      <c r="AE26" s="412"/>
      <c r="AF26" s="412"/>
      <c r="AG26" s="412"/>
      <c r="AH26" s="412"/>
      <c r="AI26" s="412"/>
      <c r="AJ26" s="412"/>
      <c r="AK26" s="412"/>
      <c r="AL26" s="412"/>
      <c r="AM26" s="412"/>
      <c r="AN26" s="412"/>
      <c r="AO26" s="412"/>
      <c r="AP26" s="412"/>
      <c r="AQ26" s="412"/>
    </row>
    <row s="5546" customFormat="1" customHeight="1" ht="17.25" hidden="1">
      <c r="A27" s="466"/>
      <c r="C27" s="465"/>
      <c r="D27" s="2106"/>
      <c r="E27" s="2108"/>
      <c r="F27" s="2111"/>
      <c r="G27" s="2113"/>
      <c r="H27" s="1520"/>
      <c r="I27" s="1521"/>
      <c r="J27" s="1521"/>
      <c r="K27" s="1521"/>
      <c r="L27" s="1521"/>
      <c r="M27" s="1521"/>
      <c r="N27" s="1521"/>
      <c r="O27" s="1521"/>
      <c r="P27" s="1521"/>
      <c r="Q27" s="1521"/>
      <c r="R27" s="1521"/>
      <c r="S27" s="1522"/>
      <c r="T27" s="1522"/>
      <c r="U27" s="1522"/>
      <c r="V27" s="1522"/>
      <c r="W27" s="1523"/>
      <c r="X27" s="1475"/>
      <c r="Y27" s="1475"/>
      <c r="Z27" s="1475"/>
      <c r="AA27" s="1475"/>
      <c r="AB27" s="1475"/>
      <c r="AC27" s="412"/>
      <c r="AD27" s="412"/>
      <c r="AE27" s="412"/>
      <c r="AF27" s="412"/>
      <c r="AG27" s="412"/>
      <c r="AH27" s="412"/>
      <c r="AI27" s="412"/>
      <c r="AJ27" s="412"/>
      <c r="AK27" s="412"/>
      <c r="AL27" s="412"/>
      <c r="AM27" s="412"/>
      <c r="AN27" s="412"/>
      <c r="AO27" s="412"/>
      <c r="AP27" s="412"/>
      <c r="AQ27" s="412"/>
    </row>
    <row s="5546" customFormat="1" customHeight="1" ht="17.25" hidden="1">
      <c r="A28" s="466"/>
      <c r="C28" s="344"/>
      <c r="D28" s="2105">
        <v>4</v>
      </c>
      <c r="E28" s="2107" t="s">
        <v>183</v>
      </c>
      <c r="F28" s="2109" t="s">
        <v>56</v>
      </c>
      <c r="G28" s="2112"/>
      <c r="H28" s="2114"/>
      <c r="I28" s="2116"/>
      <c r="J28" s="2118"/>
      <c r="K28" s="2102"/>
      <c r="L28" s="2097"/>
      <c r="M28" s="2097"/>
      <c r="N28" s="2099"/>
      <c r="O28" s="2102"/>
      <c r="P28" s="2097"/>
      <c r="Q28" s="2097"/>
      <c r="R28" s="2104"/>
      <c r="S28" s="2102"/>
      <c r="T28" s="1644"/>
      <c r="U28" s="1644"/>
      <c r="V28" s="1643"/>
      <c r="W28" s="1516"/>
      <c r="X28" s="1483"/>
      <c r="Y28" s="1483"/>
      <c r="Z28" s="1483"/>
      <c r="AA28" s="1483"/>
      <c r="AB28" s="1483"/>
      <c r="AC28" s="1565" t="s">
        <v>184</v>
      </c>
      <c r="AD28" s="1565" t="s">
        <v>185</v>
      </c>
      <c r="AE28" s="1565" t="s">
        <v>186</v>
      </c>
      <c r="AF28" s="1565" t="s">
        <v>187</v>
      </c>
      <c r="AG28" s="1565" t="s">
        <v>188</v>
      </c>
      <c r="AH28" s="1565"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565" t="str">
        <f>IF($G$28=0,"",$G$28)</f>
        <v/>
      </c>
      <c r="AJ28" s="1565" t="str">
        <f>IF($J$28=0,"",$J$28)</f>
        <v/>
      </c>
      <c r="AK28" s="1565" t="str">
        <f>IF($K$28="нет","без дифференциации",IF($N$28=0,"",$N$28))</f>
        <v/>
      </c>
      <c r="AL28" s="1565" t="str">
        <f>IF($O$28="нет","без дифференциации",IF($R$28=0,"",$R$28))</f>
        <v/>
      </c>
      <c r="AM28" s="1565" t="str">
        <f>IF($S$28="нет","без дифференциации",IF($V$28=0,"",$V$28))</f>
        <v/>
      </c>
      <c r="AN28" s="1744">
        <f>$I$28</f>
        <v>0</v>
      </c>
      <c r="AO28" s="1565" t="str">
        <f>$I$28&amp;"."&amp;$M$28</f>
        <v>.</v>
      </c>
      <c r="AP28" s="412" t="str">
        <f>$I$28&amp;"."&amp;$M$28&amp;"."&amp;$Q$28</f>
        <v>..</v>
      </c>
      <c r="AQ28" s="412" t="str">
        <f>$I$28&amp;"."&amp;$M$28&amp;"."&amp;$Q$28&amp;"."&amp;$U$28</f>
        <v>...</v>
      </c>
    </row>
    <row s="5546" customFormat="1" customHeight="1" ht="17.25" hidden="1">
      <c r="A29" s="466"/>
      <c r="C29" s="465"/>
      <c r="D29" s="2105"/>
      <c r="E29" s="2107"/>
      <c r="F29" s="2110"/>
      <c r="G29" s="2112"/>
      <c r="H29" s="2115"/>
      <c r="I29" s="2117"/>
      <c r="J29" s="2119"/>
      <c r="K29" s="2103"/>
      <c r="L29" s="2098"/>
      <c r="M29" s="2098"/>
      <c r="N29" s="2100"/>
      <c r="O29" s="2103"/>
      <c r="P29" s="2098"/>
      <c r="Q29" s="2098"/>
      <c r="R29" s="2101"/>
      <c r="S29" s="2103"/>
      <c r="T29" s="1517"/>
      <c r="U29" s="1517"/>
      <c r="V29" s="1517"/>
      <c r="W29" s="1518"/>
      <c r="X29" s="1475"/>
      <c r="Y29" s="1475"/>
      <c r="Z29" s="1475"/>
      <c r="AA29" s="1475"/>
      <c r="AB29" s="1475"/>
      <c r="AC29" s="412"/>
      <c r="AD29" s="412"/>
      <c r="AE29" s="412"/>
      <c r="AF29" s="412"/>
      <c r="AG29" s="412"/>
      <c r="AH29" s="412"/>
      <c r="AI29" s="412"/>
      <c r="AJ29" s="412"/>
      <c r="AK29" s="412"/>
      <c r="AL29" s="412"/>
      <c r="AM29" s="412"/>
      <c r="AN29" s="412"/>
      <c r="AO29" s="412"/>
      <c r="AP29" s="412"/>
      <c r="AQ29" s="412"/>
    </row>
    <row s="5546" customFormat="1" customHeight="1" ht="17.25" hidden="1">
      <c r="A30" s="466"/>
      <c r="C30" s="465"/>
      <c r="D30" s="2106"/>
      <c r="E30" s="2108"/>
      <c r="F30" s="2110"/>
      <c r="G30" s="2113"/>
      <c r="H30" s="2115"/>
      <c r="I30" s="2117"/>
      <c r="J30" s="2120"/>
      <c r="K30" s="2103"/>
      <c r="L30" s="2098"/>
      <c r="M30" s="2098"/>
      <c r="N30" s="2101"/>
      <c r="O30" s="2103"/>
      <c r="P30" s="1642"/>
      <c r="Q30" s="1517"/>
      <c r="R30" s="1517"/>
      <c r="S30" s="477"/>
      <c r="T30" s="477"/>
      <c r="U30" s="477"/>
      <c r="V30" s="477"/>
      <c r="W30" s="1518"/>
      <c r="X30" s="1475"/>
      <c r="Y30" s="1475"/>
      <c r="Z30" s="1475"/>
      <c r="AA30" s="1475"/>
      <c r="AB30" s="1475"/>
      <c r="AC30" s="412"/>
      <c r="AD30" s="412"/>
      <c r="AE30" s="412"/>
      <c r="AF30" s="412"/>
      <c r="AG30" s="412"/>
      <c r="AH30" s="412"/>
      <c r="AI30" s="412"/>
      <c r="AJ30" s="412"/>
      <c r="AK30" s="412"/>
      <c r="AL30" s="412"/>
      <c r="AM30" s="412"/>
      <c r="AN30" s="412"/>
      <c r="AO30" s="412"/>
      <c r="AP30" s="412"/>
      <c r="AQ30" s="412"/>
    </row>
    <row s="5546" customFormat="1" customHeight="1" ht="17.25" hidden="1">
      <c r="A31" s="466"/>
      <c r="C31" s="465"/>
      <c r="D31" s="2106"/>
      <c r="E31" s="2108"/>
      <c r="F31" s="2110"/>
      <c r="G31" s="2113"/>
      <c r="H31" s="2115"/>
      <c r="I31" s="2117"/>
      <c r="J31" s="2120"/>
      <c r="K31" s="2103"/>
      <c r="L31" s="1517"/>
      <c r="M31" s="1517"/>
      <c r="N31" s="1517"/>
      <c r="O31" s="1517"/>
      <c r="P31" s="1517"/>
      <c r="Q31" s="1517"/>
      <c r="R31" s="1517"/>
      <c r="S31" s="477"/>
      <c r="T31" s="477"/>
      <c r="U31" s="477"/>
      <c r="V31" s="477"/>
      <c r="W31" s="1518"/>
      <c r="X31" s="1475"/>
      <c r="Y31" s="1475"/>
      <c r="Z31" s="1475"/>
      <c r="AA31" s="1475"/>
      <c r="AB31" s="1475"/>
      <c r="AC31" s="412"/>
      <c r="AD31" s="412"/>
      <c r="AE31" s="412"/>
      <c r="AF31" s="412"/>
      <c r="AG31" s="412"/>
      <c r="AH31" s="412"/>
      <c r="AI31" s="412"/>
      <c r="AJ31" s="412"/>
      <c r="AK31" s="412"/>
      <c r="AL31" s="412"/>
      <c r="AM31" s="412"/>
      <c r="AN31" s="412"/>
      <c r="AO31" s="412"/>
      <c r="AP31" s="412"/>
      <c r="AQ31" s="412"/>
    </row>
    <row s="5546" customFormat="1" customHeight="1" ht="17.25" hidden="1">
      <c r="A32" s="466"/>
      <c r="C32" s="465"/>
      <c r="D32" s="2106"/>
      <c r="E32" s="2108"/>
      <c r="F32" s="2111"/>
      <c r="G32" s="2113"/>
      <c r="H32" s="1520"/>
      <c r="I32" s="1521"/>
      <c r="J32" s="1521"/>
      <c r="K32" s="1521"/>
      <c r="L32" s="1521"/>
      <c r="M32" s="1521"/>
      <c r="N32" s="1521"/>
      <c r="O32" s="1521"/>
      <c r="P32" s="1521"/>
      <c r="Q32" s="1521"/>
      <c r="R32" s="1521"/>
      <c r="S32" s="1522"/>
      <c r="T32" s="1522"/>
      <c r="U32" s="1522"/>
      <c r="V32" s="1522"/>
      <c r="W32" s="1523"/>
      <c r="X32" s="1475"/>
      <c r="Y32" s="1475"/>
      <c r="Z32" s="1475"/>
      <c r="AA32" s="1475"/>
      <c r="AB32" s="1475"/>
      <c r="AC32" s="412"/>
      <c r="AD32" s="412"/>
      <c r="AE32" s="412"/>
      <c r="AF32" s="412"/>
      <c r="AG32" s="412"/>
      <c r="AH32" s="412"/>
      <c r="AI32" s="412"/>
      <c r="AJ32" s="412"/>
      <c r="AK32" s="412"/>
      <c r="AL32" s="412"/>
      <c r="AM32" s="412"/>
      <c r="AN32" s="412"/>
      <c r="AO32" s="412"/>
      <c r="AP32" s="412"/>
      <c r="AQ32" s="412"/>
    </row>
    <row s="5546" customFormat="1" customHeight="1" ht="17.25" hidden="1">
      <c r="A33" s="466"/>
      <c r="C33" s="344"/>
      <c r="D33" s="2105">
        <v>5</v>
      </c>
      <c r="E33" s="2107" t="s">
        <v>189</v>
      </c>
      <c r="F33" s="2109" t="s">
        <v>56</v>
      </c>
      <c r="G33" s="2112"/>
      <c r="H33" s="2114"/>
      <c r="I33" s="2116"/>
      <c r="J33" s="2118"/>
      <c r="K33" s="2102"/>
      <c r="L33" s="2097"/>
      <c r="M33" s="2097"/>
      <c r="N33" s="2099"/>
      <c r="O33" s="2102"/>
      <c r="P33" s="2097"/>
      <c r="Q33" s="2097"/>
      <c r="R33" s="2104"/>
      <c r="S33" s="2102"/>
      <c r="T33" s="1644"/>
      <c r="U33" s="1644"/>
      <c r="V33" s="1643"/>
      <c r="W33" s="1516"/>
      <c r="X33" s="1483"/>
      <c r="Y33" s="1483"/>
      <c r="Z33" s="1483"/>
      <c r="AA33" s="1483"/>
      <c r="AB33" s="1483"/>
      <c r="AC33" s="1565" t="s">
        <v>190</v>
      </c>
      <c r="AD33" s="1565" t="s">
        <v>191</v>
      </c>
      <c r="AE33" s="1565" t="s">
        <v>192</v>
      </c>
      <c r="AF33" s="1565" t="s">
        <v>193</v>
      </c>
      <c r="AG33" s="1565" t="s">
        <v>194</v>
      </c>
      <c r="AH33" s="1565" t="str">
        <f>IF($E$33=0,"",$E$33)</f>
        <v>Тарифы на услуги по передаче тепловой энергии</v>
      </c>
      <c r="AI33" s="1565" t="str">
        <f>IF($G$33=0,"",$G$33)</f>
        <v/>
      </c>
      <c r="AJ33" s="1565" t="str">
        <f>IF($J$33=0,"",$J$33)</f>
        <v/>
      </c>
      <c r="AK33" s="1565" t="str">
        <f>IF($K$33="нет","без дифференциации",IF($N$33=0,"",$N$33))</f>
        <v/>
      </c>
      <c r="AL33" s="1565" t="str">
        <f>IF($O$33="нет","без дифференциации",IF($R$33=0,"",$R$33))</f>
        <v/>
      </c>
      <c r="AM33" s="1565" t="str">
        <f>IF($S$33="нет","без дифференциации",IF($V$33=0,"",$V$33))</f>
        <v/>
      </c>
      <c r="AN33" s="1744">
        <f>$I$33</f>
        <v>0</v>
      </c>
      <c r="AO33" s="1565" t="str">
        <f>$I$33&amp;"."&amp;$M$33</f>
        <v>.</v>
      </c>
      <c r="AP33" s="412" t="str">
        <f>$I$33&amp;"."&amp;$M$33&amp;"."&amp;$Q$33</f>
        <v>..</v>
      </c>
      <c r="AQ33" s="412" t="str">
        <f>$I$33&amp;"."&amp;$M$33&amp;"."&amp;$Q$33&amp;"."&amp;$U$33</f>
        <v>...</v>
      </c>
    </row>
    <row s="5546" customFormat="1" customHeight="1" ht="17.25" hidden="1">
      <c r="A34" s="466"/>
      <c r="C34" s="465"/>
      <c r="D34" s="2105"/>
      <c r="E34" s="2107"/>
      <c r="F34" s="2110"/>
      <c r="G34" s="2112"/>
      <c r="H34" s="2115"/>
      <c r="I34" s="2117"/>
      <c r="J34" s="2119"/>
      <c r="K34" s="2103"/>
      <c r="L34" s="2098"/>
      <c r="M34" s="2098"/>
      <c r="N34" s="2100"/>
      <c r="O34" s="2103"/>
      <c r="P34" s="2098"/>
      <c r="Q34" s="2098"/>
      <c r="R34" s="2101"/>
      <c r="S34" s="2103"/>
      <c r="T34" s="1517"/>
      <c r="U34" s="1517"/>
      <c r="V34" s="1517"/>
      <c r="W34" s="1518"/>
      <c r="X34" s="1475"/>
      <c r="Y34" s="1475"/>
      <c r="Z34" s="1475"/>
      <c r="AA34" s="1475"/>
      <c r="AB34" s="1475"/>
      <c r="AC34" s="412"/>
      <c r="AD34" s="412"/>
      <c r="AE34" s="412"/>
      <c r="AF34" s="412"/>
      <c r="AG34" s="412"/>
      <c r="AH34" s="412"/>
      <c r="AI34" s="412"/>
      <c r="AJ34" s="412"/>
      <c r="AK34" s="412"/>
      <c r="AL34" s="412"/>
      <c r="AM34" s="412"/>
      <c r="AN34" s="412"/>
      <c r="AO34" s="412"/>
      <c r="AP34" s="412"/>
      <c r="AQ34" s="412"/>
    </row>
    <row s="5546" customFormat="1" customHeight="1" ht="17.25" hidden="1">
      <c r="A35" s="466"/>
      <c r="C35" s="465"/>
      <c r="D35" s="2106"/>
      <c r="E35" s="2108"/>
      <c r="F35" s="2110"/>
      <c r="G35" s="2113"/>
      <c r="H35" s="2115"/>
      <c r="I35" s="2117"/>
      <c r="J35" s="2120"/>
      <c r="K35" s="2103"/>
      <c r="L35" s="2098"/>
      <c r="M35" s="2098"/>
      <c r="N35" s="2101"/>
      <c r="O35" s="2103"/>
      <c r="P35" s="1642"/>
      <c r="Q35" s="1517"/>
      <c r="R35" s="1517"/>
      <c r="S35" s="477"/>
      <c r="T35" s="477"/>
      <c r="U35" s="477"/>
      <c r="V35" s="477"/>
      <c r="W35" s="1518"/>
      <c r="X35" s="1475"/>
      <c r="Y35" s="1475"/>
      <c r="Z35" s="1475"/>
      <c r="AA35" s="1475"/>
      <c r="AB35" s="1475"/>
      <c r="AC35" s="412"/>
      <c r="AD35" s="412"/>
      <c r="AE35" s="412"/>
      <c r="AF35" s="412"/>
      <c r="AG35" s="412"/>
      <c r="AH35" s="412"/>
      <c r="AI35" s="412"/>
      <c r="AJ35" s="412"/>
      <c r="AK35" s="412"/>
      <c r="AL35" s="412"/>
      <c r="AM35" s="412"/>
      <c r="AN35" s="412"/>
      <c r="AO35" s="412"/>
      <c r="AP35" s="412"/>
      <c r="AQ35" s="412"/>
    </row>
    <row s="5546" customFormat="1" customHeight="1" ht="17.25" hidden="1">
      <c r="A36" s="466"/>
      <c r="C36" s="465"/>
      <c r="D36" s="2106"/>
      <c r="E36" s="2108"/>
      <c r="F36" s="2110"/>
      <c r="G36" s="2113"/>
      <c r="H36" s="2115"/>
      <c r="I36" s="2117"/>
      <c r="J36" s="2120"/>
      <c r="K36" s="2103"/>
      <c r="L36" s="1517"/>
      <c r="M36" s="1517"/>
      <c r="N36" s="1517"/>
      <c r="O36" s="1517"/>
      <c r="P36" s="1517"/>
      <c r="Q36" s="1517"/>
      <c r="R36" s="1517"/>
      <c r="S36" s="477"/>
      <c r="T36" s="477"/>
      <c r="U36" s="477"/>
      <c r="V36" s="477"/>
      <c r="W36" s="1518"/>
      <c r="X36" s="1475"/>
      <c r="Y36" s="1475"/>
      <c r="Z36" s="1475"/>
      <c r="AA36" s="1475"/>
      <c r="AB36" s="1475"/>
      <c r="AC36" s="412"/>
      <c r="AD36" s="412"/>
      <c r="AE36" s="412"/>
      <c r="AF36" s="412"/>
      <c r="AG36" s="412"/>
      <c r="AH36" s="412"/>
      <c r="AI36" s="412"/>
      <c r="AJ36" s="412"/>
      <c r="AK36" s="412"/>
      <c r="AL36" s="412"/>
      <c r="AM36" s="412"/>
      <c r="AN36" s="412"/>
      <c r="AO36" s="412"/>
      <c r="AP36" s="412"/>
      <c r="AQ36" s="412"/>
    </row>
    <row s="5546" customFormat="1" customHeight="1" ht="17.25" hidden="1">
      <c r="A37" s="466"/>
      <c r="C37" s="465"/>
      <c r="D37" s="2106"/>
      <c r="E37" s="2108"/>
      <c r="F37" s="2111"/>
      <c r="G37" s="2113"/>
      <c r="H37" s="1520"/>
      <c r="I37" s="1521"/>
      <c r="J37" s="1521"/>
      <c r="K37" s="1521"/>
      <c r="L37" s="1521"/>
      <c r="M37" s="1521"/>
      <c r="N37" s="1521"/>
      <c r="O37" s="1521"/>
      <c r="P37" s="1521"/>
      <c r="Q37" s="1521"/>
      <c r="R37" s="1521"/>
      <c r="S37" s="1522"/>
      <c r="T37" s="1522"/>
      <c r="U37" s="1522"/>
      <c r="V37" s="1522"/>
      <c r="W37" s="1523"/>
      <c r="X37" s="1475"/>
      <c r="Y37" s="1475"/>
      <c r="Z37" s="1475"/>
      <c r="AA37" s="1475"/>
      <c r="AB37" s="1475"/>
      <c r="AC37" s="412"/>
      <c r="AD37" s="412"/>
      <c r="AE37" s="412"/>
      <c r="AF37" s="412"/>
      <c r="AG37" s="412"/>
      <c r="AH37" s="412"/>
      <c r="AI37" s="412"/>
      <c r="AJ37" s="412"/>
      <c r="AK37" s="412"/>
      <c r="AL37" s="412"/>
      <c r="AM37" s="412"/>
      <c r="AN37" s="412"/>
      <c r="AO37" s="412"/>
      <c r="AP37" s="412"/>
      <c r="AQ37" s="412"/>
    </row>
    <row s="5546" customFormat="1" customHeight="1" ht="17.25" hidden="1">
      <c r="A38" s="466"/>
      <c r="C38" s="344"/>
      <c r="D38" s="2105">
        <v>6</v>
      </c>
      <c r="E38" s="2107" t="s">
        <v>195</v>
      </c>
      <c r="F38" s="2109" t="s">
        <v>56</v>
      </c>
      <c r="G38" s="2112"/>
      <c r="H38" s="2114"/>
      <c r="I38" s="2116"/>
      <c r="J38" s="2118"/>
      <c r="K38" s="2102"/>
      <c r="L38" s="2097"/>
      <c r="M38" s="2097"/>
      <c r="N38" s="2099"/>
      <c r="O38" s="2102"/>
      <c r="P38" s="2097"/>
      <c r="Q38" s="2097"/>
      <c r="R38" s="2104"/>
      <c r="S38" s="2102"/>
      <c r="T38" s="1644"/>
      <c r="U38" s="1644"/>
      <c r="V38" s="1643"/>
      <c r="W38" s="1516"/>
      <c r="X38" s="1483"/>
      <c r="Y38" s="1483"/>
      <c r="Z38" s="1483"/>
      <c r="AA38" s="1483"/>
      <c r="AB38" s="1483"/>
      <c r="AC38" s="1565" t="s">
        <v>196</v>
      </c>
      <c r="AD38" s="1565" t="s">
        <v>197</v>
      </c>
      <c r="AE38" s="1565" t="s">
        <v>198</v>
      </c>
      <c r="AF38" s="1565" t="s">
        <v>199</v>
      </c>
      <c r="AG38" s="1565" t="s">
        <v>200</v>
      </c>
      <c r="AH38" s="1565" t="str">
        <f>IF($E$38=0,"",$E$38)</f>
        <v>Тарифы на услуги по передаче теплоносителя</v>
      </c>
      <c r="AI38" s="1565" t="str">
        <f>IF($G$38=0,"",$G$38)</f>
        <v/>
      </c>
      <c r="AJ38" s="1565" t="str">
        <f>IF($J$38=0,"",$J$38)</f>
        <v/>
      </c>
      <c r="AK38" s="1565" t="str">
        <f>IF($K$38="нет","без дифференциации",IF($N$38=0,"",$N$38))</f>
        <v/>
      </c>
      <c r="AL38" s="1565" t="str">
        <f>IF($O$38="нет","без дифференциации",IF($R$38=0,"",$R$38))</f>
        <v/>
      </c>
      <c r="AM38" s="1565" t="str">
        <f>IF($S$38="нет","без дифференциации",IF($V$38=0,"",$V$38))</f>
        <v/>
      </c>
      <c r="AN38" s="1744">
        <f>$I$38</f>
        <v>0</v>
      </c>
      <c r="AO38" s="1565" t="str">
        <f>$I$38&amp;"."&amp;$M$38</f>
        <v>.</v>
      </c>
      <c r="AP38" s="412" t="str">
        <f>$I$38&amp;"."&amp;$M$38&amp;"."&amp;$Q$38</f>
        <v>..</v>
      </c>
      <c r="AQ38" s="412" t="str">
        <f>$I$38&amp;"."&amp;$M$38&amp;"."&amp;$Q$38&amp;"."&amp;$U$38</f>
        <v>...</v>
      </c>
    </row>
    <row s="5546" customFormat="1" customHeight="1" ht="17.25" hidden="1">
      <c r="A39" s="466"/>
      <c r="C39" s="465"/>
      <c r="D39" s="2105"/>
      <c r="E39" s="2107"/>
      <c r="F39" s="2110"/>
      <c r="G39" s="2112"/>
      <c r="H39" s="2115"/>
      <c r="I39" s="2117"/>
      <c r="J39" s="2119"/>
      <c r="K39" s="2103"/>
      <c r="L39" s="2098"/>
      <c r="M39" s="2098"/>
      <c r="N39" s="2100"/>
      <c r="O39" s="2103"/>
      <c r="P39" s="2098"/>
      <c r="Q39" s="2098"/>
      <c r="R39" s="2101"/>
      <c r="S39" s="2103"/>
      <c r="T39" s="1517"/>
      <c r="U39" s="1517"/>
      <c r="V39" s="1517"/>
      <c r="W39" s="1518"/>
      <c r="X39" s="1475"/>
      <c r="Y39" s="1475"/>
      <c r="Z39" s="1475"/>
      <c r="AA39" s="1475"/>
      <c r="AB39" s="1475"/>
      <c r="AC39" s="412"/>
      <c r="AD39" s="412"/>
      <c r="AE39" s="412"/>
      <c r="AF39" s="412"/>
      <c r="AG39" s="412"/>
      <c r="AH39" s="412"/>
      <c r="AI39" s="412"/>
      <c r="AJ39" s="412"/>
      <c r="AK39" s="412"/>
      <c r="AL39" s="412"/>
      <c r="AM39" s="412"/>
      <c r="AN39" s="412"/>
      <c r="AO39" s="412"/>
      <c r="AP39" s="412"/>
      <c r="AQ39" s="412"/>
    </row>
    <row s="5546" customFormat="1" customHeight="1" ht="17.25" hidden="1">
      <c r="A40" s="466"/>
      <c r="C40" s="465"/>
      <c r="D40" s="2106"/>
      <c r="E40" s="2108"/>
      <c r="F40" s="2110"/>
      <c r="G40" s="2113"/>
      <c r="H40" s="2115"/>
      <c r="I40" s="2117"/>
      <c r="J40" s="2120"/>
      <c r="K40" s="2103"/>
      <c r="L40" s="2098"/>
      <c r="M40" s="2098"/>
      <c r="N40" s="2101"/>
      <c r="O40" s="2103"/>
      <c r="P40" s="1642"/>
      <c r="Q40" s="1517"/>
      <c r="R40" s="1517"/>
      <c r="S40" s="477"/>
      <c r="T40" s="477"/>
      <c r="U40" s="477"/>
      <c r="V40" s="477"/>
      <c r="W40" s="1518"/>
      <c r="X40" s="1475"/>
      <c r="Y40" s="1475"/>
      <c r="Z40" s="1475"/>
      <c r="AA40" s="1475"/>
      <c r="AB40" s="1475"/>
      <c r="AC40" s="412"/>
      <c r="AD40" s="412"/>
      <c r="AE40" s="412"/>
      <c r="AF40" s="412"/>
      <c r="AG40" s="412"/>
      <c r="AH40" s="412"/>
      <c r="AI40" s="412"/>
      <c r="AJ40" s="412"/>
      <c r="AK40" s="412"/>
      <c r="AL40" s="412"/>
      <c r="AM40" s="412"/>
      <c r="AN40" s="412"/>
      <c r="AO40" s="412"/>
      <c r="AP40" s="412"/>
      <c r="AQ40" s="412"/>
    </row>
    <row s="5548" customFormat="1" customHeight="1" ht="17.25" hidden="1">
      <c r="A41" s="466"/>
      <c r="C41" s="344"/>
      <c r="D41" s="2106"/>
      <c r="E41" s="2108"/>
      <c r="F41" s="2110"/>
      <c r="G41" s="2113"/>
      <c r="H41" s="2115"/>
      <c r="I41" s="2117"/>
      <c r="J41" s="2120"/>
      <c r="K41" s="2103"/>
      <c r="L41" s="1517"/>
      <c r="M41" s="1517"/>
      <c r="N41" s="1517"/>
      <c r="O41" s="1517"/>
      <c r="P41" s="1517"/>
      <c r="Q41" s="1517"/>
      <c r="R41" s="1517"/>
      <c r="S41" s="477"/>
      <c r="T41" s="477"/>
      <c r="U41" s="477"/>
      <c r="V41" s="477"/>
      <c r="W41" s="1518"/>
      <c r="Y41" s="1483"/>
      <c r="Z41" s="1483"/>
      <c r="AA41" s="1483"/>
      <c r="AB41" s="1483"/>
      <c r="AC41" s="1565" t="s">
        <v>196</v>
      </c>
      <c r="AD41" s="1565" t="s">
        <v>197</v>
      </c>
      <c r="AE41" s="1565" t="s">
        <v>201</v>
      </c>
      <c r="AF41" s="1565" t="s">
        <v>202</v>
      </c>
      <c r="AG41" s="1565" t="s">
        <v>203</v>
      </c>
      <c r="AH41" s="1565" t="str">
        <f>IF($E$38=0,"",$E$38)</f>
        <v>Тарифы на услуги по передаче теплоносителя</v>
      </c>
      <c r="AI41" s="1565" t="str">
        <f>IF($G$38=0,"",$G$38)</f>
        <v/>
      </c>
      <c r="AJ41" s="1565" t="str">
        <f>IF($J$38=0,"",$J$38)</f>
        <v/>
      </c>
      <c r="AK41" s="1565" t="str">
        <f>IF($K$41="нет","без дифференциации",IF($N$41=0,"",$N$41))</f>
        <v/>
      </c>
      <c r="AL41" s="1565" t="str">
        <f>IF($O$41="нет","без дифференциации",IF($R$41=0,"",$R$41))</f>
        <v/>
      </c>
      <c r="AM41" s="1565" t="str">
        <f>IF($S$41="нет","без дифференциации",IF($V$41=0,"",$V$41))</f>
        <v/>
      </c>
      <c r="AN41" s="1565">
        <f>$I$38</f>
        <v>0</v>
      </c>
      <c r="AO41" s="1565" t="str">
        <f>$I$38&amp;"."&amp;$M$41</f>
        <v>.</v>
      </c>
      <c r="AP41" s="1565" t="str">
        <f>$I$38&amp;"."&amp;$M$41&amp;"."&amp;$Q$41</f>
        <v>..</v>
      </c>
      <c r="AQ41" s="1565" t="str">
        <f>$I$38&amp;"."&amp;$M$41&amp;"."&amp;$Q$41&amp;"."&amp;$U$41</f>
        <v>...</v>
      </c>
    </row>
    <row s="5546" customFormat="1" customHeight="1" ht="17.25" hidden="1">
      <c r="A42" s="466"/>
      <c r="C42" s="465"/>
      <c r="D42" s="2106"/>
      <c r="E42" s="2108"/>
      <c r="F42" s="2111"/>
      <c r="G42" s="2113"/>
      <c r="H42" s="1520"/>
      <c r="I42" s="1521"/>
      <c r="J42" s="1521"/>
      <c r="K42" s="1521"/>
      <c r="L42" s="1521"/>
      <c r="M42" s="1521"/>
      <c r="N42" s="1521"/>
      <c r="O42" s="1521"/>
      <c r="P42" s="1521"/>
      <c r="Q42" s="1521"/>
      <c r="R42" s="1521"/>
      <c r="S42" s="1522"/>
      <c r="T42" s="1522"/>
      <c r="U42" s="1522"/>
      <c r="V42" s="1522"/>
      <c r="W42" s="1523"/>
      <c r="X42" s="1475"/>
      <c r="Y42" s="1475"/>
      <c r="Z42" s="1475"/>
      <c r="AA42" s="1475"/>
      <c r="AB42" s="1475"/>
      <c r="AC42" s="412"/>
      <c r="AD42" s="412"/>
      <c r="AE42" s="412"/>
      <c r="AF42" s="412"/>
      <c r="AG42" s="412"/>
      <c r="AH42" s="412"/>
      <c r="AI42" s="412"/>
      <c r="AJ42" s="412"/>
      <c r="AK42" s="412"/>
      <c r="AL42" s="412"/>
      <c r="AM42" s="412"/>
      <c r="AN42" s="412"/>
      <c r="AO42" s="412"/>
      <c r="AP42" s="412"/>
      <c r="AQ42" s="412"/>
    </row>
    <row s="5549" customFormat="1" customHeight="1" ht="17.25" hidden="1">
      <c r="A43" s="466"/>
      <c r="C43" s="344"/>
      <c r="D43" s="2132">
        <v>7</v>
      </c>
      <c r="E43" s="2135" t="s">
        <v>204</v>
      </c>
      <c r="F43" s="2109" t="s">
        <v>56</v>
      </c>
      <c r="G43" s="2138"/>
      <c r="H43" s="2114"/>
      <c r="I43" s="2116"/>
      <c r="J43" s="2118"/>
      <c r="K43" s="2102"/>
      <c r="L43" s="2097"/>
      <c r="M43" s="2097"/>
      <c r="N43" s="2099"/>
      <c r="O43" s="2102"/>
      <c r="P43" s="2097"/>
      <c r="Q43" s="2097"/>
      <c r="R43" s="2104"/>
      <c r="S43" s="2102"/>
      <c r="T43" s="1644"/>
      <c r="U43" s="1644"/>
      <c r="V43" s="1643"/>
      <c r="W43" s="1516"/>
      <c r="X43" s="1483"/>
      <c r="Y43" s="1483"/>
      <c r="Z43" s="1483"/>
      <c r="AA43" s="1483"/>
      <c r="AB43" s="1483"/>
      <c r="AC43" s="1565" t="s">
        <v>205</v>
      </c>
      <c r="AD43" s="1565" t="s">
        <v>206</v>
      </c>
      <c r="AE43" s="1565" t="s">
        <v>207</v>
      </c>
      <c r="AF43" s="1565" t="s">
        <v>208</v>
      </c>
      <c r="AG43" s="1565" t="s">
        <v>209</v>
      </c>
      <c r="AH43" s="1565" t="str">
        <f>IF($E$43=0,"",$E$43)</f>
        <v>Плата за услуги по поддержанию резервной тепловой мощности при отсутствии потребления тепловой энергии</v>
      </c>
      <c r="AI43" s="1565" t="str">
        <f>IF($G$43=0,"",$G$43)</f>
        <v/>
      </c>
      <c r="AJ43" s="1565" t="str">
        <f>IF($J$43=0,"",$J$43)</f>
        <v/>
      </c>
      <c r="AK43" s="1565" t="str">
        <f>IF($K$43="нет","без дифференциации",IF($N$43=0,"",$N$43))</f>
        <v/>
      </c>
      <c r="AL43" s="1565" t="str">
        <f>IF($O$43="нет","без дифференциации",IF($R$43=0,"",$R$43))</f>
        <v/>
      </c>
      <c r="AM43" s="1565" t="str">
        <f>IF($S$43="нет","без дифференциации",IF($V$43=0,"",$V$43))</f>
        <v/>
      </c>
      <c r="AN43" s="1744">
        <f>$I$43</f>
        <v>0</v>
      </c>
      <c r="AO43" s="1565" t="str">
        <f>$I$43&amp;"."&amp;$M$43</f>
        <v>.</v>
      </c>
      <c r="AP43" s="412" t="str">
        <f>$I$43&amp;"."&amp;$M$43&amp;"."&amp;$Q$43</f>
        <v>..</v>
      </c>
      <c r="AQ43" s="412" t="str">
        <f>$I$43&amp;"."&amp;$M$43&amp;"."&amp;$Q$43&amp;"."&amp;$U$43</f>
        <v>...</v>
      </c>
    </row>
    <row s="5549" customFormat="1" customHeight="1" ht="17.25" hidden="1">
      <c r="A44" s="466"/>
      <c r="C44" s="465"/>
      <c r="D44" s="2133"/>
      <c r="E44" s="2136"/>
      <c r="F44" s="2110"/>
      <c r="G44" s="2139"/>
      <c r="H44" s="2115"/>
      <c r="I44" s="2117"/>
      <c r="J44" s="2119"/>
      <c r="K44" s="2103"/>
      <c r="L44" s="2098"/>
      <c r="M44" s="2098"/>
      <c r="N44" s="2100"/>
      <c r="O44" s="2103"/>
      <c r="P44" s="2098"/>
      <c r="Q44" s="2098"/>
      <c r="R44" s="2101"/>
      <c r="S44" s="2103"/>
      <c r="T44" s="1517"/>
      <c r="U44" s="1517"/>
      <c r="V44" s="1517"/>
      <c r="W44" s="1518"/>
      <c r="X44" s="1475"/>
      <c r="Y44" s="1475"/>
      <c r="Z44" s="1475"/>
      <c r="AA44" s="1475"/>
      <c r="AB44" s="1475"/>
      <c r="AC44" s="412"/>
      <c r="AD44" s="412"/>
      <c r="AE44" s="412"/>
      <c r="AF44" s="412"/>
      <c r="AG44" s="412"/>
      <c r="AH44" s="412"/>
      <c r="AI44" s="412"/>
      <c r="AJ44" s="412"/>
      <c r="AK44" s="412"/>
      <c r="AL44" s="412"/>
      <c r="AM44" s="412"/>
      <c r="AN44" s="412"/>
      <c r="AO44" s="412"/>
      <c r="AP44" s="412"/>
      <c r="AQ44" s="412"/>
    </row>
    <row s="5549" customFormat="1" customHeight="1" ht="17.25" hidden="1">
      <c r="A45" s="466"/>
      <c r="C45" s="465"/>
      <c r="D45" s="2133"/>
      <c r="E45" s="2136"/>
      <c r="F45" s="2110"/>
      <c r="G45" s="2139"/>
      <c r="H45" s="2115"/>
      <c r="I45" s="2117"/>
      <c r="J45" s="2120"/>
      <c r="K45" s="2103"/>
      <c r="L45" s="2098"/>
      <c r="M45" s="2098"/>
      <c r="N45" s="2101"/>
      <c r="O45" s="2103"/>
      <c r="P45" s="1642"/>
      <c r="Q45" s="1517"/>
      <c r="R45" s="1517"/>
      <c r="S45" s="477"/>
      <c r="T45" s="477"/>
      <c r="U45" s="477"/>
      <c r="V45" s="477"/>
      <c r="W45" s="1518"/>
      <c r="X45" s="1475"/>
      <c r="Y45" s="1475"/>
      <c r="Z45" s="1475"/>
      <c r="AA45" s="1475"/>
      <c r="AB45" s="1475"/>
      <c r="AC45" s="412"/>
      <c r="AD45" s="412"/>
      <c r="AE45" s="412"/>
      <c r="AF45" s="412"/>
      <c r="AG45" s="412"/>
      <c r="AH45" s="412"/>
      <c r="AI45" s="412"/>
      <c r="AJ45" s="412"/>
      <c r="AK45" s="412"/>
      <c r="AL45" s="412"/>
      <c r="AM45" s="412"/>
      <c r="AN45" s="412"/>
      <c r="AO45" s="412"/>
      <c r="AP45" s="412"/>
      <c r="AQ45" s="412"/>
    </row>
    <row s="5548" customFormat="1" customHeight="1" ht="17.25" hidden="1">
      <c r="A46" s="466"/>
      <c r="C46" s="344"/>
      <c r="D46" s="2133"/>
      <c r="E46" s="2136"/>
      <c r="F46" s="2110"/>
      <c r="G46" s="2139"/>
      <c r="H46" s="2115"/>
      <c r="I46" s="2117"/>
      <c r="J46" s="2120"/>
      <c r="K46" s="2103"/>
      <c r="L46" s="1517"/>
      <c r="M46" s="1517"/>
      <c r="N46" s="1517"/>
      <c r="O46" s="1517"/>
      <c r="P46" s="1517"/>
      <c r="Q46" s="1517"/>
      <c r="R46" s="1517"/>
      <c r="S46" s="477"/>
      <c r="T46" s="477"/>
      <c r="U46" s="477"/>
      <c r="V46" s="477"/>
      <c r="W46" s="1518"/>
      <c r="Y46" s="1483"/>
      <c r="Z46" s="1483"/>
      <c r="AA46" s="1483"/>
      <c r="AB46" s="1483"/>
      <c r="AC46" s="1565"/>
      <c r="AD46" s="1565"/>
      <c r="AE46" s="1565"/>
      <c r="AF46" s="1565"/>
      <c r="AG46" s="1565"/>
      <c r="AH46" s="1565"/>
      <c r="AI46" s="1565"/>
      <c r="AJ46" s="1565"/>
      <c r="AK46" s="1565"/>
      <c r="AL46" s="1565"/>
      <c r="AM46" s="1565"/>
      <c r="AN46" s="1565"/>
      <c r="AO46" s="1565"/>
      <c r="AP46" s="1565"/>
      <c r="AQ46" s="1565"/>
    </row>
    <row s="5549" customFormat="1" customHeight="1" ht="17.25" hidden="1">
      <c r="A47" s="466"/>
      <c r="C47" s="465"/>
      <c r="D47" s="2134"/>
      <c r="E47" s="2137"/>
      <c r="F47" s="2111"/>
      <c r="G47" s="2140"/>
      <c r="H47" s="1520"/>
      <c r="I47" s="1521"/>
      <c r="J47" s="1521"/>
      <c r="K47" s="1521"/>
      <c r="L47" s="1521"/>
      <c r="M47" s="1521"/>
      <c r="N47" s="1521"/>
      <c r="O47" s="1521"/>
      <c r="P47" s="1521"/>
      <c r="Q47" s="1521"/>
      <c r="R47" s="1521"/>
      <c r="S47" s="1522"/>
      <c r="T47" s="1522"/>
      <c r="U47" s="1522"/>
      <c r="V47" s="1522"/>
      <c r="W47" s="1523"/>
      <c r="X47" s="1475"/>
      <c r="Y47" s="1475"/>
      <c r="Z47" s="1475"/>
      <c r="AA47" s="1475"/>
      <c r="AB47" s="1475"/>
      <c r="AC47" s="412"/>
      <c r="AD47" s="412"/>
      <c r="AE47" s="412"/>
      <c r="AF47" s="412"/>
      <c r="AG47" s="412"/>
      <c r="AH47" s="412"/>
      <c r="AI47" s="412"/>
      <c r="AJ47" s="412"/>
      <c r="AK47" s="412"/>
      <c r="AL47" s="412"/>
      <c r="AM47" s="412"/>
      <c r="AN47" s="412"/>
      <c r="AO47" s="412"/>
      <c r="AP47" s="412"/>
      <c r="AQ47" s="412"/>
    </row>
    <row s="5549" customFormat="1" customHeight="1" ht="17.25" hidden="1">
      <c r="A48" s="466"/>
      <c r="C48" s="344"/>
      <c r="D48" s="2105">
        <v>8</v>
      </c>
      <c r="E48" s="2107" t="s">
        <v>210</v>
      </c>
      <c r="F48" s="2109" t="s">
        <v>56</v>
      </c>
      <c r="G48" s="2112"/>
      <c r="H48" s="2114"/>
      <c r="I48" s="2116"/>
      <c r="J48" s="2118"/>
      <c r="K48" s="2102"/>
      <c r="L48" s="2097"/>
      <c r="M48" s="2097"/>
      <c r="N48" s="2099"/>
      <c r="O48" s="2102"/>
      <c r="P48" s="2097"/>
      <c r="Q48" s="2097"/>
      <c r="R48" s="2104"/>
      <c r="S48" s="2102"/>
      <c r="T48" s="1694"/>
      <c r="U48" s="1694"/>
      <c r="V48" s="1696"/>
      <c r="W48" s="1516"/>
      <c r="X48" s="1483"/>
      <c r="Y48" s="1483"/>
      <c r="Z48" s="1483"/>
      <c r="AA48" s="1483"/>
      <c r="AB48" s="1483"/>
      <c r="AC48" s="1565" t="s">
        <v>211</v>
      </c>
      <c r="AD48" s="1565" t="s">
        <v>212</v>
      </c>
      <c r="AE48" s="1565" t="s">
        <v>213</v>
      </c>
      <c r="AF48" s="1565" t="s">
        <v>214</v>
      </c>
      <c r="AG48" s="1565" t="s">
        <v>215</v>
      </c>
      <c r="AH48" s="1565" t="str">
        <f>IF($E$48=0,"",$E$48)</f>
        <v>Плата за подключение (технологическое присоединение) к системе теплоснабжения</v>
      </c>
      <c r="AI48" s="1565" t="str">
        <f>IF($G$48=0,"",$G$48)</f>
        <v/>
      </c>
      <c r="AJ48" s="1565" t="str">
        <f>IF($J$48=0,"",$J$48)</f>
        <v/>
      </c>
      <c r="AK48" s="1565" t="str">
        <f>IF($K$48="нет","без дифференциации",IF($N$48=0,"",$N$48))</f>
        <v/>
      </c>
      <c r="AL48" s="1565" t="str">
        <f>IF($O$48="нет","без дифференциации",IF($R$48=0,"",$R$48))</f>
        <v/>
      </c>
      <c r="AM48" s="1565" t="str">
        <f>IF($S$48="нет","без дифференциации",IF($V$48=0,"",$V$48))</f>
        <v/>
      </c>
      <c r="AN48" s="1744">
        <f>$I$48</f>
        <v>0</v>
      </c>
      <c r="AO48" s="1565" t="str">
        <f>$I$48&amp;"."&amp;$M$48</f>
        <v>.</v>
      </c>
      <c r="AP48" s="412" t="str">
        <f>$I$48&amp;"."&amp;$M$48&amp;"."&amp;$Q$48</f>
        <v>..</v>
      </c>
      <c r="AQ48" s="412" t="str">
        <f>$I$48&amp;"."&amp;$M$48&amp;"."&amp;$Q$48&amp;"."&amp;$U$48</f>
        <v>...</v>
      </c>
    </row>
    <row s="5549" customFormat="1" customHeight="1" ht="17.25" hidden="1">
      <c r="A49" s="466"/>
      <c r="C49" s="465"/>
      <c r="D49" s="2105"/>
      <c r="E49" s="2107"/>
      <c r="F49" s="2110"/>
      <c r="G49" s="2112"/>
      <c r="H49" s="2115"/>
      <c r="I49" s="2117"/>
      <c r="J49" s="2119"/>
      <c r="K49" s="2103"/>
      <c r="L49" s="2098"/>
      <c r="M49" s="2098"/>
      <c r="N49" s="2100"/>
      <c r="O49" s="2103"/>
      <c r="P49" s="2098"/>
      <c r="Q49" s="2098"/>
      <c r="R49" s="2101"/>
      <c r="S49" s="2103"/>
      <c r="T49" s="1517"/>
      <c r="U49" s="1517"/>
      <c r="V49" s="1517"/>
      <c r="W49" s="1518"/>
      <c r="X49" s="1475"/>
      <c r="Y49" s="1475"/>
      <c r="Z49" s="1475"/>
      <c r="AA49" s="1475"/>
      <c r="AB49" s="1475"/>
      <c r="AC49" s="412"/>
      <c r="AD49" s="412"/>
      <c r="AE49" s="412"/>
      <c r="AF49" s="412"/>
      <c r="AG49" s="412"/>
      <c r="AH49" s="412"/>
      <c r="AI49" s="412"/>
      <c r="AJ49" s="412"/>
      <c r="AK49" s="412"/>
      <c r="AL49" s="412"/>
      <c r="AM49" s="412"/>
      <c r="AN49" s="412"/>
      <c r="AO49" s="412"/>
      <c r="AP49" s="412"/>
      <c r="AQ49" s="412"/>
    </row>
    <row s="5549" customFormat="1" customHeight="1" ht="17.25" hidden="1">
      <c r="A50" s="466"/>
      <c r="C50" s="465"/>
      <c r="D50" s="2106"/>
      <c r="E50" s="2108"/>
      <c r="F50" s="2110"/>
      <c r="G50" s="2113"/>
      <c r="H50" s="2115"/>
      <c r="I50" s="2117"/>
      <c r="J50" s="2120"/>
      <c r="K50" s="2103"/>
      <c r="L50" s="2098"/>
      <c r="M50" s="2098"/>
      <c r="N50" s="2101"/>
      <c r="O50" s="2103"/>
      <c r="P50" s="1695"/>
      <c r="Q50" s="1517"/>
      <c r="R50" s="1517"/>
      <c r="S50" s="477"/>
      <c r="T50" s="477"/>
      <c r="U50" s="477"/>
      <c r="V50" s="477"/>
      <c r="W50" s="1518"/>
      <c r="X50" s="1475"/>
      <c r="Y50" s="1475"/>
      <c r="Z50" s="1475"/>
      <c r="AA50" s="1475"/>
      <c r="AB50" s="1475"/>
      <c r="AC50" s="412"/>
      <c r="AD50" s="412"/>
      <c r="AE50" s="412"/>
      <c r="AF50" s="412"/>
      <c r="AG50" s="412"/>
      <c r="AH50" s="412"/>
      <c r="AI50" s="412"/>
      <c r="AJ50" s="412"/>
      <c r="AK50" s="412"/>
      <c r="AL50" s="412"/>
      <c r="AM50" s="412"/>
      <c r="AN50" s="412"/>
      <c r="AO50" s="412"/>
      <c r="AP50" s="412"/>
      <c r="AQ50" s="412"/>
    </row>
    <row s="5548" customFormat="1" customHeight="1" ht="17.25" hidden="1">
      <c r="A51" s="466"/>
      <c r="C51" s="344"/>
      <c r="D51" s="2106"/>
      <c r="E51" s="2108"/>
      <c r="F51" s="2110"/>
      <c r="G51" s="2113"/>
      <c r="H51" s="2115"/>
      <c r="I51" s="2117"/>
      <c r="J51" s="2120"/>
      <c r="K51" s="2103"/>
      <c r="L51" s="1517"/>
      <c r="M51" s="1517"/>
      <c r="N51" s="1517"/>
      <c r="O51" s="1517"/>
      <c r="P51" s="1517"/>
      <c r="Q51" s="1517"/>
      <c r="R51" s="1517"/>
      <c r="S51" s="477"/>
      <c r="T51" s="477"/>
      <c r="U51" s="477"/>
      <c r="V51" s="477"/>
      <c r="W51" s="1518"/>
      <c r="Y51" s="1483"/>
      <c r="Z51" s="1483"/>
      <c r="AA51" s="1483"/>
      <c r="AB51" s="1483"/>
      <c r="AC51" s="1565"/>
      <c r="AD51" s="1565"/>
      <c r="AE51" s="1565"/>
      <c r="AF51" s="1565"/>
      <c r="AG51" s="1565"/>
      <c r="AH51" s="1565"/>
      <c r="AI51" s="1565"/>
      <c r="AJ51" s="1565"/>
      <c r="AK51" s="1565"/>
      <c r="AL51" s="1565"/>
      <c r="AM51" s="1565"/>
      <c r="AN51" s="1565"/>
      <c r="AO51" s="1565"/>
      <c r="AP51" s="1565"/>
      <c r="AQ51" s="1565"/>
    </row>
    <row s="5549" customFormat="1" customHeight="1" ht="17.25" hidden="1">
      <c r="A52" s="466"/>
      <c r="C52" s="465"/>
      <c r="D52" s="2106"/>
      <c r="E52" s="2108"/>
      <c r="F52" s="2111"/>
      <c r="G52" s="2113"/>
      <c r="H52" s="1520"/>
      <c r="I52" s="1521"/>
      <c r="J52" s="1521"/>
      <c r="K52" s="1521"/>
      <c r="L52" s="1521"/>
      <c r="M52" s="1521"/>
      <c r="N52" s="1521"/>
      <c r="O52" s="1521"/>
      <c r="P52" s="1521"/>
      <c r="Q52" s="1521"/>
      <c r="R52" s="1521"/>
      <c r="S52" s="1522"/>
      <c r="T52" s="1522"/>
      <c r="U52" s="1522"/>
      <c r="V52" s="1522"/>
      <c r="W52" s="1523"/>
      <c r="X52" s="1475"/>
      <c r="Y52" s="1475"/>
      <c r="Z52" s="1475"/>
      <c r="AA52" s="1475"/>
      <c r="AB52" s="1475"/>
      <c r="AC52" s="412"/>
      <c r="AD52" s="412"/>
      <c r="AE52" s="412"/>
      <c r="AF52" s="412"/>
      <c r="AG52" s="412"/>
      <c r="AH52" s="412"/>
      <c r="AI52" s="412"/>
      <c r="AJ52" s="412"/>
      <c r="AK52" s="412"/>
      <c r="AL52" s="412"/>
      <c r="AM52" s="412"/>
      <c r="AN52" s="412"/>
      <c r="AO52" s="412"/>
      <c r="AP52" s="412"/>
      <c r="AQ52" s="412"/>
    </row>
    <row customHeight="1" ht="11.25" hidden="1"/>
    <row customHeight="1" ht="11.25" hidden="1">
      <c r="E54" s="2143" t="s">
        <v>216</v>
      </c>
      <c r="F54" s="2143"/>
      <c r="G54" s="2143"/>
      <c r="H54" s="2143"/>
      <c r="I54" s="2143"/>
      <c r="J54" s="2143"/>
      <c r="K54" s="2143"/>
      <c r="L54" s="2143"/>
      <c r="M54" s="2143"/>
      <c r="N54" s="2143"/>
      <c r="O54" s="2143"/>
      <c r="P54" s="2143"/>
      <c r="Q54" s="2143"/>
      <c r="R54" s="2143"/>
      <c r="S54" s="2143"/>
      <c r="T54" s="2143"/>
      <c r="U54" s="2143"/>
      <c r="V54" s="2143"/>
      <c r="W54" s="2143"/>
    </row>
    <row customHeight="1" ht="36.75" hidden="1">
      <c r="E55" s="2141" t="s">
        <v>217</v>
      </c>
      <c r="F55" s="2141"/>
      <c r="G55" s="2142"/>
      <c r="H55" s="2142"/>
      <c r="I55" s="2142"/>
      <c r="J55" s="2142"/>
      <c r="K55" s="2142"/>
      <c r="L55" s="2142"/>
      <c r="M55" s="2142"/>
      <c r="N55" s="2142"/>
      <c r="O55" s="2142"/>
      <c r="P55" s="2142"/>
      <c r="Q55" s="2142"/>
      <c r="R55" s="2142"/>
      <c r="S55" s="2142"/>
      <c r="T55" s="2142"/>
      <c r="U55" s="2142"/>
      <c r="V55" s="2142"/>
      <c r="W55" s="2142"/>
    </row>
    <row customHeight="1" ht="28.5" hidden="1">
      <c r="E56" s="2141" t="s">
        <v>218</v>
      </c>
      <c r="F56" s="2141"/>
      <c r="G56" s="2142"/>
      <c r="H56" s="2142"/>
      <c r="I56" s="2142"/>
      <c r="J56" s="2142"/>
      <c r="K56" s="2142"/>
      <c r="L56" s="2142"/>
      <c r="M56" s="2142"/>
      <c r="N56" s="2142"/>
      <c r="O56" s="2142"/>
      <c r="P56" s="2142"/>
      <c r="Q56" s="2142"/>
      <c r="R56" s="2142"/>
      <c r="S56" s="2142"/>
      <c r="T56" s="2142"/>
      <c r="U56" s="2142"/>
      <c r="V56" s="2142"/>
      <c r="W56" s="2142"/>
    </row>
    <row customHeight="1" ht="27" hidden="1">
      <c r="E57" s="2141" t="s">
        <v>219</v>
      </c>
      <c r="F57" s="2141"/>
      <c r="G57" s="2142"/>
      <c r="H57" s="2142"/>
      <c r="I57" s="2142"/>
      <c r="J57" s="2142"/>
      <c r="K57" s="2142"/>
      <c r="L57" s="2142"/>
      <c r="M57" s="2142"/>
      <c r="N57" s="2142"/>
      <c r="O57" s="2142"/>
      <c r="P57" s="2142"/>
      <c r="Q57" s="2142"/>
      <c r="R57" s="2142"/>
      <c r="S57" s="2142"/>
      <c r="T57" s="2142"/>
      <c r="U57" s="2142"/>
      <c r="V57" s="2142"/>
      <c r="W57" s="2142"/>
    </row>
    <row customHeight="1" ht="17.25" hidden="1">
      <c r="E58" s="2141" t="s">
        <v>220</v>
      </c>
      <c r="F58" s="2141"/>
      <c r="G58" s="2142"/>
      <c r="H58" s="2142"/>
      <c r="I58" s="2142"/>
      <c r="J58" s="2142"/>
      <c r="K58" s="2142"/>
      <c r="L58" s="2142"/>
      <c r="M58" s="2142"/>
      <c r="N58" s="2142"/>
      <c r="O58" s="2142"/>
      <c r="P58" s="2142"/>
      <c r="Q58" s="2142"/>
      <c r="R58" s="2142"/>
      <c r="S58" s="2142"/>
      <c r="T58" s="2142"/>
      <c r="U58" s="2142"/>
      <c r="V58" s="2142"/>
      <c r="W58" s="2142"/>
    </row>
    <row customHeight="1" ht="15" hidden="1">
      <c r="E59" s="488"/>
      <c r="F59" s="1502"/>
      <c r="G59" s="292"/>
      <c r="H59" s="292"/>
      <c r="I59" s="292"/>
      <c r="J59" s="292"/>
      <c r="K59" s="292"/>
      <c r="L59" s="292"/>
      <c r="M59" s="292"/>
      <c r="N59" s="292"/>
      <c r="O59" s="292"/>
      <c r="P59" s="292"/>
      <c r="Q59" s="292"/>
      <c r="R59" s="292"/>
      <c r="S59" s="292"/>
      <c r="T59" s="292"/>
      <c r="U59" s="292"/>
      <c r="V59" s="292"/>
      <c r="W59" s="292"/>
    </row>
    <row customHeight="1" ht="15" hidden="1">
      <c r="E60" s="2143" t="s">
        <v>221</v>
      </c>
      <c r="F60" s="2143"/>
      <c r="G60" s="2143"/>
      <c r="H60" s="2143"/>
      <c r="I60" s="2143"/>
      <c r="J60" s="2143"/>
      <c r="K60" s="2143"/>
      <c r="L60" s="2143"/>
      <c r="M60" s="2143"/>
      <c r="N60" s="2143"/>
      <c r="O60" s="2143"/>
      <c r="P60" s="2143"/>
      <c r="Q60" s="2143"/>
      <c r="R60" s="2143"/>
      <c r="S60" s="2143"/>
      <c r="T60" s="2143"/>
      <c r="U60" s="2143"/>
      <c r="V60" s="2143"/>
      <c r="W60" s="2143"/>
    </row>
    <row customHeight="1" ht="17.25" hidden="1">
      <c r="E61" s="2141" t="s">
        <v>222</v>
      </c>
      <c r="F61" s="2141"/>
      <c r="G61" s="2142"/>
      <c r="H61" s="2142"/>
      <c r="I61" s="2142"/>
      <c r="J61" s="2142"/>
      <c r="K61" s="2142"/>
      <c r="L61" s="2142"/>
      <c r="M61" s="2142"/>
      <c r="N61" s="2142"/>
      <c r="O61" s="2142"/>
      <c r="P61" s="2142"/>
      <c r="Q61" s="2142"/>
      <c r="R61" s="2142"/>
      <c r="S61" s="2142"/>
      <c r="T61" s="2142"/>
      <c r="U61" s="2142"/>
      <c r="V61" s="2142"/>
      <c r="W61" s="2142"/>
    </row>
    <row customHeight="1" ht="17.25" hidden="1">
      <c r="E62" s="2141" t="s">
        <v>223</v>
      </c>
      <c r="F62" s="2141"/>
      <c r="G62" s="2142"/>
      <c r="H62" s="2142"/>
      <c r="I62" s="2142"/>
      <c r="J62" s="2142"/>
      <c r="K62" s="2142"/>
      <c r="L62" s="2142"/>
      <c r="M62" s="2142"/>
      <c r="N62" s="2142"/>
      <c r="O62" s="2142"/>
      <c r="P62" s="2142"/>
      <c r="Q62" s="2142"/>
      <c r="R62" s="2142"/>
      <c r="S62" s="2142"/>
      <c r="T62" s="2142"/>
      <c r="U62" s="2142"/>
      <c r="V62" s="2142"/>
      <c r="W62" s="2142"/>
    </row>
    <row s="5568" customFormat="1" customHeight="1" ht="11.25" hidden="1">
      <c r="A63" s="412"/>
      <c r="B63" s="412"/>
      <c r="Y63" s="1475"/>
      <c r="Z63" s="1475"/>
      <c r="AA63" s="1475"/>
      <c r="AB63" s="1475"/>
      <c r="AC63" s="412"/>
      <c r="AD63" s="412"/>
      <c r="AE63" s="412"/>
      <c r="AF63" s="412"/>
      <c r="AG63" s="412"/>
      <c r="AH63" s="412"/>
      <c r="AI63" s="412"/>
      <c r="AJ63" s="412"/>
      <c r="AK63" s="412"/>
      <c r="AL63" s="412"/>
      <c r="AM63" s="412"/>
      <c r="AN63" s="412"/>
      <c r="AO63" s="412"/>
      <c r="AP63" s="412"/>
      <c r="AQ63" s="412"/>
    </row>
    <row s="5568" customFormat="1" customHeight="1" ht="17.25" hidden="1">
      <c r="A64" s="466"/>
      <c r="C64" s="344"/>
      <c r="D64" s="2105">
        <v>1</v>
      </c>
      <c r="E64" s="2107" t="s">
        <v>224</v>
      </c>
      <c r="F64" s="2109" t="s">
        <v>56</v>
      </c>
      <c r="G64" s="2112"/>
      <c r="H64" s="2114"/>
      <c r="I64" s="2116"/>
      <c r="J64" s="2118"/>
      <c r="K64" s="2102"/>
      <c r="L64" s="2097"/>
      <c r="M64" s="2097"/>
      <c r="N64" s="2099"/>
      <c r="O64" s="2102"/>
      <c r="P64" s="2097"/>
      <c r="Q64" s="2097"/>
      <c r="R64" s="2104"/>
      <c r="S64" s="2102"/>
      <c r="T64" s="1694"/>
      <c r="U64" s="1694"/>
      <c r="V64" s="1696"/>
      <c r="W64" s="1516"/>
      <c r="Y64" s="1483"/>
      <c r="Z64" s="1483"/>
      <c r="AA64" s="1483"/>
      <c r="AB64" s="1483"/>
      <c r="AC64" s="1565" t="s">
        <v>225</v>
      </c>
      <c r="AD64" s="1565" t="s">
        <v>226</v>
      </c>
      <c r="AE64" s="1565" t="s">
        <v>227</v>
      </c>
      <c r="AF64" s="1565" t="s">
        <v>228</v>
      </c>
      <c r="AG64" s="1565"/>
      <c r="AH64" s="1565" t="str">
        <f>IF($E$64=0,"",$E$64)</f>
        <v>Тариф на питьевую воду (питьевое водоснабжение)</v>
      </c>
      <c r="AI64" s="1565" t="str">
        <f>IF($G$64=0,"",$G$64)</f>
        <v/>
      </c>
      <c r="AJ64" s="1565" t="str">
        <f>IF($J$64=0,"",$J$64)</f>
        <v/>
      </c>
      <c r="AK64" s="1565" t="str">
        <f>IF($K$64="нет","без дифференциации",IF($N$64=0,"",$N$64))</f>
        <v/>
      </c>
      <c r="AL64" s="1565" t="str">
        <f>IF($O$64="нет","без дифференциации",IF($R$64=0,"",$R$64))</f>
        <v/>
      </c>
      <c r="AM64" s="1565" t="str">
        <f>IF($S$64="нет","без дифференциации",IF($V$64=0,"",$V$64))</f>
        <v/>
      </c>
      <c r="AN64" s="1565">
        <f>$I$64</f>
        <v>0</v>
      </c>
      <c r="AO64" s="1565" t="str">
        <f>$I$64&amp;"."&amp;$M$64</f>
        <v>.</v>
      </c>
      <c r="AP64" s="1565" t="str">
        <f>$I$64&amp;"."&amp;$M$64&amp;"."&amp;$Q$64</f>
        <v>..</v>
      </c>
      <c r="AQ64" s="1565" t="str">
        <f>$I$64&amp;"."&amp;$M$64&amp;"."&amp;$Q$64&amp;"."&amp;$U$64</f>
        <v>...</v>
      </c>
    </row>
    <row s="5568" customFormat="1" customHeight="1" ht="17.25" hidden="1">
      <c r="A65" s="466"/>
      <c r="C65" s="465"/>
      <c r="D65" s="2105"/>
      <c r="E65" s="2107"/>
      <c r="F65" s="2110"/>
      <c r="G65" s="2112"/>
      <c r="H65" s="2115"/>
      <c r="I65" s="2117"/>
      <c r="J65" s="2119"/>
      <c r="K65" s="2103"/>
      <c r="L65" s="2098"/>
      <c r="M65" s="2098"/>
      <c r="N65" s="2100"/>
      <c r="O65" s="2103"/>
      <c r="P65" s="2098"/>
      <c r="Q65" s="2098"/>
      <c r="R65" s="2101"/>
      <c r="S65" s="2103"/>
      <c r="T65" s="1517"/>
      <c r="U65" s="1517"/>
      <c r="V65" s="1517"/>
      <c r="W65" s="1518"/>
      <c r="Y65" s="1475"/>
      <c r="Z65" s="1475"/>
      <c r="AA65" s="1475"/>
      <c r="AB65" s="1475"/>
      <c r="AC65" s="412"/>
      <c r="AD65" s="412"/>
      <c r="AE65" s="412"/>
      <c r="AF65" s="412"/>
      <c r="AG65" s="412"/>
      <c r="AH65" s="412"/>
      <c r="AI65" s="412"/>
      <c r="AJ65" s="412"/>
      <c r="AK65" s="412"/>
      <c r="AL65" s="412"/>
      <c r="AM65" s="412"/>
      <c r="AN65" s="412"/>
      <c r="AO65" s="412"/>
      <c r="AP65" s="412"/>
      <c r="AQ65" s="412"/>
    </row>
    <row s="5569" customFormat="1" customHeight="1" ht="17.25" hidden="1">
      <c r="A66" s="466"/>
      <c r="C66" s="344"/>
      <c r="D66" s="2105"/>
      <c r="E66" s="2107"/>
      <c r="F66" s="2110"/>
      <c r="G66" s="2112"/>
      <c r="H66" s="2115"/>
      <c r="I66" s="2117"/>
      <c r="J66" s="2120"/>
      <c r="K66" s="2103"/>
      <c r="L66" s="2098"/>
      <c r="M66" s="2098"/>
      <c r="N66" s="2101"/>
      <c r="O66" s="2103"/>
      <c r="P66" s="1695"/>
      <c r="Q66" s="1517"/>
      <c r="R66" s="1517"/>
      <c r="S66" s="477"/>
      <c r="T66" s="477"/>
      <c r="U66" s="477"/>
      <c r="V66" s="477"/>
      <c r="W66" s="1518"/>
      <c r="Y66" s="1483"/>
      <c r="Z66" s="1483"/>
      <c r="AA66" s="1483"/>
      <c r="AB66" s="1483"/>
      <c r="AC66" s="1565"/>
      <c r="AD66" s="1565"/>
      <c r="AE66" s="1565"/>
      <c r="AF66" s="1565"/>
      <c r="AG66" s="1565"/>
      <c r="AH66" s="1565"/>
      <c r="AI66" s="1565"/>
      <c r="AJ66" s="1565"/>
      <c r="AK66" s="1565"/>
      <c r="AL66" s="1565"/>
      <c r="AM66" s="1565"/>
      <c r="AN66" s="1565"/>
      <c r="AO66" s="1565"/>
      <c r="AP66" s="1565"/>
      <c r="AQ66" s="1565"/>
    </row>
    <row s="5569" customFormat="1" customHeight="1" ht="17.25" hidden="1">
      <c r="A67" s="466"/>
      <c r="C67" s="465"/>
      <c r="D67" s="2105"/>
      <c r="E67" s="2107"/>
      <c r="F67" s="2110"/>
      <c r="G67" s="2112"/>
      <c r="H67" s="2115"/>
      <c r="I67" s="2117"/>
      <c r="J67" s="2120"/>
      <c r="K67" s="2103"/>
      <c r="L67" s="1517"/>
      <c r="M67" s="1517"/>
      <c r="N67" s="1517"/>
      <c r="O67" s="1517"/>
      <c r="P67" s="1517"/>
      <c r="Q67" s="1517"/>
      <c r="R67" s="1517"/>
      <c r="S67" s="477"/>
      <c r="T67" s="477"/>
      <c r="U67" s="477"/>
      <c r="V67" s="477"/>
      <c r="W67" s="1518"/>
      <c r="Y67" s="1475"/>
      <c r="Z67" s="1475"/>
      <c r="AA67" s="1475"/>
      <c r="AB67" s="1475"/>
      <c r="AC67" s="412"/>
      <c r="AD67" s="412"/>
      <c r="AE67" s="412"/>
      <c r="AF67" s="412"/>
      <c r="AG67" s="412"/>
      <c r="AH67" s="412"/>
      <c r="AI67" s="412"/>
      <c r="AJ67" s="412"/>
      <c r="AK67" s="412"/>
      <c r="AL67" s="412"/>
      <c r="AM67" s="412"/>
      <c r="AN67" s="412"/>
      <c r="AO67" s="412"/>
      <c r="AP67" s="412"/>
      <c r="AQ67" s="412"/>
    </row>
    <row s="5568" customFormat="1" customHeight="1" ht="17.25" hidden="1">
      <c r="A68" s="466"/>
      <c r="C68" s="465"/>
      <c r="D68" s="2106"/>
      <c r="E68" s="2108"/>
      <c r="F68" s="2111"/>
      <c r="G68" s="2113"/>
      <c r="H68" s="1520"/>
      <c r="I68" s="1521"/>
      <c r="J68" s="1521"/>
      <c r="K68" s="1521"/>
      <c r="L68" s="1521"/>
      <c r="M68" s="1521"/>
      <c r="N68" s="1521"/>
      <c r="O68" s="1521"/>
      <c r="P68" s="1521"/>
      <c r="Q68" s="1521"/>
      <c r="R68" s="1521"/>
      <c r="S68" s="1522"/>
      <c r="T68" s="1522"/>
      <c r="U68" s="1522"/>
      <c r="V68" s="1522"/>
      <c r="W68" s="1523"/>
      <c r="Y68" s="1475"/>
      <c r="Z68" s="1475"/>
      <c r="AA68" s="1475"/>
      <c r="AB68" s="1475"/>
      <c r="AC68" s="412"/>
      <c r="AD68" s="412"/>
      <c r="AE68" s="412"/>
      <c r="AF68" s="412"/>
      <c r="AG68" s="412"/>
      <c r="AH68" s="412"/>
      <c r="AI68" s="412"/>
      <c r="AJ68" s="412"/>
      <c r="AK68" s="412"/>
      <c r="AL68" s="412"/>
      <c r="AM68" s="412"/>
      <c r="AN68" s="412"/>
      <c r="AO68" s="412"/>
      <c r="AP68" s="412"/>
      <c r="AQ68" s="412"/>
    </row>
    <row s="5568" customFormat="1" customHeight="1" ht="17.25" hidden="1">
      <c r="A69" s="466"/>
      <c r="C69" s="344"/>
      <c r="D69" s="2105">
        <v>2</v>
      </c>
      <c r="E69" s="2107" t="s">
        <v>229</v>
      </c>
      <c r="F69" s="2109" t="s">
        <v>56</v>
      </c>
      <c r="G69" s="2112"/>
      <c r="H69" s="2114"/>
      <c r="I69" s="2116"/>
      <c r="J69" s="2118"/>
      <c r="K69" s="2102"/>
      <c r="L69" s="2097"/>
      <c r="M69" s="2097"/>
      <c r="N69" s="2099"/>
      <c r="O69" s="2102"/>
      <c r="P69" s="2097"/>
      <c r="Q69" s="2097"/>
      <c r="R69" s="2104"/>
      <c r="S69" s="2102"/>
      <c r="T69" s="1667"/>
      <c r="U69" s="1667"/>
      <c r="V69" s="1669"/>
      <c r="W69" s="1516"/>
      <c r="X69" s="1483"/>
      <c r="Y69" s="1483"/>
      <c r="Z69" s="1483"/>
      <c r="AA69" s="1483"/>
      <c r="AB69" s="1483"/>
      <c r="AC69" s="1565" t="s">
        <v>230</v>
      </c>
      <c r="AD69" s="1565" t="s">
        <v>231</v>
      </c>
      <c r="AE69" s="1565" t="s">
        <v>232</v>
      </c>
      <c r="AF69" s="1565" t="s">
        <v>233</v>
      </c>
      <c r="AG69" s="1565"/>
      <c r="AH69" s="1565" t="str">
        <f>IF($E$69=0,"",$E$69)</f>
        <v>Тариф на техническую воду</v>
      </c>
      <c r="AI69" s="1565" t="str">
        <f>IF($G$69=0,"",$G$69)</f>
        <v/>
      </c>
      <c r="AJ69" s="1565" t="str">
        <f>IF($J$69=0,"",$J$69)</f>
        <v/>
      </c>
      <c r="AK69" s="1565" t="str">
        <f>IF($K$69="нет","без дифференциации",IF($N$69=0,"",$N$69))</f>
        <v/>
      </c>
      <c r="AL69" s="1565" t="str">
        <f>IF($O$69="нет","без дифференциации",IF($R$69=0,"",$R$69))</f>
        <v/>
      </c>
      <c r="AM69" s="1565" t="str">
        <f>IF($S$69="нет","без дифференциации",IF($V$69=0,"",$V$69))</f>
        <v/>
      </c>
      <c r="AN69" s="1744">
        <f>$I$69</f>
        <v>0</v>
      </c>
      <c r="AO69" s="1565" t="str">
        <f>$I$69&amp;"."&amp;$M$69</f>
        <v>.</v>
      </c>
      <c r="AP69" s="412" t="str">
        <f>$I$69&amp;"."&amp;$M$69&amp;"."&amp;$Q$69</f>
        <v>..</v>
      </c>
      <c r="AQ69" s="412" t="str">
        <f>$I$69&amp;"."&amp;$M$69&amp;"."&amp;$Q$69&amp;"."&amp;$U$69</f>
        <v>...</v>
      </c>
    </row>
    <row s="5568" customFormat="1" customHeight="1" ht="17.25" hidden="1">
      <c r="A70" s="466"/>
      <c r="C70" s="465"/>
      <c r="D70" s="2105"/>
      <c r="E70" s="2107"/>
      <c r="F70" s="2110"/>
      <c r="G70" s="2112"/>
      <c r="H70" s="2115"/>
      <c r="I70" s="2117"/>
      <c r="J70" s="2119"/>
      <c r="K70" s="2103"/>
      <c r="L70" s="2098"/>
      <c r="M70" s="2098"/>
      <c r="N70" s="2100"/>
      <c r="O70" s="2103"/>
      <c r="P70" s="2098"/>
      <c r="Q70" s="2098"/>
      <c r="R70" s="2101"/>
      <c r="S70" s="2103"/>
      <c r="T70" s="1517"/>
      <c r="U70" s="1517"/>
      <c r="V70" s="1517"/>
      <c r="W70" s="1518"/>
      <c r="X70" s="1475"/>
      <c r="Y70" s="1475"/>
      <c r="Z70" s="1475"/>
      <c r="AA70" s="1475"/>
      <c r="AB70" s="1475"/>
      <c r="AC70" s="412"/>
      <c r="AD70" s="412"/>
      <c r="AE70" s="412"/>
      <c r="AF70" s="412"/>
      <c r="AG70" s="412"/>
      <c r="AH70" s="412"/>
      <c r="AI70" s="412"/>
      <c r="AJ70" s="412"/>
      <c r="AK70" s="412"/>
      <c r="AL70" s="412"/>
      <c r="AM70" s="412"/>
      <c r="AN70" s="412"/>
      <c r="AO70" s="412"/>
      <c r="AP70" s="412"/>
      <c r="AQ70" s="412"/>
    </row>
    <row s="5568" customFormat="1" customHeight="1" ht="17.25" hidden="1">
      <c r="A71" s="466"/>
      <c r="C71" s="465"/>
      <c r="D71" s="2106"/>
      <c r="E71" s="2108"/>
      <c r="F71" s="2110"/>
      <c r="G71" s="2113"/>
      <c r="H71" s="2115"/>
      <c r="I71" s="2117"/>
      <c r="J71" s="2120"/>
      <c r="K71" s="2103"/>
      <c r="L71" s="2098"/>
      <c r="M71" s="2098"/>
      <c r="N71" s="2101"/>
      <c r="O71" s="2103"/>
      <c r="P71" s="1668"/>
      <c r="Q71" s="1517"/>
      <c r="R71" s="1517"/>
      <c r="S71" s="477"/>
      <c r="T71" s="477"/>
      <c r="U71" s="477"/>
      <c r="V71" s="477"/>
      <c r="W71" s="1518"/>
      <c r="X71" s="1475"/>
      <c r="Y71" s="1475"/>
      <c r="Z71" s="1475"/>
      <c r="AA71" s="1475"/>
      <c r="AB71" s="1475"/>
      <c r="AC71" s="412"/>
      <c r="AD71" s="412"/>
      <c r="AE71" s="412"/>
      <c r="AF71" s="412"/>
      <c r="AG71" s="412"/>
      <c r="AH71" s="412"/>
      <c r="AI71" s="412"/>
      <c r="AJ71" s="412"/>
      <c r="AK71" s="412"/>
      <c r="AL71" s="412"/>
      <c r="AM71" s="412"/>
      <c r="AN71" s="412"/>
      <c r="AO71" s="412"/>
      <c r="AP71" s="412"/>
      <c r="AQ71" s="412"/>
    </row>
    <row s="5568" customFormat="1" customHeight="1" ht="17.25" hidden="1">
      <c r="A72" s="466"/>
      <c r="C72" s="465"/>
      <c r="D72" s="2106"/>
      <c r="E72" s="2108"/>
      <c r="F72" s="2110"/>
      <c r="G72" s="2113"/>
      <c r="H72" s="2115"/>
      <c r="I72" s="2117"/>
      <c r="J72" s="2120"/>
      <c r="K72" s="2103"/>
      <c r="L72" s="1517"/>
      <c r="M72" s="1517"/>
      <c r="N72" s="1517"/>
      <c r="O72" s="1517"/>
      <c r="P72" s="1517"/>
      <c r="Q72" s="1517"/>
      <c r="R72" s="1517"/>
      <c r="S72" s="477"/>
      <c r="T72" s="477"/>
      <c r="U72" s="477"/>
      <c r="V72" s="477"/>
      <c r="W72" s="1518"/>
      <c r="X72" s="1475"/>
      <c r="Y72" s="1475"/>
      <c r="Z72" s="1475"/>
      <c r="AA72" s="1475"/>
      <c r="AB72" s="1475"/>
      <c r="AC72" s="412"/>
      <c r="AD72" s="412"/>
      <c r="AE72" s="412"/>
      <c r="AF72" s="412"/>
      <c r="AG72" s="412"/>
      <c r="AH72" s="412"/>
      <c r="AI72" s="412"/>
      <c r="AJ72" s="412"/>
      <c r="AK72" s="412"/>
      <c r="AL72" s="412"/>
      <c r="AM72" s="412"/>
      <c r="AN72" s="412"/>
      <c r="AO72" s="412"/>
      <c r="AP72" s="412"/>
      <c r="AQ72" s="412"/>
    </row>
    <row s="5568" customFormat="1" customHeight="1" ht="17.25" hidden="1">
      <c r="A73" s="466"/>
      <c r="C73" s="465"/>
      <c r="D73" s="2106"/>
      <c r="E73" s="2108"/>
      <c r="F73" s="2111"/>
      <c r="G73" s="2113"/>
      <c r="H73" s="1520"/>
      <c r="I73" s="1521"/>
      <c r="J73" s="1521"/>
      <c r="K73" s="1521"/>
      <c r="L73" s="1521"/>
      <c r="M73" s="1521"/>
      <c r="N73" s="1521"/>
      <c r="O73" s="1521"/>
      <c r="P73" s="1521"/>
      <c r="Q73" s="1521"/>
      <c r="R73" s="1521"/>
      <c r="S73" s="1522"/>
      <c r="T73" s="1522"/>
      <c r="U73" s="1522"/>
      <c r="V73" s="1522"/>
      <c r="W73" s="1523"/>
      <c r="X73" s="1475"/>
      <c r="Y73" s="1475"/>
      <c r="Z73" s="1475"/>
      <c r="AA73" s="1475"/>
      <c r="AB73" s="1475"/>
      <c r="AC73" s="412"/>
      <c r="AD73" s="412"/>
      <c r="AE73" s="412"/>
      <c r="AF73" s="412"/>
      <c r="AG73" s="412"/>
      <c r="AH73" s="412"/>
      <c r="AI73" s="412"/>
      <c r="AJ73" s="412"/>
      <c r="AK73" s="412"/>
      <c r="AL73" s="412"/>
      <c r="AM73" s="412"/>
      <c r="AN73" s="412"/>
      <c r="AO73" s="412"/>
      <c r="AP73" s="412"/>
      <c r="AQ73" s="412"/>
    </row>
    <row s="5568" customFormat="1" customHeight="1" ht="17.25" hidden="1">
      <c r="A74" s="466"/>
      <c r="C74" s="344"/>
      <c r="D74" s="2105">
        <v>3</v>
      </c>
      <c r="E74" s="2107" t="s">
        <v>234</v>
      </c>
      <c r="F74" s="2109" t="s">
        <v>56</v>
      </c>
      <c r="G74" s="2112"/>
      <c r="H74" s="2114"/>
      <c r="I74" s="2116"/>
      <c r="J74" s="2118"/>
      <c r="K74" s="2102"/>
      <c r="L74" s="2097"/>
      <c r="M74" s="2097"/>
      <c r="N74" s="2099"/>
      <c r="O74" s="2102"/>
      <c r="P74" s="2097"/>
      <c r="Q74" s="2097"/>
      <c r="R74" s="2104"/>
      <c r="S74" s="2102"/>
      <c r="T74" s="1667"/>
      <c r="U74" s="1667"/>
      <c r="V74" s="1669"/>
      <c r="W74" s="1516"/>
      <c r="X74" s="1483"/>
      <c r="Y74" s="1483"/>
      <c r="Z74" s="1483"/>
      <c r="AA74" s="1483"/>
      <c r="AB74" s="1483"/>
      <c r="AC74" s="1565" t="s">
        <v>235</v>
      </c>
      <c r="AD74" s="1565" t="s">
        <v>236</v>
      </c>
      <c r="AE74" s="1565" t="s">
        <v>237</v>
      </c>
      <c r="AF74" s="1565" t="s">
        <v>238</v>
      </c>
      <c r="AG74" s="1565"/>
      <c r="AH74" s="1565" t="str">
        <f>IF($E$74=0,"",$E$74)</f>
        <v>Тариф на транспортировку воды</v>
      </c>
      <c r="AI74" s="1565" t="str">
        <f>IF($G$74=0,"",$G$74)</f>
        <v/>
      </c>
      <c r="AJ74" s="1565" t="str">
        <f>IF($J$74=0,"",$J$74)</f>
        <v/>
      </c>
      <c r="AK74" s="1565" t="str">
        <f>IF($K$74="нет","без дифференциации",IF($N$74=0,"",$N$74))</f>
        <v/>
      </c>
      <c r="AL74" s="1565" t="str">
        <f>IF($O$74="нет","без дифференциации",IF($R$74=0,"",$R$74))</f>
        <v/>
      </c>
      <c r="AM74" s="1565" t="str">
        <f>IF($S$74="нет","без дифференциации",IF($V$74=0,"",$V$74))</f>
        <v/>
      </c>
      <c r="AN74" s="1744">
        <f>$I$74</f>
        <v>0</v>
      </c>
      <c r="AO74" s="1565" t="str">
        <f>$I$74&amp;"."&amp;$M$74</f>
        <v>.</v>
      </c>
      <c r="AP74" s="412" t="str">
        <f>$I$74&amp;"."&amp;$M$74&amp;"."&amp;$Q$74</f>
        <v>..</v>
      </c>
      <c r="AQ74" s="412" t="str">
        <f>$I$74&amp;"."&amp;$M$74&amp;"."&amp;$Q$74&amp;"."&amp;$U$74</f>
        <v>...</v>
      </c>
    </row>
    <row s="5568" customFormat="1" customHeight="1" ht="17.25" hidden="1">
      <c r="A75" s="466"/>
      <c r="C75" s="465"/>
      <c r="D75" s="2105"/>
      <c r="E75" s="2107"/>
      <c r="F75" s="2110"/>
      <c r="G75" s="2112"/>
      <c r="H75" s="2115"/>
      <c r="I75" s="2117"/>
      <c r="J75" s="2119"/>
      <c r="K75" s="2103"/>
      <c r="L75" s="2098"/>
      <c r="M75" s="2098"/>
      <c r="N75" s="2100"/>
      <c r="O75" s="2103"/>
      <c r="P75" s="2098"/>
      <c r="Q75" s="2098"/>
      <c r="R75" s="2101"/>
      <c r="S75" s="2103"/>
      <c r="T75" s="1517"/>
      <c r="U75" s="1517"/>
      <c r="V75" s="1517"/>
      <c r="W75" s="1518"/>
      <c r="X75" s="1475"/>
      <c r="Y75" s="1475"/>
      <c r="Z75" s="1475"/>
      <c r="AA75" s="1475"/>
      <c r="AB75" s="1475"/>
      <c r="AC75" s="412"/>
      <c r="AD75" s="412"/>
      <c r="AE75" s="412"/>
      <c r="AF75" s="412"/>
      <c r="AG75" s="412"/>
      <c r="AH75" s="412"/>
      <c r="AI75" s="412"/>
      <c r="AJ75" s="412"/>
      <c r="AK75" s="412"/>
      <c r="AL75" s="412"/>
      <c r="AM75" s="412"/>
      <c r="AN75" s="412"/>
      <c r="AO75" s="412"/>
      <c r="AP75" s="412"/>
      <c r="AQ75" s="412"/>
    </row>
    <row s="5568" customFormat="1" customHeight="1" ht="17.25" hidden="1">
      <c r="A76" s="466"/>
      <c r="C76" s="465"/>
      <c r="D76" s="2106"/>
      <c r="E76" s="2108"/>
      <c r="F76" s="2110"/>
      <c r="G76" s="2113"/>
      <c r="H76" s="2115"/>
      <c r="I76" s="2117"/>
      <c r="J76" s="2120"/>
      <c r="K76" s="2103"/>
      <c r="L76" s="2098"/>
      <c r="M76" s="2098"/>
      <c r="N76" s="2101"/>
      <c r="O76" s="2103"/>
      <c r="P76" s="1668"/>
      <c r="Q76" s="1517"/>
      <c r="R76" s="1517"/>
      <c r="S76" s="477"/>
      <c r="T76" s="477"/>
      <c r="U76" s="477"/>
      <c r="V76" s="477"/>
      <c r="W76" s="1518"/>
      <c r="X76" s="1475"/>
      <c r="Y76" s="1475"/>
      <c r="Z76" s="1475"/>
      <c r="AA76" s="1475"/>
      <c r="AB76" s="1475"/>
      <c r="AC76" s="412"/>
      <c r="AD76" s="412"/>
      <c r="AE76" s="412"/>
      <c r="AF76" s="412"/>
      <c r="AG76" s="412"/>
      <c r="AH76" s="412"/>
      <c r="AI76" s="412"/>
      <c r="AJ76" s="412"/>
      <c r="AK76" s="412"/>
      <c r="AL76" s="412"/>
      <c r="AM76" s="412"/>
      <c r="AN76" s="412"/>
      <c r="AO76" s="412"/>
      <c r="AP76" s="412"/>
      <c r="AQ76" s="412"/>
    </row>
    <row s="5568" customFormat="1" customHeight="1" ht="17.25" hidden="1">
      <c r="A77" s="466"/>
      <c r="C77" s="465"/>
      <c r="D77" s="2106"/>
      <c r="E77" s="2108"/>
      <c r="F77" s="2110"/>
      <c r="G77" s="2113"/>
      <c r="H77" s="2115"/>
      <c r="I77" s="2117"/>
      <c r="J77" s="2120"/>
      <c r="K77" s="2103"/>
      <c r="L77" s="1517"/>
      <c r="M77" s="1517"/>
      <c r="N77" s="1517"/>
      <c r="O77" s="1517"/>
      <c r="P77" s="1517"/>
      <c r="Q77" s="1517"/>
      <c r="R77" s="1517"/>
      <c r="S77" s="477"/>
      <c r="T77" s="477"/>
      <c r="U77" s="477"/>
      <c r="V77" s="477"/>
      <c r="W77" s="1518"/>
      <c r="X77" s="1475"/>
      <c r="Y77" s="1475"/>
      <c r="Z77" s="1475"/>
      <c r="AA77" s="1475"/>
      <c r="AB77" s="1475"/>
      <c r="AC77" s="412"/>
      <c r="AD77" s="412"/>
      <c r="AE77" s="412"/>
      <c r="AF77" s="412"/>
      <c r="AG77" s="412"/>
      <c r="AH77" s="412"/>
      <c r="AI77" s="412"/>
      <c r="AJ77" s="412"/>
      <c r="AK77" s="412"/>
      <c r="AL77" s="412"/>
      <c r="AM77" s="412"/>
      <c r="AN77" s="412"/>
      <c r="AO77" s="412"/>
      <c r="AP77" s="412"/>
      <c r="AQ77" s="412"/>
    </row>
    <row s="5568" customFormat="1" customHeight="1" ht="17.25" hidden="1">
      <c r="A78" s="466"/>
      <c r="C78" s="465"/>
      <c r="D78" s="2106"/>
      <c r="E78" s="2108"/>
      <c r="F78" s="2111"/>
      <c r="G78" s="2113"/>
      <c r="H78" s="1520"/>
      <c r="I78" s="1521"/>
      <c r="J78" s="1521"/>
      <c r="K78" s="1521"/>
      <c r="L78" s="1521"/>
      <c r="M78" s="1521"/>
      <c r="N78" s="1521"/>
      <c r="O78" s="1521"/>
      <c r="P78" s="1521"/>
      <c r="Q78" s="1521"/>
      <c r="R78" s="1521"/>
      <c r="S78" s="1522"/>
      <c r="T78" s="1522"/>
      <c r="U78" s="1522"/>
      <c r="V78" s="1522"/>
      <c r="W78" s="1523"/>
      <c r="X78" s="1475"/>
      <c r="Y78" s="1475"/>
      <c r="Z78" s="1475"/>
      <c r="AA78" s="1475"/>
      <c r="AB78" s="1475"/>
      <c r="AC78" s="412"/>
      <c r="AD78" s="412"/>
      <c r="AE78" s="412"/>
      <c r="AF78" s="412"/>
      <c r="AG78" s="412"/>
      <c r="AH78" s="412"/>
      <c r="AI78" s="412"/>
      <c r="AJ78" s="412"/>
      <c r="AK78" s="412"/>
      <c r="AL78" s="412"/>
      <c r="AM78" s="412"/>
      <c r="AN78" s="412"/>
      <c r="AO78" s="412"/>
      <c r="AP78" s="412"/>
      <c r="AQ78" s="412"/>
    </row>
    <row s="5568" customFormat="1" customHeight="1" ht="17.25" hidden="1">
      <c r="A79" s="466"/>
      <c r="C79" s="344"/>
      <c r="D79" s="2105">
        <v>4</v>
      </c>
      <c r="E79" s="2107" t="s">
        <v>239</v>
      </c>
      <c r="F79" s="2109" t="s">
        <v>56</v>
      </c>
      <c r="G79" s="2112"/>
      <c r="H79" s="2114"/>
      <c r="I79" s="2116"/>
      <c r="J79" s="2118"/>
      <c r="K79" s="2102"/>
      <c r="L79" s="2097"/>
      <c r="M79" s="2097"/>
      <c r="N79" s="2099"/>
      <c r="O79" s="2102"/>
      <c r="P79" s="2097"/>
      <c r="Q79" s="2097"/>
      <c r="R79" s="2104"/>
      <c r="S79" s="2102"/>
      <c r="T79" s="1667"/>
      <c r="U79" s="1667"/>
      <c r="V79" s="1669"/>
      <c r="W79" s="1516"/>
      <c r="X79" s="1483"/>
      <c r="Y79" s="1483"/>
      <c r="Z79" s="1483"/>
      <c r="AA79" s="1483"/>
      <c r="AB79" s="1483"/>
      <c r="AC79" s="1565" t="s">
        <v>240</v>
      </c>
      <c r="AD79" s="1565" t="s">
        <v>241</v>
      </c>
      <c r="AE79" s="1565" t="s">
        <v>242</v>
      </c>
      <c r="AF79" s="1565" t="s">
        <v>243</v>
      </c>
      <c r="AG79" s="1565"/>
      <c r="AH79" s="1565" t="str">
        <f>IF($E$79=0,"",$E$79)</f>
        <v>Тариф на подвоз воды</v>
      </c>
      <c r="AI79" s="1565" t="str">
        <f>IF($G$79=0,"",$G$79)</f>
        <v/>
      </c>
      <c r="AJ79" s="1565" t="str">
        <f>IF($J$79=0,"",$J$79)</f>
        <v/>
      </c>
      <c r="AK79" s="1565" t="str">
        <f>IF($K$79="нет","без дифференциации",IF($N$79=0,"",$N$79))</f>
        <v/>
      </c>
      <c r="AL79" s="1565" t="str">
        <f>IF($O$79="нет","без дифференциации",IF($R$79=0,"",$R$79))</f>
        <v/>
      </c>
      <c r="AM79" s="1565" t="str">
        <f>IF($S$79="нет","без дифференциации",IF($V$79=0,"",$V$79))</f>
        <v/>
      </c>
      <c r="AN79" s="1744">
        <f>$I$79</f>
        <v>0</v>
      </c>
      <c r="AO79" s="1565" t="str">
        <f>$I$79&amp;"."&amp;$M$79</f>
        <v>.</v>
      </c>
      <c r="AP79" s="412" t="str">
        <f>$I$79&amp;"."&amp;$M$79&amp;"."&amp;$Q$79</f>
        <v>..</v>
      </c>
      <c r="AQ79" s="412" t="str">
        <f>$I$79&amp;"."&amp;$M$79&amp;"."&amp;$Q$79&amp;"."&amp;$U$79</f>
        <v>...</v>
      </c>
    </row>
    <row s="5568" customFormat="1" customHeight="1" ht="17.25" hidden="1">
      <c r="A80" s="466"/>
      <c r="C80" s="465"/>
      <c r="D80" s="2105"/>
      <c r="E80" s="2107"/>
      <c r="F80" s="2110"/>
      <c r="G80" s="2112"/>
      <c r="H80" s="2115"/>
      <c r="I80" s="2117"/>
      <c r="J80" s="2119"/>
      <c r="K80" s="2103"/>
      <c r="L80" s="2098"/>
      <c r="M80" s="2098"/>
      <c r="N80" s="2100"/>
      <c r="O80" s="2103"/>
      <c r="P80" s="2098"/>
      <c r="Q80" s="2098"/>
      <c r="R80" s="2101"/>
      <c r="S80" s="2103"/>
      <c r="T80" s="1517"/>
      <c r="U80" s="1517"/>
      <c r="V80" s="1517"/>
      <c r="W80" s="1518"/>
      <c r="X80" s="1475"/>
      <c r="Y80" s="1475"/>
      <c r="Z80" s="1475"/>
      <c r="AA80" s="1475"/>
      <c r="AB80" s="1475"/>
      <c r="AC80" s="412"/>
      <c r="AD80" s="412"/>
      <c r="AE80" s="412"/>
      <c r="AF80" s="412"/>
      <c r="AG80" s="412"/>
      <c r="AH80" s="412"/>
      <c r="AI80" s="412"/>
      <c r="AJ80" s="412"/>
      <c r="AK80" s="412"/>
      <c r="AL80" s="412"/>
      <c r="AM80" s="412"/>
      <c r="AN80" s="412"/>
      <c r="AO80" s="412"/>
      <c r="AP80" s="412"/>
      <c r="AQ80" s="412"/>
    </row>
    <row s="5568" customFormat="1" customHeight="1" ht="17.25" hidden="1">
      <c r="A81" s="466"/>
      <c r="C81" s="465"/>
      <c r="D81" s="2106"/>
      <c r="E81" s="2108"/>
      <c r="F81" s="2110"/>
      <c r="G81" s="2113"/>
      <c r="H81" s="2115"/>
      <c r="I81" s="2117"/>
      <c r="J81" s="2120"/>
      <c r="K81" s="2103"/>
      <c r="L81" s="2098"/>
      <c r="M81" s="2098"/>
      <c r="N81" s="2101"/>
      <c r="O81" s="2103"/>
      <c r="P81" s="1668"/>
      <c r="Q81" s="1517"/>
      <c r="R81" s="1517"/>
      <c r="S81" s="477"/>
      <c r="T81" s="477"/>
      <c r="U81" s="477"/>
      <c r="V81" s="477"/>
      <c r="W81" s="1518"/>
      <c r="X81" s="1475"/>
      <c r="Y81" s="1475"/>
      <c r="Z81" s="1475"/>
      <c r="AA81" s="1475"/>
      <c r="AB81" s="1475"/>
      <c r="AC81" s="412"/>
      <c r="AD81" s="412"/>
      <c r="AE81" s="412"/>
      <c r="AF81" s="412"/>
      <c r="AG81" s="412"/>
      <c r="AH81" s="412"/>
      <c r="AI81" s="412"/>
      <c r="AJ81" s="412"/>
      <c r="AK81" s="412"/>
      <c r="AL81" s="412"/>
      <c r="AM81" s="412"/>
      <c r="AN81" s="412"/>
      <c r="AO81" s="412"/>
      <c r="AP81" s="412"/>
      <c r="AQ81" s="412"/>
    </row>
    <row s="5568" customFormat="1" customHeight="1" ht="17.25" hidden="1">
      <c r="A82" s="466"/>
      <c r="C82" s="465"/>
      <c r="D82" s="2106"/>
      <c r="E82" s="2108"/>
      <c r="F82" s="2110"/>
      <c r="G82" s="2113"/>
      <c r="H82" s="2115"/>
      <c r="I82" s="2117"/>
      <c r="J82" s="2120"/>
      <c r="K82" s="2103"/>
      <c r="L82" s="1517"/>
      <c r="M82" s="1517"/>
      <c r="N82" s="1517"/>
      <c r="O82" s="1517"/>
      <c r="P82" s="1517"/>
      <c r="Q82" s="1517"/>
      <c r="R82" s="1517"/>
      <c r="S82" s="477"/>
      <c r="T82" s="477"/>
      <c r="U82" s="477"/>
      <c r="V82" s="477"/>
      <c r="W82" s="1518"/>
      <c r="X82" s="1475"/>
      <c r="Y82" s="1475"/>
      <c r="Z82" s="1475"/>
      <c r="AA82" s="1475"/>
      <c r="AB82" s="1475"/>
      <c r="AC82" s="412"/>
      <c r="AD82" s="412"/>
      <c r="AE82" s="412"/>
      <c r="AF82" s="412"/>
      <c r="AG82" s="412"/>
      <c r="AH82" s="412"/>
      <c r="AI82" s="412"/>
      <c r="AJ82" s="412"/>
      <c r="AK82" s="412"/>
      <c r="AL82" s="412"/>
      <c r="AM82" s="412"/>
      <c r="AN82" s="412"/>
      <c r="AO82" s="412"/>
      <c r="AP82" s="412"/>
      <c r="AQ82" s="412"/>
    </row>
    <row s="5568" customFormat="1" customHeight="1" ht="17.25" hidden="1">
      <c r="A83" s="466"/>
      <c r="C83" s="465"/>
      <c r="D83" s="2106"/>
      <c r="E83" s="2108"/>
      <c r="F83" s="2111"/>
      <c r="G83" s="2113"/>
      <c r="H83" s="1520"/>
      <c r="I83" s="1521"/>
      <c r="J83" s="1521"/>
      <c r="K83" s="1521"/>
      <c r="L83" s="1521"/>
      <c r="M83" s="1521"/>
      <c r="N83" s="1521"/>
      <c r="O83" s="1521"/>
      <c r="P83" s="1521"/>
      <c r="Q83" s="1521"/>
      <c r="R83" s="1521"/>
      <c r="S83" s="1522"/>
      <c r="T83" s="1522"/>
      <c r="U83" s="1522"/>
      <c r="V83" s="1522"/>
      <c r="W83" s="1523"/>
      <c r="X83" s="1475"/>
      <c r="Y83" s="1475"/>
      <c r="Z83" s="1475"/>
      <c r="AA83" s="1475"/>
      <c r="AB83" s="1475"/>
      <c r="AC83" s="412"/>
      <c r="AD83" s="412"/>
      <c r="AE83" s="412"/>
      <c r="AF83" s="412"/>
      <c r="AG83" s="412"/>
      <c r="AH83" s="412"/>
      <c r="AI83" s="412"/>
      <c r="AJ83" s="412"/>
      <c r="AK83" s="412"/>
      <c r="AL83" s="412"/>
      <c r="AM83" s="412"/>
      <c r="AN83" s="412"/>
      <c r="AO83" s="412"/>
      <c r="AP83" s="412"/>
      <c r="AQ83" s="412"/>
    </row>
    <row s="5568" customFormat="1" customHeight="1" ht="17.25" hidden="1">
      <c r="A84" s="466"/>
      <c r="C84" s="344"/>
      <c r="D84" s="2105">
        <v>5</v>
      </c>
      <c r="E84" s="2107" t="s">
        <v>244</v>
      </c>
      <c r="F84" s="2109" t="s">
        <v>56</v>
      </c>
      <c r="G84" s="2112"/>
      <c r="H84" s="2114"/>
      <c r="I84" s="2116"/>
      <c r="J84" s="2118"/>
      <c r="K84" s="2102"/>
      <c r="L84" s="2097"/>
      <c r="M84" s="2097"/>
      <c r="N84" s="2099"/>
      <c r="O84" s="2102"/>
      <c r="P84" s="2097"/>
      <c r="Q84" s="2097"/>
      <c r="R84" s="2104"/>
      <c r="S84" s="2102"/>
      <c r="T84" s="1694"/>
      <c r="U84" s="1694"/>
      <c r="V84" s="1696"/>
      <c r="W84" s="1516"/>
      <c r="X84" s="1483"/>
      <c r="Y84" s="1483"/>
      <c r="Z84" s="1483"/>
      <c r="AA84" s="1483"/>
      <c r="AB84" s="1483"/>
      <c r="AC84" s="1565" t="s">
        <v>245</v>
      </c>
      <c r="AD84" s="1565" t="s">
        <v>246</v>
      </c>
      <c r="AE84" s="1565" t="s">
        <v>247</v>
      </c>
      <c r="AF84" s="1565" t="s">
        <v>248</v>
      </c>
      <c r="AG84" s="1565"/>
      <c r="AH84" s="1565" t="str">
        <f>IF($E$84=0,"",$E$84)</f>
        <v>Тариф на подключение (технологическое присоединение) к централизованной системе холодного водоснабжения</v>
      </c>
      <c r="AI84" s="1565" t="str">
        <f>IF($G$84=0,"",$G$84)</f>
        <v/>
      </c>
      <c r="AJ84" s="1565" t="str">
        <f>IF($J$84=0,"",$J$84)</f>
        <v/>
      </c>
      <c r="AK84" s="1565" t="str">
        <f>IF($K$84="нет","без дифференциации",IF($N$84=0,"",$N$84))</f>
        <v/>
      </c>
      <c r="AL84" s="1565" t="str">
        <f>IF($O$84="нет","без дифференциации",IF($R$84=0,"",$R$84))</f>
        <v/>
      </c>
      <c r="AM84" s="1565" t="str">
        <f>IF($S$84="нет","без дифференциации",IF($V$84=0,"",$V$84))</f>
        <v/>
      </c>
      <c r="AN84" s="1744">
        <f>$I$84</f>
        <v>0</v>
      </c>
      <c r="AO84" s="1565" t="str">
        <f>$I$84&amp;"."&amp;$M$84</f>
        <v>.</v>
      </c>
      <c r="AP84" s="412" t="str">
        <f>$I$84&amp;"."&amp;$M$84&amp;"."&amp;$Q$84</f>
        <v>..</v>
      </c>
      <c r="AQ84" s="412" t="str">
        <f>$I$84&amp;"."&amp;$M$84&amp;"."&amp;$Q$84&amp;"."&amp;$U$84</f>
        <v>...</v>
      </c>
    </row>
    <row s="5568" customFormat="1" customHeight="1" ht="17.25" hidden="1">
      <c r="A85" s="466"/>
      <c r="C85" s="465"/>
      <c r="D85" s="2105"/>
      <c r="E85" s="2107"/>
      <c r="F85" s="2110"/>
      <c r="G85" s="2112"/>
      <c r="H85" s="2115"/>
      <c r="I85" s="2117"/>
      <c r="J85" s="2119"/>
      <c r="K85" s="2103"/>
      <c r="L85" s="2098"/>
      <c r="M85" s="2098"/>
      <c r="N85" s="2100"/>
      <c r="O85" s="2103"/>
      <c r="P85" s="2098"/>
      <c r="Q85" s="2098"/>
      <c r="R85" s="2101"/>
      <c r="S85" s="2103"/>
      <c r="T85" s="1517"/>
      <c r="U85" s="1517"/>
      <c r="V85" s="1517"/>
      <c r="W85" s="1518"/>
      <c r="X85" s="1475"/>
      <c r="Y85" s="1475"/>
      <c r="Z85" s="1475"/>
      <c r="AA85" s="1475"/>
      <c r="AB85" s="1475"/>
      <c r="AC85" s="412"/>
      <c r="AD85" s="412"/>
      <c r="AE85" s="412"/>
      <c r="AF85" s="412"/>
      <c r="AG85" s="412"/>
      <c r="AH85" s="412"/>
      <c r="AI85" s="412"/>
      <c r="AJ85" s="412"/>
      <c r="AK85" s="412"/>
      <c r="AL85" s="412"/>
      <c r="AM85" s="412"/>
      <c r="AN85" s="412"/>
      <c r="AO85" s="412"/>
      <c r="AP85" s="412"/>
      <c r="AQ85" s="412"/>
    </row>
    <row s="5568" customFormat="1" customHeight="1" ht="17.25" hidden="1">
      <c r="A86" s="466"/>
      <c r="C86" s="465"/>
      <c r="D86" s="2106"/>
      <c r="E86" s="2108"/>
      <c r="F86" s="2110"/>
      <c r="G86" s="2113"/>
      <c r="H86" s="2115"/>
      <c r="I86" s="2117"/>
      <c r="J86" s="2120"/>
      <c r="K86" s="2103"/>
      <c r="L86" s="2098"/>
      <c r="M86" s="2098"/>
      <c r="N86" s="2101"/>
      <c r="O86" s="2103"/>
      <c r="P86" s="1695"/>
      <c r="Q86" s="1517"/>
      <c r="R86" s="1517"/>
      <c r="S86" s="477"/>
      <c r="T86" s="477"/>
      <c r="U86" s="477"/>
      <c r="V86" s="477"/>
      <c r="W86" s="1518"/>
      <c r="X86" s="1475"/>
      <c r="Y86" s="1475"/>
      <c r="Z86" s="1475"/>
      <c r="AA86" s="1475"/>
      <c r="AB86" s="1475"/>
      <c r="AC86" s="412"/>
      <c r="AD86" s="412"/>
      <c r="AE86" s="412"/>
      <c r="AF86" s="412"/>
      <c r="AG86" s="412"/>
      <c r="AH86" s="412"/>
      <c r="AI86" s="412"/>
      <c r="AJ86" s="412"/>
      <c r="AK86" s="412"/>
      <c r="AL86" s="412"/>
      <c r="AM86" s="412"/>
      <c r="AN86" s="412"/>
      <c r="AO86" s="412"/>
      <c r="AP86" s="412"/>
      <c r="AQ86" s="412"/>
    </row>
    <row s="5568" customFormat="1" customHeight="1" ht="17.25" hidden="1">
      <c r="A87" s="466"/>
      <c r="C87" s="465"/>
      <c r="D87" s="2106"/>
      <c r="E87" s="2108"/>
      <c r="F87" s="2110"/>
      <c r="G87" s="2113"/>
      <c r="H87" s="2115"/>
      <c r="I87" s="2117"/>
      <c r="J87" s="2120"/>
      <c r="K87" s="2103"/>
      <c r="L87" s="1517"/>
      <c r="M87" s="1517"/>
      <c r="N87" s="1517"/>
      <c r="O87" s="1517"/>
      <c r="P87" s="1517"/>
      <c r="Q87" s="1517"/>
      <c r="R87" s="1517"/>
      <c r="S87" s="477"/>
      <c r="T87" s="477"/>
      <c r="U87" s="477"/>
      <c r="V87" s="477"/>
      <c r="W87" s="1518"/>
      <c r="X87" s="1475"/>
      <c r="Y87" s="1475"/>
      <c r="Z87" s="1475"/>
      <c r="AA87" s="1475"/>
      <c r="AB87" s="1475"/>
      <c r="AC87" s="412"/>
      <c r="AD87" s="412"/>
      <c r="AE87" s="412"/>
      <c r="AF87" s="412"/>
      <c r="AG87" s="412"/>
      <c r="AH87" s="412"/>
      <c r="AI87" s="412"/>
      <c r="AJ87" s="412"/>
      <c r="AK87" s="412"/>
      <c r="AL87" s="412"/>
      <c r="AM87" s="412"/>
      <c r="AN87" s="412"/>
      <c r="AO87" s="412"/>
      <c r="AP87" s="412"/>
      <c r="AQ87" s="412"/>
    </row>
    <row s="5568" customFormat="1" customHeight="1" ht="17.25" hidden="1">
      <c r="A88" s="466"/>
      <c r="C88" s="465"/>
      <c r="D88" s="2106"/>
      <c r="E88" s="2108"/>
      <c r="F88" s="2111"/>
      <c r="G88" s="2113"/>
      <c r="H88" s="1520"/>
      <c r="I88" s="1521"/>
      <c r="J88" s="1521"/>
      <c r="K88" s="1521"/>
      <c r="L88" s="1521"/>
      <c r="M88" s="1521"/>
      <c r="N88" s="1521"/>
      <c r="O88" s="1521"/>
      <c r="P88" s="1521"/>
      <c r="Q88" s="1521"/>
      <c r="R88" s="1521"/>
      <c r="S88" s="1522"/>
      <c r="T88" s="1522"/>
      <c r="U88" s="1522"/>
      <c r="V88" s="1522"/>
      <c r="W88" s="1523"/>
      <c r="X88" s="1475"/>
      <c r="Y88" s="1475"/>
      <c r="Z88" s="1475"/>
      <c r="AA88" s="1475"/>
      <c r="AB88" s="1475"/>
      <c r="AC88" s="412"/>
      <c r="AD88" s="412"/>
      <c r="AE88" s="412"/>
      <c r="AF88" s="412"/>
      <c r="AG88" s="412"/>
      <c r="AH88" s="412"/>
      <c r="AI88" s="412"/>
      <c r="AJ88" s="412"/>
      <c r="AK88" s="412"/>
      <c r="AL88" s="412"/>
      <c r="AM88" s="412"/>
      <c r="AN88" s="412"/>
      <c r="AO88" s="412"/>
      <c r="AP88" s="412"/>
      <c r="AQ88" s="412"/>
    </row>
    <row s="5573" customFormat="1" customHeight="1" ht="11.25" hidden="1">
      <c r="A89" s="412"/>
      <c r="B89" s="412"/>
      <c r="Y89" s="1475"/>
      <c r="Z89" s="1475"/>
      <c r="AA89" s="1475"/>
      <c r="AB89" s="1475"/>
      <c r="AC89" s="412"/>
      <c r="AD89" s="412"/>
      <c r="AE89" s="412"/>
      <c r="AF89" s="412"/>
      <c r="AG89" s="412"/>
      <c r="AH89" s="412"/>
      <c r="AI89" s="412"/>
      <c r="AJ89" s="412"/>
      <c r="AK89" s="412"/>
      <c r="AL89" s="412"/>
      <c r="AM89" s="412"/>
      <c r="AN89" s="412"/>
      <c r="AO89" s="412"/>
      <c r="AP89" s="412"/>
      <c r="AQ89" s="412"/>
    </row>
    <row s="5573" customFormat="1" customHeight="1" ht="17.25" hidden="1">
      <c r="A90" s="466"/>
      <c r="C90" s="344"/>
      <c r="D90" s="2105">
        <v>1</v>
      </c>
      <c r="E90" s="2107" t="s">
        <v>249</v>
      </c>
      <c r="F90" s="2109" t="s">
        <v>56</v>
      </c>
      <c r="G90" s="2112"/>
      <c r="H90" s="2114"/>
      <c r="I90" s="2116"/>
      <c r="J90" s="2118"/>
      <c r="K90" s="2102"/>
      <c r="L90" s="2097"/>
      <c r="M90" s="2097"/>
      <c r="N90" s="2099"/>
      <c r="O90" s="2102"/>
      <c r="P90" s="2097"/>
      <c r="Q90" s="2097"/>
      <c r="R90" s="2104"/>
      <c r="S90" s="2102"/>
      <c r="T90" s="1694"/>
      <c r="U90" s="1694"/>
      <c r="V90" s="1696"/>
      <c r="W90" s="1516"/>
      <c r="Y90" s="1483"/>
      <c r="Z90" s="1483"/>
      <c r="AA90" s="1483"/>
      <c r="AB90" s="1483"/>
      <c r="AC90" s="1565" t="s">
        <v>250</v>
      </c>
      <c r="AD90" s="1565" t="s">
        <v>251</v>
      </c>
      <c r="AE90" s="1565" t="s">
        <v>252</v>
      </c>
      <c r="AF90" s="1565" t="s">
        <v>253</v>
      </c>
      <c r="AG90" s="1565"/>
      <c r="AH90" s="1565" t="str">
        <f>IF($E$90=0,"",$E$90)</f>
        <v>Тариф на горячую воду (горячее водоснабжение)</v>
      </c>
      <c r="AI90" s="1565" t="str">
        <f>IF($G$90=0,"",$G$90)</f>
        <v/>
      </c>
      <c r="AJ90" s="1565" t="str">
        <f>IF($J$90=0,"",$J$90)</f>
        <v/>
      </c>
      <c r="AK90" s="1565" t="str">
        <f>IF($K$90="нет","без дифференциации",IF($N$90=0,"",$N$90))</f>
        <v/>
      </c>
      <c r="AL90" s="1565" t="str">
        <f>IF($O$90="нет","без дифференциации",IF($R$90=0,"",$R$90))</f>
        <v/>
      </c>
      <c r="AM90" s="1565" t="str">
        <f>IF($S$90="нет","без дифференциации",IF($V$90=0,"",$V$90))</f>
        <v/>
      </c>
      <c r="AN90" s="1565">
        <f>$I$90</f>
        <v>0</v>
      </c>
      <c r="AO90" s="1565" t="str">
        <f>$I$90&amp;"."&amp;$M$90</f>
        <v>.</v>
      </c>
      <c r="AP90" s="1565" t="str">
        <f>$I$90&amp;"."&amp;$M$90&amp;"."&amp;$Q$90</f>
        <v>..</v>
      </c>
      <c r="AQ90" s="1565" t="str">
        <f>$I$90&amp;"."&amp;$M$90&amp;"."&amp;$Q$90&amp;"."&amp;$U$90</f>
        <v>...</v>
      </c>
    </row>
    <row s="5573" customFormat="1" customHeight="1" ht="17.25" hidden="1">
      <c r="A91" s="466"/>
      <c r="C91" s="465"/>
      <c r="D91" s="2105"/>
      <c r="E91" s="2107"/>
      <c r="F91" s="2110"/>
      <c r="G91" s="2112"/>
      <c r="H91" s="2115"/>
      <c r="I91" s="2117"/>
      <c r="J91" s="2119"/>
      <c r="K91" s="2103"/>
      <c r="L91" s="2098"/>
      <c r="M91" s="2098"/>
      <c r="N91" s="2100"/>
      <c r="O91" s="2103"/>
      <c r="P91" s="2098"/>
      <c r="Q91" s="2098"/>
      <c r="R91" s="2101"/>
      <c r="S91" s="2103"/>
      <c r="T91" s="1517"/>
      <c r="U91" s="1517"/>
      <c r="V91" s="1517"/>
      <c r="W91" s="1518"/>
      <c r="Y91" s="1475"/>
      <c r="Z91" s="1475"/>
      <c r="AA91" s="1475"/>
      <c r="AB91" s="1475"/>
      <c r="AC91" s="412"/>
      <c r="AD91" s="412"/>
      <c r="AE91" s="412"/>
      <c r="AF91" s="412"/>
      <c r="AG91" s="412"/>
      <c r="AH91" s="412"/>
      <c r="AI91" s="412"/>
      <c r="AJ91" s="412"/>
      <c r="AK91" s="412"/>
      <c r="AL91" s="412"/>
      <c r="AM91" s="412"/>
      <c r="AN91" s="412"/>
      <c r="AO91" s="412"/>
      <c r="AP91" s="412"/>
      <c r="AQ91" s="412"/>
    </row>
    <row s="5573" customFormat="1" customHeight="1" ht="17.25" hidden="1">
      <c r="A92" s="466"/>
      <c r="C92" s="344"/>
      <c r="D92" s="2105"/>
      <c r="E92" s="2107"/>
      <c r="F92" s="2110"/>
      <c r="G92" s="2112"/>
      <c r="H92" s="2115"/>
      <c r="I92" s="2117"/>
      <c r="J92" s="2120"/>
      <c r="K92" s="2103"/>
      <c r="L92" s="2098"/>
      <c r="M92" s="2098"/>
      <c r="N92" s="2101"/>
      <c r="O92" s="2103"/>
      <c r="P92" s="1695"/>
      <c r="Q92" s="1517"/>
      <c r="R92" s="1517"/>
      <c r="S92" s="477"/>
      <c r="T92" s="477"/>
      <c r="U92" s="477"/>
      <c r="V92" s="477"/>
      <c r="W92" s="1518"/>
      <c r="Y92" s="1483"/>
      <c r="Z92" s="1483"/>
      <c r="AA92" s="1483"/>
      <c r="AB92" s="1483"/>
      <c r="AC92" s="1565"/>
      <c r="AD92" s="1565"/>
      <c r="AE92" s="1565"/>
      <c r="AF92" s="1565"/>
      <c r="AG92" s="1565"/>
      <c r="AH92" s="1565"/>
      <c r="AI92" s="1565"/>
      <c r="AJ92" s="1565"/>
      <c r="AK92" s="1565"/>
      <c r="AL92" s="1565"/>
      <c r="AM92" s="1565"/>
      <c r="AN92" s="1565"/>
      <c r="AO92" s="1565"/>
      <c r="AP92" s="1565"/>
      <c r="AQ92" s="1565"/>
    </row>
    <row s="5573" customFormat="1" customHeight="1" ht="17.25" hidden="1">
      <c r="A93" s="466"/>
      <c r="C93" s="465"/>
      <c r="D93" s="2105"/>
      <c r="E93" s="2107"/>
      <c r="F93" s="2110"/>
      <c r="G93" s="2112"/>
      <c r="H93" s="2115"/>
      <c r="I93" s="2117"/>
      <c r="J93" s="2120"/>
      <c r="K93" s="2103"/>
      <c r="L93" s="1517"/>
      <c r="M93" s="1517"/>
      <c r="N93" s="1517"/>
      <c r="O93" s="1517"/>
      <c r="P93" s="1517"/>
      <c r="Q93" s="1517"/>
      <c r="R93" s="1517"/>
      <c r="S93" s="477"/>
      <c r="T93" s="477"/>
      <c r="U93" s="477"/>
      <c r="V93" s="477"/>
      <c r="W93" s="1518"/>
      <c r="Y93" s="1475"/>
      <c r="Z93" s="1475"/>
      <c r="AA93" s="1475"/>
      <c r="AB93" s="1475"/>
      <c r="AC93" s="412"/>
      <c r="AD93" s="412"/>
      <c r="AE93" s="412"/>
      <c r="AF93" s="412"/>
      <c r="AG93" s="412"/>
      <c r="AH93" s="412"/>
      <c r="AI93" s="412"/>
      <c r="AJ93" s="412"/>
      <c r="AK93" s="412"/>
      <c r="AL93" s="412"/>
      <c r="AM93" s="412"/>
      <c r="AN93" s="412"/>
      <c r="AO93" s="412"/>
      <c r="AP93" s="412"/>
      <c r="AQ93" s="412"/>
    </row>
    <row s="5573" customFormat="1" customHeight="1" ht="17.25" hidden="1">
      <c r="A94" s="466"/>
      <c r="C94" s="465"/>
      <c r="D94" s="2106"/>
      <c r="E94" s="2108"/>
      <c r="F94" s="2111"/>
      <c r="G94" s="2113"/>
      <c r="H94" s="1520"/>
      <c r="I94" s="1521"/>
      <c r="J94" s="1521"/>
      <c r="K94" s="1521"/>
      <c r="L94" s="1521"/>
      <c r="M94" s="1521"/>
      <c r="N94" s="1521"/>
      <c r="O94" s="1521"/>
      <c r="P94" s="1521"/>
      <c r="Q94" s="1521"/>
      <c r="R94" s="1521"/>
      <c r="S94" s="1522"/>
      <c r="T94" s="1522"/>
      <c r="U94" s="1522"/>
      <c r="V94" s="1522"/>
      <c r="W94" s="1523"/>
      <c r="Y94" s="1475"/>
      <c r="Z94" s="1475"/>
      <c r="AA94" s="1475"/>
      <c r="AB94" s="1475"/>
      <c r="AC94" s="412"/>
      <c r="AD94" s="412"/>
      <c r="AE94" s="412"/>
      <c r="AF94" s="412"/>
      <c r="AG94" s="412"/>
      <c r="AH94" s="412"/>
      <c r="AI94" s="412"/>
      <c r="AJ94" s="412"/>
      <c r="AK94" s="412"/>
      <c r="AL94" s="412"/>
      <c r="AM94" s="412"/>
      <c r="AN94" s="412"/>
      <c r="AO94" s="412"/>
      <c r="AP94" s="412"/>
      <c r="AQ94" s="412"/>
    </row>
    <row s="5573" customFormat="1" customHeight="1" ht="17.25" hidden="1">
      <c r="A95" s="466"/>
      <c r="C95" s="344"/>
      <c r="D95" s="2105">
        <v>2</v>
      </c>
      <c r="E95" s="2107" t="s">
        <v>254</v>
      </c>
      <c r="F95" s="2109" t="s">
        <v>56</v>
      </c>
      <c r="G95" s="2112"/>
      <c r="H95" s="2114"/>
      <c r="I95" s="2116"/>
      <c r="J95" s="2118"/>
      <c r="K95" s="2102"/>
      <c r="L95" s="2097"/>
      <c r="M95" s="2097"/>
      <c r="N95" s="2099"/>
      <c r="O95" s="2102"/>
      <c r="P95" s="2097"/>
      <c r="Q95" s="2097"/>
      <c r="R95" s="2104"/>
      <c r="S95" s="2102"/>
      <c r="T95" s="1694"/>
      <c r="U95" s="1694"/>
      <c r="V95" s="1696"/>
      <c r="W95" s="1516"/>
      <c r="X95" s="1483"/>
      <c r="Y95" s="1483"/>
      <c r="Z95" s="1483"/>
      <c r="AA95" s="1483"/>
      <c r="AB95" s="1483"/>
      <c r="AC95" s="1565" t="s">
        <v>255</v>
      </c>
      <c r="AD95" s="1565" t="s">
        <v>256</v>
      </c>
      <c r="AE95" s="1565" t="s">
        <v>257</v>
      </c>
      <c r="AF95" s="1565" t="s">
        <v>258</v>
      </c>
      <c r="AG95" s="1565"/>
      <c r="AH95" s="1565" t="str">
        <f>IF($E$95=0,"",$E$95)</f>
        <v>Тариф на транспортировку горячей воды</v>
      </c>
      <c r="AI95" s="1565" t="str">
        <f>IF($G$95=0,"",$G$95)</f>
        <v/>
      </c>
      <c r="AJ95" s="1565" t="str">
        <f>IF($J$95=0,"",$J$95)</f>
        <v/>
      </c>
      <c r="AK95" s="1565" t="str">
        <f>IF($K$95="нет","без дифференциации",IF($N$95=0,"",$N$95))</f>
        <v/>
      </c>
      <c r="AL95" s="1565" t="str">
        <f>IF($O$95="нет","без дифференциации",IF($R$95=0,"",$R$95))</f>
        <v/>
      </c>
      <c r="AM95" s="1565" t="str">
        <f>IF($S$95="нет","без дифференциации",IF($V$95=0,"",$V$95))</f>
        <v/>
      </c>
      <c r="AN95" s="1744">
        <f>$I$95</f>
        <v>0</v>
      </c>
      <c r="AO95" s="1565" t="str">
        <f>$I$95&amp;"."&amp;$M$95</f>
        <v>.</v>
      </c>
      <c r="AP95" s="412" t="str">
        <f>$I$95&amp;"."&amp;$M$95&amp;"."&amp;$Q$95</f>
        <v>..</v>
      </c>
      <c r="AQ95" s="412" t="str">
        <f>$I$95&amp;"."&amp;$M$95&amp;"."&amp;$Q$95&amp;"."&amp;$U$95</f>
        <v>...</v>
      </c>
    </row>
    <row s="5573" customFormat="1" customHeight="1" ht="17.25" hidden="1">
      <c r="A96" s="466"/>
      <c r="C96" s="465"/>
      <c r="D96" s="2105"/>
      <c r="E96" s="2107"/>
      <c r="F96" s="2110"/>
      <c r="G96" s="2112"/>
      <c r="H96" s="2115"/>
      <c r="I96" s="2117"/>
      <c r="J96" s="2119"/>
      <c r="K96" s="2103"/>
      <c r="L96" s="2098"/>
      <c r="M96" s="2098"/>
      <c r="N96" s="2100"/>
      <c r="O96" s="2103"/>
      <c r="P96" s="2098"/>
      <c r="Q96" s="2098"/>
      <c r="R96" s="2101"/>
      <c r="S96" s="2103"/>
      <c r="T96" s="1517"/>
      <c r="U96" s="1517"/>
      <c r="V96" s="1517"/>
      <c r="W96" s="1518"/>
      <c r="X96" s="1475"/>
      <c r="Y96" s="1475"/>
      <c r="Z96" s="1475"/>
      <c r="AA96" s="1475"/>
      <c r="AB96" s="1475"/>
      <c r="AC96" s="412"/>
      <c r="AD96" s="412"/>
      <c r="AE96" s="412"/>
      <c r="AF96" s="412"/>
      <c r="AG96" s="412"/>
      <c r="AH96" s="412"/>
      <c r="AI96" s="412"/>
      <c r="AJ96" s="412"/>
      <c r="AK96" s="412"/>
      <c r="AL96" s="412"/>
      <c r="AM96" s="412"/>
      <c r="AN96" s="412"/>
      <c r="AO96" s="412"/>
      <c r="AP96" s="412"/>
      <c r="AQ96" s="412"/>
    </row>
    <row s="5573" customFormat="1" customHeight="1" ht="17.25" hidden="1">
      <c r="A97" s="466"/>
      <c r="C97" s="465"/>
      <c r="D97" s="2106"/>
      <c r="E97" s="2108"/>
      <c r="F97" s="2110"/>
      <c r="G97" s="2113"/>
      <c r="H97" s="2115"/>
      <c r="I97" s="2117"/>
      <c r="J97" s="2120"/>
      <c r="K97" s="2103"/>
      <c r="L97" s="2098"/>
      <c r="M97" s="2098"/>
      <c r="N97" s="2101"/>
      <c r="O97" s="2103"/>
      <c r="P97" s="1695"/>
      <c r="Q97" s="1517"/>
      <c r="R97" s="1517"/>
      <c r="S97" s="477"/>
      <c r="T97" s="477"/>
      <c r="U97" s="477"/>
      <c r="V97" s="477"/>
      <c r="W97" s="1518"/>
      <c r="X97" s="1475"/>
      <c r="Y97" s="1475"/>
      <c r="Z97" s="1475"/>
      <c r="AA97" s="1475"/>
      <c r="AB97" s="1475"/>
      <c r="AC97" s="412"/>
      <c r="AD97" s="412"/>
      <c r="AE97" s="412"/>
      <c r="AF97" s="412"/>
      <c r="AG97" s="412"/>
      <c r="AH97" s="412"/>
      <c r="AI97" s="412"/>
      <c r="AJ97" s="412"/>
      <c r="AK97" s="412"/>
      <c r="AL97" s="412"/>
      <c r="AM97" s="412"/>
      <c r="AN97" s="412"/>
      <c r="AO97" s="412"/>
      <c r="AP97" s="412"/>
      <c r="AQ97" s="412"/>
    </row>
    <row s="5573" customFormat="1" customHeight="1" ht="17.25" hidden="1">
      <c r="A98" s="466"/>
      <c r="C98" s="465"/>
      <c r="D98" s="2106"/>
      <c r="E98" s="2108"/>
      <c r="F98" s="2110"/>
      <c r="G98" s="2113"/>
      <c r="H98" s="2115"/>
      <c r="I98" s="2117"/>
      <c r="J98" s="2120"/>
      <c r="K98" s="2103"/>
      <c r="L98" s="1517"/>
      <c r="M98" s="1517"/>
      <c r="N98" s="1517"/>
      <c r="O98" s="1517"/>
      <c r="P98" s="1517"/>
      <c r="Q98" s="1517"/>
      <c r="R98" s="1517"/>
      <c r="S98" s="477"/>
      <c r="T98" s="477"/>
      <c r="U98" s="477"/>
      <c r="V98" s="477"/>
      <c r="W98" s="1518"/>
      <c r="X98" s="1475"/>
      <c r="Y98" s="1475"/>
      <c r="Z98" s="1475"/>
      <c r="AA98" s="1475"/>
      <c r="AB98" s="1475"/>
      <c r="AC98" s="412"/>
      <c r="AD98" s="412"/>
      <c r="AE98" s="412"/>
      <c r="AF98" s="412"/>
      <c r="AG98" s="412"/>
      <c r="AH98" s="412"/>
      <c r="AI98" s="412"/>
      <c r="AJ98" s="412"/>
      <c r="AK98" s="412"/>
      <c r="AL98" s="412"/>
      <c r="AM98" s="412"/>
      <c r="AN98" s="412"/>
      <c r="AO98" s="412"/>
      <c r="AP98" s="412"/>
      <c r="AQ98" s="412"/>
    </row>
    <row s="5573" customFormat="1" customHeight="1" ht="17.25" hidden="1">
      <c r="A99" s="466"/>
      <c r="C99" s="465"/>
      <c r="D99" s="2106"/>
      <c r="E99" s="2108"/>
      <c r="F99" s="2111"/>
      <c r="G99" s="2113"/>
      <c r="H99" s="1520"/>
      <c r="I99" s="1521"/>
      <c r="J99" s="1521"/>
      <c r="K99" s="1521"/>
      <c r="L99" s="1521"/>
      <c r="M99" s="1521"/>
      <c r="N99" s="1521"/>
      <c r="O99" s="1521"/>
      <c r="P99" s="1521"/>
      <c r="Q99" s="1521"/>
      <c r="R99" s="1521"/>
      <c r="S99" s="1522"/>
      <c r="T99" s="1522"/>
      <c r="U99" s="1522"/>
      <c r="V99" s="1522"/>
      <c r="W99" s="1523"/>
      <c r="X99" s="1475"/>
      <c r="Y99" s="1475"/>
      <c r="Z99" s="1475"/>
      <c r="AA99" s="1475"/>
      <c r="AB99" s="1475"/>
      <c r="AC99" s="412"/>
      <c r="AD99" s="412"/>
      <c r="AE99" s="412"/>
      <c r="AF99" s="412"/>
      <c r="AG99" s="412"/>
      <c r="AH99" s="412"/>
      <c r="AI99" s="412"/>
      <c r="AJ99" s="412"/>
      <c r="AK99" s="412"/>
      <c r="AL99" s="412"/>
      <c r="AM99" s="412"/>
      <c r="AN99" s="412"/>
      <c r="AO99" s="412"/>
      <c r="AP99" s="412"/>
      <c r="AQ99" s="412"/>
    </row>
    <row s="5573" customFormat="1" customHeight="1" ht="17.25" hidden="1">
      <c r="A100" s="466"/>
      <c r="C100" s="344"/>
      <c r="D100" s="2105">
        <v>3</v>
      </c>
      <c r="E100" s="2107" t="s">
        <v>259</v>
      </c>
      <c r="F100" s="2109" t="s">
        <v>56</v>
      </c>
      <c r="G100" s="2112"/>
      <c r="H100" s="2114"/>
      <c r="I100" s="2116"/>
      <c r="J100" s="2118"/>
      <c r="K100" s="2102"/>
      <c r="L100" s="2097"/>
      <c r="M100" s="2097"/>
      <c r="N100" s="2099"/>
      <c r="O100" s="2102"/>
      <c r="P100" s="2097"/>
      <c r="Q100" s="2097"/>
      <c r="R100" s="2104"/>
      <c r="S100" s="2102"/>
      <c r="T100" s="1694"/>
      <c r="U100" s="1694"/>
      <c r="V100" s="1696"/>
      <c r="W100" s="1516"/>
      <c r="X100" s="1483"/>
      <c r="Y100" s="1483"/>
      <c r="Z100" s="1483"/>
      <c r="AA100" s="1483"/>
      <c r="AB100" s="1483"/>
      <c r="AC100" s="1565" t="s">
        <v>260</v>
      </c>
      <c r="AD100" s="1565" t="s">
        <v>261</v>
      </c>
      <c r="AE100" s="1565" t="s">
        <v>262</v>
      </c>
      <c r="AF100" s="1565" t="s">
        <v>263</v>
      </c>
      <c r="AG100" s="1565"/>
      <c r="AH100" s="1565" t="str">
        <f>IF($E$100=0,"",$E$100)</f>
        <v>Тариф на подключение (технологическое присоединение) к централизованной системе горячего водоснабжения</v>
      </c>
      <c r="AI100" s="1565" t="str">
        <f>IF($G$100=0,"",$G$100)</f>
        <v/>
      </c>
      <c r="AJ100" s="1565" t="str">
        <f>IF($J$100=0,"",$J$100)</f>
        <v/>
      </c>
      <c r="AK100" s="1565" t="str">
        <f>IF($K$100="нет","без дифференциации",IF($N$100=0,"",$N$100))</f>
        <v/>
      </c>
      <c r="AL100" s="1565" t="str">
        <f>IF($O$100="нет","без дифференциации",IF($R$100=0,"",$R$100))</f>
        <v/>
      </c>
      <c r="AM100" s="1565" t="str">
        <f>IF($S$100="нет","без дифференциации",IF($V$100=0,"",$V$100))</f>
        <v/>
      </c>
      <c r="AN100" s="1744">
        <f>$I$100</f>
        <v>0</v>
      </c>
      <c r="AO100" s="1565" t="str">
        <f>$I$100&amp;"."&amp;$M$100</f>
        <v>.</v>
      </c>
      <c r="AP100" s="412" t="str">
        <f>$I$100&amp;"."&amp;$M$100&amp;"."&amp;$Q$100</f>
        <v>..</v>
      </c>
      <c r="AQ100" s="412" t="str">
        <f>$I$100&amp;"."&amp;$M$100&amp;"."&amp;$Q$100&amp;"."&amp;$U$100</f>
        <v>...</v>
      </c>
    </row>
    <row s="5573" customFormat="1" customHeight="1" ht="17.25" hidden="1">
      <c r="A101" s="466"/>
      <c r="C101" s="465"/>
      <c r="D101" s="2105"/>
      <c r="E101" s="2107"/>
      <c r="F101" s="2110"/>
      <c r="G101" s="2112"/>
      <c r="H101" s="2115"/>
      <c r="I101" s="2117"/>
      <c r="J101" s="2119"/>
      <c r="K101" s="2103"/>
      <c r="L101" s="2098"/>
      <c r="M101" s="2098"/>
      <c r="N101" s="2100"/>
      <c r="O101" s="2103"/>
      <c r="P101" s="2098"/>
      <c r="Q101" s="2098"/>
      <c r="R101" s="2101"/>
      <c r="S101" s="2103"/>
      <c r="T101" s="1517"/>
      <c r="U101" s="1517"/>
      <c r="V101" s="1517"/>
      <c r="W101" s="1518"/>
      <c r="X101" s="1475"/>
      <c r="Y101" s="1475"/>
      <c r="Z101" s="1475"/>
      <c r="AA101" s="1475"/>
      <c r="AB101" s="1475"/>
      <c r="AC101" s="412"/>
      <c r="AD101" s="412"/>
      <c r="AE101" s="412"/>
      <c r="AF101" s="412"/>
      <c r="AG101" s="412"/>
      <c r="AH101" s="412"/>
      <c r="AI101" s="412"/>
      <c r="AJ101" s="412"/>
      <c r="AK101" s="412"/>
      <c r="AL101" s="412"/>
      <c r="AM101" s="412"/>
      <c r="AN101" s="412"/>
      <c r="AO101" s="412"/>
      <c r="AP101" s="412"/>
      <c r="AQ101" s="412"/>
    </row>
    <row s="5573" customFormat="1" customHeight="1" ht="17.25" hidden="1">
      <c r="A102" s="466"/>
      <c r="C102" s="465"/>
      <c r="D102" s="2106"/>
      <c r="E102" s="2108"/>
      <c r="F102" s="2110"/>
      <c r="G102" s="2113"/>
      <c r="H102" s="2115"/>
      <c r="I102" s="2117"/>
      <c r="J102" s="2120"/>
      <c r="K102" s="2103"/>
      <c r="L102" s="2098"/>
      <c r="M102" s="2098"/>
      <c r="N102" s="2101"/>
      <c r="O102" s="2103"/>
      <c r="P102" s="1695"/>
      <c r="Q102" s="1517"/>
      <c r="R102" s="1517"/>
      <c r="S102" s="477"/>
      <c r="T102" s="477"/>
      <c r="U102" s="477"/>
      <c r="V102" s="477"/>
      <c r="W102" s="1518"/>
      <c r="X102" s="1475"/>
      <c r="Y102" s="1475"/>
      <c r="Z102" s="1475"/>
      <c r="AA102" s="1475"/>
      <c r="AB102" s="1475"/>
      <c r="AC102" s="412"/>
      <c r="AD102" s="412"/>
      <c r="AE102" s="412"/>
      <c r="AF102" s="412"/>
      <c r="AG102" s="412"/>
      <c r="AH102" s="412"/>
      <c r="AI102" s="412"/>
      <c r="AJ102" s="412"/>
      <c r="AK102" s="412"/>
      <c r="AL102" s="412"/>
      <c r="AM102" s="412"/>
      <c r="AN102" s="412"/>
      <c r="AO102" s="412"/>
      <c r="AP102" s="412"/>
      <c r="AQ102" s="412"/>
    </row>
    <row s="5573" customFormat="1" customHeight="1" ht="17.25" hidden="1">
      <c r="A103" s="466"/>
      <c r="C103" s="465"/>
      <c r="D103" s="2106"/>
      <c r="E103" s="2108"/>
      <c r="F103" s="2110"/>
      <c r="G103" s="2113"/>
      <c r="H103" s="2115"/>
      <c r="I103" s="2117"/>
      <c r="J103" s="2120"/>
      <c r="K103" s="2103"/>
      <c r="L103" s="1517"/>
      <c r="M103" s="1517"/>
      <c r="N103" s="1517"/>
      <c r="O103" s="1517"/>
      <c r="P103" s="1517"/>
      <c r="Q103" s="1517"/>
      <c r="R103" s="1517"/>
      <c r="S103" s="477"/>
      <c r="T103" s="477"/>
      <c r="U103" s="477"/>
      <c r="V103" s="477"/>
      <c r="W103" s="1518"/>
      <c r="X103" s="1475"/>
      <c r="Y103" s="1475"/>
      <c r="Z103" s="1475"/>
      <c r="AA103" s="1475"/>
      <c r="AB103" s="1475"/>
      <c r="AC103" s="412"/>
      <c r="AD103" s="412"/>
      <c r="AE103" s="412"/>
      <c r="AF103" s="412"/>
      <c r="AG103" s="412"/>
      <c r="AH103" s="412"/>
      <c r="AI103" s="412"/>
      <c r="AJ103" s="412"/>
      <c r="AK103" s="412"/>
      <c r="AL103" s="412"/>
      <c r="AM103" s="412"/>
      <c r="AN103" s="412"/>
      <c r="AO103" s="412"/>
      <c r="AP103" s="412"/>
      <c r="AQ103" s="412"/>
    </row>
    <row s="5573" customFormat="1" customHeight="1" ht="17.25" hidden="1">
      <c r="A104" s="466"/>
      <c r="C104" s="465"/>
      <c r="D104" s="2106"/>
      <c r="E104" s="2108"/>
      <c r="F104" s="2111"/>
      <c r="G104" s="2113"/>
      <c r="H104" s="1520"/>
      <c r="I104" s="1521"/>
      <c r="J104" s="1521"/>
      <c r="K104" s="1521"/>
      <c r="L104" s="1521"/>
      <c r="M104" s="1521"/>
      <c r="N104" s="1521"/>
      <c r="O104" s="1521"/>
      <c r="P104" s="1521"/>
      <c r="Q104" s="1521"/>
      <c r="R104" s="1521"/>
      <c r="S104" s="1522"/>
      <c r="T104" s="1522"/>
      <c r="U104" s="1522"/>
      <c r="V104" s="1522"/>
      <c r="W104" s="1523"/>
      <c r="X104" s="1475"/>
      <c r="Y104" s="1475"/>
      <c r="Z104" s="1475"/>
      <c r="AA104" s="1475"/>
      <c r="AB104" s="1475"/>
      <c r="AC104" s="412"/>
      <c r="AD104" s="412"/>
      <c r="AE104" s="412"/>
      <c r="AF104" s="412"/>
      <c r="AG104" s="412"/>
      <c r="AH104" s="412"/>
      <c r="AI104" s="412"/>
      <c r="AJ104" s="412"/>
      <c r="AK104" s="412"/>
      <c r="AL104" s="412"/>
      <c r="AM104" s="412"/>
      <c r="AN104" s="412"/>
      <c r="AO104" s="412"/>
      <c r="AP104" s="412"/>
      <c r="AQ104" s="412"/>
    </row>
    <row s="5573" customFormat="1" customHeight="1" ht="11.25" hidden="1">
      <c r="A105" s="412"/>
      <c r="B105" s="412"/>
      <c r="Y105" s="1475"/>
      <c r="Z105" s="1475"/>
      <c r="AA105" s="1475"/>
      <c r="AB105" s="1475"/>
      <c r="AC105" s="412"/>
      <c r="AD105" s="412"/>
      <c r="AE105" s="412"/>
      <c r="AF105" s="412"/>
      <c r="AG105" s="412"/>
      <c r="AH105" s="412"/>
      <c r="AI105" s="412"/>
      <c r="AJ105" s="412"/>
      <c r="AK105" s="412"/>
      <c r="AL105" s="412"/>
      <c r="AM105" s="412"/>
      <c r="AN105" s="412"/>
      <c r="AO105" s="412"/>
      <c r="AP105" s="412"/>
      <c r="AQ105" s="412"/>
    </row>
    <row s="5573" customFormat="1" customHeight="1" ht="17.25" hidden="1">
      <c r="A106" s="466"/>
      <c r="C106" s="344"/>
      <c r="D106" s="2105">
        <v>1</v>
      </c>
      <c r="E106" s="2107" t="s">
        <v>264</v>
      </c>
      <c r="F106" s="2109" t="s">
        <v>56</v>
      </c>
      <c r="G106" s="2112"/>
      <c r="H106" s="2114"/>
      <c r="I106" s="2116"/>
      <c r="J106" s="2118"/>
      <c r="K106" s="2102"/>
      <c r="L106" s="2097"/>
      <c r="M106" s="2097"/>
      <c r="N106" s="2099"/>
      <c r="O106" s="2102"/>
      <c r="P106" s="2097"/>
      <c r="Q106" s="2097"/>
      <c r="R106" s="2104"/>
      <c r="S106" s="2102"/>
      <c r="T106" s="1694"/>
      <c r="U106" s="1694"/>
      <c r="V106" s="1696"/>
      <c r="W106" s="1516"/>
      <c r="Y106" s="1483"/>
      <c r="Z106" s="1483"/>
      <c r="AA106" s="1483"/>
      <c r="AB106" s="1483"/>
      <c r="AC106" s="1565" t="s">
        <v>265</v>
      </c>
      <c r="AD106" s="1565" t="s">
        <v>266</v>
      </c>
      <c r="AE106" s="1565" t="s">
        <v>267</v>
      </c>
      <c r="AF106" s="1565" t="s">
        <v>268</v>
      </c>
      <c r="AG106" s="1565"/>
      <c r="AH106" s="1565" t="str">
        <f>IF($E$106=0,"",$E$106)</f>
        <v>Тариф на водоотведение</v>
      </c>
      <c r="AI106" s="1565" t="str">
        <f>IF($G$106=0,"",$G$106)</f>
        <v/>
      </c>
      <c r="AJ106" s="1565" t="str">
        <f>IF($J$106=0,"",$J$106)</f>
        <v/>
      </c>
      <c r="AK106" s="1565" t="str">
        <f>IF($K$106="нет","без дифференциации",IF($N$106=0,"",$N$106))</f>
        <v/>
      </c>
      <c r="AL106" s="1565" t="str">
        <f>IF($O$106="нет","без дифференциации",IF($R$106=0,"",$R$106))</f>
        <v/>
      </c>
      <c r="AM106" s="1565" t="str">
        <f>IF($S$106="нет","без дифференциации",IF($V$106=0,"",$V$106))</f>
        <v/>
      </c>
      <c r="AN106" s="1565">
        <f>$I$106</f>
        <v>0</v>
      </c>
      <c r="AO106" s="1565" t="str">
        <f>$I$106&amp;"."&amp;$M$106</f>
        <v>.</v>
      </c>
      <c r="AP106" s="1565" t="str">
        <f>$I$106&amp;"."&amp;$M$106&amp;"."&amp;$Q$106</f>
        <v>..</v>
      </c>
      <c r="AQ106" s="1565" t="str">
        <f>$I$106&amp;"."&amp;$M$106&amp;"."&amp;$Q$106&amp;"."&amp;$U$106</f>
        <v>...</v>
      </c>
    </row>
    <row s="5573" customFormat="1" customHeight="1" ht="17.25" hidden="1">
      <c r="A107" s="466"/>
      <c r="C107" s="465"/>
      <c r="D107" s="2105"/>
      <c r="E107" s="2107"/>
      <c r="F107" s="2110"/>
      <c r="G107" s="2112"/>
      <c r="H107" s="2115"/>
      <c r="I107" s="2117"/>
      <c r="J107" s="2119"/>
      <c r="K107" s="2103"/>
      <c r="L107" s="2098"/>
      <c r="M107" s="2098"/>
      <c r="N107" s="2100"/>
      <c r="O107" s="2103"/>
      <c r="P107" s="2098"/>
      <c r="Q107" s="2098"/>
      <c r="R107" s="2101"/>
      <c r="S107" s="2103"/>
      <c r="T107" s="1517"/>
      <c r="U107" s="1517"/>
      <c r="V107" s="1517"/>
      <c r="W107" s="1518"/>
      <c r="Y107" s="1475"/>
      <c r="Z107" s="1475"/>
      <c r="AA107" s="1475"/>
      <c r="AB107" s="1475"/>
      <c r="AC107" s="412"/>
      <c r="AD107" s="412"/>
      <c r="AE107" s="412"/>
      <c r="AF107" s="412"/>
      <c r="AG107" s="412"/>
      <c r="AH107" s="412"/>
      <c r="AI107" s="412"/>
      <c r="AJ107" s="412"/>
      <c r="AK107" s="412"/>
      <c r="AL107" s="412"/>
      <c r="AM107" s="412"/>
      <c r="AN107" s="412"/>
      <c r="AO107" s="412"/>
      <c r="AP107" s="412"/>
      <c r="AQ107" s="412"/>
    </row>
    <row s="5573" customFormat="1" customHeight="1" ht="17.25" hidden="1">
      <c r="A108" s="466"/>
      <c r="C108" s="344"/>
      <c r="D108" s="2105"/>
      <c r="E108" s="2107"/>
      <c r="F108" s="2110"/>
      <c r="G108" s="2112"/>
      <c r="H108" s="2115"/>
      <c r="I108" s="2117"/>
      <c r="J108" s="2120"/>
      <c r="K108" s="2103"/>
      <c r="L108" s="2098"/>
      <c r="M108" s="2098"/>
      <c r="N108" s="2101"/>
      <c r="O108" s="2103"/>
      <c r="P108" s="1695"/>
      <c r="Q108" s="1517"/>
      <c r="R108" s="1517"/>
      <c r="S108" s="477"/>
      <c r="T108" s="477"/>
      <c r="U108" s="477"/>
      <c r="V108" s="477"/>
      <c r="W108" s="1518"/>
      <c r="Y108" s="1483"/>
      <c r="Z108" s="1483"/>
      <c r="AA108" s="1483"/>
      <c r="AB108" s="1483"/>
      <c r="AC108" s="1565"/>
      <c r="AD108" s="1565"/>
      <c r="AE108" s="1565"/>
      <c r="AF108" s="1565"/>
      <c r="AG108" s="1565"/>
      <c r="AH108" s="1565"/>
      <c r="AI108" s="1565"/>
      <c r="AJ108" s="1565"/>
      <c r="AK108" s="1565"/>
      <c r="AL108" s="1565"/>
      <c r="AM108" s="1565"/>
      <c r="AN108" s="1565"/>
      <c r="AO108" s="1565"/>
      <c r="AP108" s="1565"/>
      <c r="AQ108" s="1565"/>
    </row>
    <row s="5573" customFormat="1" customHeight="1" ht="17.25" hidden="1">
      <c r="A109" s="466"/>
      <c r="C109" s="465"/>
      <c r="D109" s="2105"/>
      <c r="E109" s="2107"/>
      <c r="F109" s="2110"/>
      <c r="G109" s="2112"/>
      <c r="H109" s="2115"/>
      <c r="I109" s="2117"/>
      <c r="J109" s="2120"/>
      <c r="K109" s="2103"/>
      <c r="L109" s="1517"/>
      <c r="M109" s="1517"/>
      <c r="N109" s="1517"/>
      <c r="O109" s="1517"/>
      <c r="P109" s="1517"/>
      <c r="Q109" s="1517"/>
      <c r="R109" s="1517"/>
      <c r="S109" s="477"/>
      <c r="T109" s="477"/>
      <c r="U109" s="477"/>
      <c r="V109" s="477"/>
      <c r="W109" s="1518"/>
      <c r="Y109" s="1475"/>
      <c r="Z109" s="1475"/>
      <c r="AA109" s="1475"/>
      <c r="AB109" s="1475"/>
      <c r="AC109" s="412"/>
      <c r="AD109" s="412"/>
      <c r="AE109" s="412"/>
      <c r="AF109" s="412"/>
      <c r="AG109" s="412"/>
      <c r="AH109" s="412"/>
      <c r="AI109" s="412"/>
      <c r="AJ109" s="412"/>
      <c r="AK109" s="412"/>
      <c r="AL109" s="412"/>
      <c r="AM109" s="412"/>
      <c r="AN109" s="412"/>
      <c r="AO109" s="412"/>
      <c r="AP109" s="412"/>
      <c r="AQ109" s="412"/>
    </row>
    <row s="5573" customFormat="1" customHeight="1" ht="17.25" hidden="1">
      <c r="A110" s="466"/>
      <c r="C110" s="465"/>
      <c r="D110" s="2106"/>
      <c r="E110" s="2108"/>
      <c r="F110" s="2111"/>
      <c r="G110" s="2113"/>
      <c r="H110" s="1520"/>
      <c r="I110" s="1521"/>
      <c r="J110" s="1521"/>
      <c r="K110" s="1521"/>
      <c r="L110" s="1521"/>
      <c r="M110" s="1521"/>
      <c r="N110" s="1521"/>
      <c r="O110" s="1521"/>
      <c r="P110" s="1521"/>
      <c r="Q110" s="1521"/>
      <c r="R110" s="1521"/>
      <c r="S110" s="1522"/>
      <c r="T110" s="1522"/>
      <c r="U110" s="1522"/>
      <c r="V110" s="1522"/>
      <c r="W110" s="1523"/>
      <c r="Y110" s="1475"/>
      <c r="Z110" s="1475"/>
      <c r="AA110" s="1475"/>
      <c r="AB110" s="1475"/>
      <c r="AC110" s="412"/>
      <c r="AD110" s="412"/>
      <c r="AE110" s="412"/>
      <c r="AF110" s="412"/>
      <c r="AG110" s="412"/>
      <c r="AH110" s="412"/>
      <c r="AI110" s="412"/>
      <c r="AJ110" s="412"/>
      <c r="AK110" s="412"/>
      <c r="AL110" s="412"/>
      <c r="AM110" s="412"/>
      <c r="AN110" s="412"/>
      <c r="AO110" s="412"/>
      <c r="AP110" s="412"/>
      <c r="AQ110" s="412"/>
    </row>
    <row s="5573" customFormat="1" customHeight="1" ht="17.25" hidden="1">
      <c r="A111" s="466"/>
      <c r="C111" s="344"/>
      <c r="D111" s="2105">
        <v>2</v>
      </c>
      <c r="E111" s="2107" t="s">
        <v>269</v>
      </c>
      <c r="F111" s="2109" t="s">
        <v>56</v>
      </c>
      <c r="G111" s="2112"/>
      <c r="H111" s="2114"/>
      <c r="I111" s="2116"/>
      <c r="J111" s="2118"/>
      <c r="K111" s="2102"/>
      <c r="L111" s="2097"/>
      <c r="M111" s="2097"/>
      <c r="N111" s="2099"/>
      <c r="O111" s="2102"/>
      <c r="P111" s="2097"/>
      <c r="Q111" s="2097"/>
      <c r="R111" s="2104"/>
      <c r="S111" s="2102"/>
      <c r="T111" s="1694"/>
      <c r="U111" s="1694"/>
      <c r="V111" s="1696"/>
      <c r="W111" s="1516"/>
      <c r="X111" s="1483"/>
      <c r="Y111" s="1483"/>
      <c r="Z111" s="1483"/>
      <c r="AA111" s="1483"/>
      <c r="AB111" s="1483"/>
      <c r="AC111" s="1565" t="s">
        <v>270</v>
      </c>
      <c r="AD111" s="1565" t="s">
        <v>271</v>
      </c>
      <c r="AE111" s="1565" t="s">
        <v>272</v>
      </c>
      <c r="AF111" s="1565" t="s">
        <v>273</v>
      </c>
      <c r="AG111" s="1565"/>
      <c r="AH111" s="1565" t="str">
        <f>IF($E$111=0,"",$E$111)</f>
        <v>Тариф на транспортировку сточных вод</v>
      </c>
      <c r="AI111" s="1565" t="str">
        <f>IF($G$111=0,"",$G$111)</f>
        <v/>
      </c>
      <c r="AJ111" s="1565" t="str">
        <f>IF($J$111=0,"",$J$111)</f>
        <v/>
      </c>
      <c r="AK111" s="1565" t="str">
        <f>IF($K$111="нет","без дифференциации",IF($N$111=0,"",$N$111))</f>
        <v/>
      </c>
      <c r="AL111" s="1565" t="str">
        <f>IF($O$111="нет","без дифференциации",IF($R$111=0,"",$R$111))</f>
        <v/>
      </c>
      <c r="AM111" s="1565" t="str">
        <f>IF($S$111="нет","без дифференциации",IF($V$111=0,"",$V$111))</f>
        <v/>
      </c>
      <c r="AN111" s="1744">
        <f>$I$111</f>
        <v>0</v>
      </c>
      <c r="AO111" s="1565" t="str">
        <f>$I$111&amp;"."&amp;$M$111</f>
        <v>.</v>
      </c>
      <c r="AP111" s="412" t="str">
        <f>$I$111&amp;"."&amp;$M$111&amp;"."&amp;$Q$111</f>
        <v>..</v>
      </c>
      <c r="AQ111" s="412" t="str">
        <f>$I$111&amp;"."&amp;$M$111&amp;"."&amp;$Q$111&amp;"."&amp;$U$111</f>
        <v>...</v>
      </c>
    </row>
    <row s="5573" customFormat="1" customHeight="1" ht="17.25" hidden="1">
      <c r="A112" s="466"/>
      <c r="C112" s="465"/>
      <c r="D112" s="2105"/>
      <c r="E112" s="2107"/>
      <c r="F112" s="2110"/>
      <c r="G112" s="2112"/>
      <c r="H112" s="2115"/>
      <c r="I112" s="2117"/>
      <c r="J112" s="2119"/>
      <c r="K112" s="2103"/>
      <c r="L112" s="2098"/>
      <c r="M112" s="2098"/>
      <c r="N112" s="2100"/>
      <c r="O112" s="2103"/>
      <c r="P112" s="2098"/>
      <c r="Q112" s="2098"/>
      <c r="R112" s="2101"/>
      <c r="S112" s="2103"/>
      <c r="T112" s="1517"/>
      <c r="U112" s="1517"/>
      <c r="V112" s="1517"/>
      <c r="W112" s="1518"/>
      <c r="X112" s="1475"/>
      <c r="Y112" s="1475"/>
      <c r="Z112" s="1475"/>
      <c r="AA112" s="1475"/>
      <c r="AB112" s="1475"/>
      <c r="AC112" s="412"/>
      <c r="AD112" s="412"/>
      <c r="AE112" s="412"/>
      <c r="AF112" s="412"/>
      <c r="AG112" s="412"/>
      <c r="AH112" s="412"/>
      <c r="AI112" s="412"/>
      <c r="AJ112" s="412"/>
      <c r="AK112" s="412"/>
      <c r="AL112" s="412"/>
      <c r="AM112" s="412"/>
      <c r="AN112" s="412"/>
      <c r="AO112" s="412"/>
      <c r="AP112" s="412"/>
      <c r="AQ112" s="412"/>
    </row>
    <row s="5573" customFormat="1" customHeight="1" ht="17.25" hidden="1">
      <c r="A113" s="466"/>
      <c r="C113" s="465"/>
      <c r="D113" s="2106"/>
      <c r="E113" s="2108"/>
      <c r="F113" s="2110"/>
      <c r="G113" s="2113"/>
      <c r="H113" s="2115"/>
      <c r="I113" s="2117"/>
      <c r="J113" s="2120"/>
      <c r="K113" s="2103"/>
      <c r="L113" s="2098"/>
      <c r="M113" s="2098"/>
      <c r="N113" s="2101"/>
      <c r="O113" s="2103"/>
      <c r="P113" s="1695"/>
      <c r="Q113" s="1517"/>
      <c r="R113" s="1517"/>
      <c r="S113" s="477"/>
      <c r="T113" s="477"/>
      <c r="U113" s="477"/>
      <c r="V113" s="477"/>
      <c r="W113" s="1518"/>
      <c r="X113" s="1475"/>
      <c r="Y113" s="1475"/>
      <c r="Z113" s="1475"/>
      <c r="AA113" s="1475"/>
      <c r="AB113" s="1475"/>
      <c r="AC113" s="412"/>
      <c r="AD113" s="412"/>
      <c r="AE113" s="412"/>
      <c r="AF113" s="412"/>
      <c r="AG113" s="412"/>
      <c r="AH113" s="412"/>
      <c r="AI113" s="412"/>
      <c r="AJ113" s="412"/>
      <c r="AK113" s="412"/>
      <c r="AL113" s="412"/>
      <c r="AM113" s="412"/>
      <c r="AN113" s="412"/>
      <c r="AO113" s="412"/>
      <c r="AP113" s="412"/>
      <c r="AQ113" s="412"/>
    </row>
    <row s="5573" customFormat="1" customHeight="1" ht="17.25" hidden="1">
      <c r="A114" s="466"/>
      <c r="C114" s="465"/>
      <c r="D114" s="2106"/>
      <c r="E114" s="2108"/>
      <c r="F114" s="2110"/>
      <c r="G114" s="2113"/>
      <c r="H114" s="2115"/>
      <c r="I114" s="2117"/>
      <c r="J114" s="2120"/>
      <c r="K114" s="2103"/>
      <c r="L114" s="1517"/>
      <c r="M114" s="1517"/>
      <c r="N114" s="1517"/>
      <c r="O114" s="1517"/>
      <c r="P114" s="1517"/>
      <c r="Q114" s="1517"/>
      <c r="R114" s="1517"/>
      <c r="S114" s="477"/>
      <c r="T114" s="477"/>
      <c r="U114" s="477"/>
      <c r="V114" s="477"/>
      <c r="W114" s="1518"/>
      <c r="X114" s="1475"/>
      <c r="Y114" s="1475"/>
      <c r="Z114" s="1475"/>
      <c r="AA114" s="1475"/>
      <c r="AB114" s="1475"/>
      <c r="AC114" s="412"/>
      <c r="AD114" s="412"/>
      <c r="AE114" s="412"/>
      <c r="AF114" s="412"/>
      <c r="AG114" s="412"/>
      <c r="AH114" s="412"/>
      <c r="AI114" s="412"/>
      <c r="AJ114" s="412"/>
      <c r="AK114" s="412"/>
      <c r="AL114" s="412"/>
      <c r="AM114" s="412"/>
      <c r="AN114" s="412"/>
      <c r="AO114" s="412"/>
      <c r="AP114" s="412"/>
      <c r="AQ114" s="412"/>
    </row>
    <row s="5573" customFormat="1" customHeight="1" ht="17.25" hidden="1">
      <c r="A115" s="466"/>
      <c r="C115" s="465"/>
      <c r="D115" s="2106"/>
      <c r="E115" s="2108"/>
      <c r="F115" s="2111"/>
      <c r="G115" s="2113"/>
      <c r="H115" s="1520"/>
      <c r="I115" s="1521"/>
      <c r="J115" s="1521"/>
      <c r="K115" s="1521"/>
      <c r="L115" s="1521"/>
      <c r="M115" s="1521"/>
      <c r="N115" s="1521"/>
      <c r="O115" s="1521"/>
      <c r="P115" s="1521"/>
      <c r="Q115" s="1521"/>
      <c r="R115" s="1521"/>
      <c r="S115" s="1522"/>
      <c r="T115" s="1522"/>
      <c r="U115" s="1522"/>
      <c r="V115" s="1522"/>
      <c r="W115" s="1523"/>
      <c r="X115" s="1475"/>
      <c r="Y115" s="1475"/>
      <c r="Z115" s="1475"/>
      <c r="AA115" s="1475"/>
      <c r="AB115" s="1475"/>
      <c r="AC115" s="412"/>
      <c r="AD115" s="412"/>
      <c r="AE115" s="412"/>
      <c r="AF115" s="412"/>
      <c r="AG115" s="412"/>
      <c r="AH115" s="412"/>
      <c r="AI115" s="412"/>
      <c r="AJ115" s="412"/>
      <c r="AK115" s="412"/>
      <c r="AL115" s="412"/>
      <c r="AM115" s="412"/>
      <c r="AN115" s="412"/>
      <c r="AO115" s="412"/>
      <c r="AP115" s="412"/>
      <c r="AQ115" s="412"/>
    </row>
    <row s="5573" customFormat="1" customHeight="1" ht="17.25" hidden="1">
      <c r="A116" s="466"/>
      <c r="C116" s="344"/>
      <c r="D116" s="2105">
        <v>3</v>
      </c>
      <c r="E116" s="2107" t="s">
        <v>274</v>
      </c>
      <c r="F116" s="2109" t="s">
        <v>56</v>
      </c>
      <c r="G116" s="2112"/>
      <c r="H116" s="2114"/>
      <c r="I116" s="2116"/>
      <c r="J116" s="2118"/>
      <c r="K116" s="2102"/>
      <c r="L116" s="2097"/>
      <c r="M116" s="2097"/>
      <c r="N116" s="2099"/>
      <c r="O116" s="2102"/>
      <c r="P116" s="2097"/>
      <c r="Q116" s="2097"/>
      <c r="R116" s="2104"/>
      <c r="S116" s="2102"/>
      <c r="T116" s="1694"/>
      <c r="U116" s="1694"/>
      <c r="V116" s="1696"/>
      <c r="W116" s="1516"/>
      <c r="X116" s="1483"/>
      <c r="Y116" s="1483"/>
      <c r="Z116" s="1483"/>
      <c r="AA116" s="1483"/>
      <c r="AB116" s="1483"/>
      <c r="AC116" s="1565" t="s">
        <v>275</v>
      </c>
      <c r="AD116" s="1565" t="s">
        <v>276</v>
      </c>
      <c r="AE116" s="1565" t="s">
        <v>277</v>
      </c>
      <c r="AF116" s="1565" t="s">
        <v>278</v>
      </c>
      <c r="AG116" s="1565"/>
      <c r="AH116" s="1565" t="str">
        <f>IF($E$116=0,"",$E$116)</f>
        <v>Тариф на подключение (технологическое присоединение) к централизованной системе водоотведения</v>
      </c>
      <c r="AI116" s="1565" t="str">
        <f>IF($G$116=0,"",$G$116)</f>
        <v/>
      </c>
      <c r="AJ116" s="1565" t="str">
        <f>IF($J$116=0,"",$J$116)</f>
        <v/>
      </c>
      <c r="AK116" s="1565" t="str">
        <f>IF($K$116="нет","без дифференциации",IF($N$116=0,"",$N$116))</f>
        <v/>
      </c>
      <c r="AL116" s="1565" t="str">
        <f>IF($O$116="нет","без дифференциации",IF($R$116=0,"",$R$116))</f>
        <v/>
      </c>
      <c r="AM116" s="1565" t="str">
        <f>IF($S$116="нет","без дифференциации",IF($V$116=0,"",$V$116))</f>
        <v/>
      </c>
      <c r="AN116" s="1744">
        <f>$I$116</f>
        <v>0</v>
      </c>
      <c r="AO116" s="1565" t="str">
        <f>$I$116&amp;"."&amp;$M$116</f>
        <v>.</v>
      </c>
      <c r="AP116" s="412" t="str">
        <f>$I$116&amp;"."&amp;$M$116&amp;"."&amp;$Q$116</f>
        <v>..</v>
      </c>
      <c r="AQ116" s="412" t="str">
        <f>$I$116&amp;"."&amp;$M$116&amp;"."&amp;$Q$116&amp;"."&amp;$U$116</f>
        <v>...</v>
      </c>
    </row>
    <row s="5573" customFormat="1" customHeight="1" ht="17.25" hidden="1">
      <c r="A117" s="466"/>
      <c r="C117" s="465"/>
      <c r="D117" s="2105"/>
      <c r="E117" s="2107"/>
      <c r="F117" s="2110"/>
      <c r="G117" s="2112"/>
      <c r="H117" s="2115"/>
      <c r="I117" s="2117"/>
      <c r="J117" s="2119"/>
      <c r="K117" s="2103"/>
      <c r="L117" s="2098"/>
      <c r="M117" s="2098"/>
      <c r="N117" s="2100"/>
      <c r="O117" s="2103"/>
      <c r="P117" s="2098"/>
      <c r="Q117" s="2098"/>
      <c r="R117" s="2101"/>
      <c r="S117" s="2103"/>
      <c r="T117" s="1517"/>
      <c r="U117" s="1517"/>
      <c r="V117" s="1517"/>
      <c r="W117" s="1518"/>
      <c r="X117" s="1475"/>
      <c r="Y117" s="1475"/>
      <c r="Z117" s="1475"/>
      <c r="AA117" s="1475"/>
      <c r="AB117" s="1475"/>
      <c r="AC117" s="412"/>
      <c r="AD117" s="412"/>
      <c r="AE117" s="412"/>
      <c r="AF117" s="412"/>
      <c r="AG117" s="412"/>
      <c r="AH117" s="412"/>
      <c r="AI117" s="412"/>
      <c r="AJ117" s="412"/>
      <c r="AK117" s="412"/>
      <c r="AL117" s="412"/>
      <c r="AM117" s="412"/>
      <c r="AN117" s="412"/>
      <c r="AO117" s="412"/>
      <c r="AP117" s="412"/>
      <c r="AQ117" s="412"/>
    </row>
    <row s="5573" customFormat="1" customHeight="1" ht="17.25" hidden="1">
      <c r="A118" s="466"/>
      <c r="C118" s="465"/>
      <c r="D118" s="2106"/>
      <c r="E118" s="2108"/>
      <c r="F118" s="2110"/>
      <c r="G118" s="2113"/>
      <c r="H118" s="2115"/>
      <c r="I118" s="2117"/>
      <c r="J118" s="2120"/>
      <c r="K118" s="2103"/>
      <c r="L118" s="2098"/>
      <c r="M118" s="2098"/>
      <c r="N118" s="2101"/>
      <c r="O118" s="2103"/>
      <c r="P118" s="1695"/>
      <c r="Q118" s="1517"/>
      <c r="R118" s="1517"/>
      <c r="S118" s="477"/>
      <c r="T118" s="477"/>
      <c r="U118" s="477"/>
      <c r="V118" s="477"/>
      <c r="W118" s="1518"/>
      <c r="X118" s="1475"/>
      <c r="Y118" s="1475"/>
      <c r="Z118" s="1475"/>
      <c r="AA118" s="1475"/>
      <c r="AB118" s="1475"/>
      <c r="AC118" s="412"/>
      <c r="AD118" s="412"/>
      <c r="AE118" s="412"/>
      <c r="AF118" s="412"/>
      <c r="AG118" s="412"/>
      <c r="AH118" s="412"/>
      <c r="AI118" s="412"/>
      <c r="AJ118" s="412"/>
      <c r="AK118" s="412"/>
      <c r="AL118" s="412"/>
      <c r="AM118" s="412"/>
      <c r="AN118" s="412"/>
      <c r="AO118" s="412"/>
      <c r="AP118" s="412"/>
      <c r="AQ118" s="412"/>
    </row>
    <row s="5573" customFormat="1" customHeight="1" ht="17.25" hidden="1">
      <c r="A119" s="466"/>
      <c r="C119" s="465"/>
      <c r="D119" s="2106"/>
      <c r="E119" s="2108"/>
      <c r="F119" s="2110"/>
      <c r="G119" s="2113"/>
      <c r="H119" s="2115"/>
      <c r="I119" s="2117"/>
      <c r="J119" s="2120"/>
      <c r="K119" s="2103"/>
      <c r="L119" s="1517"/>
      <c r="M119" s="1517"/>
      <c r="N119" s="1517"/>
      <c r="O119" s="1517"/>
      <c r="P119" s="1517"/>
      <c r="Q119" s="1517"/>
      <c r="R119" s="1517"/>
      <c r="S119" s="477"/>
      <c r="T119" s="477"/>
      <c r="U119" s="477"/>
      <c r="V119" s="477"/>
      <c r="W119" s="1518"/>
      <c r="X119" s="1475"/>
      <c r="Y119" s="1475"/>
      <c r="Z119" s="1475"/>
      <c r="AA119" s="1475"/>
      <c r="AB119" s="1475"/>
      <c r="AC119" s="412"/>
      <c r="AD119" s="412"/>
      <c r="AE119" s="412"/>
      <c r="AF119" s="412"/>
      <c r="AG119" s="412"/>
      <c r="AH119" s="412"/>
      <c r="AI119" s="412"/>
      <c r="AJ119" s="412"/>
      <c r="AK119" s="412"/>
      <c r="AL119" s="412"/>
      <c r="AM119" s="412"/>
      <c r="AN119" s="412"/>
      <c r="AO119" s="412"/>
      <c r="AP119" s="412"/>
      <c r="AQ119" s="412"/>
    </row>
    <row s="5573" customFormat="1" customHeight="1" ht="17.25" hidden="1">
      <c r="A120" s="466"/>
      <c r="C120" s="465"/>
      <c r="D120" s="2106"/>
      <c r="E120" s="2108"/>
      <c r="F120" s="2111"/>
      <c r="G120" s="2113"/>
      <c r="H120" s="1520"/>
      <c r="I120" s="1521"/>
      <c r="J120" s="1521"/>
      <c r="K120" s="1521"/>
      <c r="L120" s="1521"/>
      <c r="M120" s="1521"/>
      <c r="N120" s="1521"/>
      <c r="O120" s="1521"/>
      <c r="P120" s="1521"/>
      <c r="Q120" s="1521"/>
      <c r="R120" s="1521"/>
      <c r="S120" s="1522"/>
      <c r="T120" s="1522"/>
      <c r="U120" s="1522"/>
      <c r="V120" s="1522"/>
      <c r="W120" s="1523"/>
      <c r="X120" s="1475"/>
      <c r="Y120" s="1475"/>
      <c r="Z120" s="1475"/>
      <c r="AA120" s="1475"/>
      <c r="AB120" s="1475"/>
      <c r="AC120" s="412"/>
      <c r="AD120" s="412"/>
      <c r="AE120" s="412"/>
      <c r="AF120" s="412"/>
      <c r="AG120" s="412"/>
      <c r="AH120" s="412"/>
      <c r="AI120" s="412"/>
      <c r="AJ120" s="412"/>
      <c r="AK120" s="412"/>
      <c r="AL120" s="412"/>
      <c r="AM120" s="412"/>
      <c r="AN120" s="412"/>
      <c r="AO120" s="412"/>
      <c r="AP120" s="412"/>
      <c r="AQ120" s="412"/>
    </row>
    <row customHeight="1" ht="11.25" hidden="1"/>
    <row r="124" customHeight="1" ht="11.25">
      <c r="E124" s="1573"/>
    </row>
    <row customHeight="1" ht="11.25">
      <c r="E125" s="1573"/>
    </row>
    <row customHeight="1" ht="11.25">
      <c r="E126" s="1573"/>
    </row>
    <row customHeight="1" ht="11.25">
      <c r="E127" s="1573"/>
    </row>
    <row customHeight="1" ht="11.25">
      <c r="E128" s="1573"/>
    </row>
    <row customHeight="1" ht="11.25">
      <c r="E129" s="1573"/>
    </row>
    <row customHeight="1" ht="11.25">
      <c r="E130" s="1573"/>
    </row>
  </sheetData>
  <sheetProtection formatColumns="0" formatRows="0" autoFilter="0" sort="0" insertRows="0" insertColumns="1" deleteRows="0" deleteColumns="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formula1>DESCRIPTION_TERRITORY</formula1>
    </dataValidation>
    <dataValidation allowBlank="1" showInputMessage="1" showErrorMessage="1" prompt="Выберите виды деятельности, выполнив двойной щелчок левой кнопки мыши по ячейке." sqref="G13:G52 G64:G88 G90:G104 G106:G12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A9A227-B551-1B94-9578-C6840668743E}"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5661" width="9.140625" hidden="1"/>
    <col min="3" max="4" style="5661" width="3.7109375" customWidth="1"/>
    <col min="5" max="6" style="5661" width="16.00390625" customWidth="1"/>
    <col min="7" max="7" style="5661" width="11.57421875" customWidth="1"/>
    <col min="8" max="9" style="5661" width="3.7109375" customWidth="1"/>
    <col min="10" max="10" style="5661" width="13.140625" customWidth="1"/>
    <col min="11" max="11" style="5661" width="0.28125" customWidth="1"/>
    <col min="12" max="13" style="5661" width="10.7109375" customWidth="1"/>
    <col min="14" max="15" style="5661" width="3.7109375" customWidth="1"/>
    <col min="16" max="16" style="5661" width="19.7109375" customWidth="1"/>
    <col min="17" max="17" style="5661" width="0.28125" customWidth="1"/>
    <col min="18" max="19" style="5661" width="10.7109375" customWidth="1"/>
    <col min="20" max="21" style="5661" width="3.7109375" customWidth="1"/>
    <col min="22" max="22" style="5661" width="25.7109375" customWidth="1"/>
    <col min="23" max="23" style="5661" width="0.28125" customWidth="1"/>
    <col min="24" max="25" style="5661" width="10.7109375" customWidth="1"/>
    <col min="26" max="27" style="5661" width="3.7109375" customWidth="1"/>
    <col min="28" max="28" style="5661" width="16.421875" customWidth="1"/>
    <col min="29" max="29" style="5661" width="0.28125" customWidth="1"/>
    <col min="30" max="31" style="5661" width="10.7109375" customWidth="1"/>
    <col min="32" max="33" style="5661" width="3.7109375" customWidth="1"/>
    <col min="34" max="34" style="5661" width="8.7109375" customWidth="1"/>
    <col min="35" max="35" style="5661" width="21.7109375" customWidth="1"/>
    <col min="36" max="36" style="5337" width="9.140625"/>
    <col min="37" max="37" style="5662" width="9.140625"/>
    <col min="38" max="64" style="5337" width="9.140625"/>
  </cols>
  <sheetData>
    <row s="5579" customFormat="1" customHeight="1" ht="11.25" hidden="1">
      <c r="AJ1" s="585"/>
      <c r="AK1" s="585"/>
      <c r="AL1" s="585"/>
      <c r="AM1" s="585"/>
      <c r="AN1" s="585"/>
      <c r="AO1" s="585"/>
      <c r="AP1" s="585"/>
      <c r="AQ1" s="585"/>
      <c r="AR1" s="585"/>
      <c r="AS1" s="585"/>
      <c r="AT1" s="585"/>
      <c r="AU1" s="585"/>
      <c r="AV1" s="585"/>
      <c r="AW1" s="585"/>
      <c r="AX1" s="585"/>
      <c r="AY1" s="585"/>
      <c r="AZ1" s="585"/>
      <c r="BA1" s="585"/>
      <c r="BB1" s="585"/>
      <c r="BC1" s="585"/>
      <c r="BD1" s="585"/>
      <c r="BE1" s="585"/>
      <c r="BF1" s="585"/>
      <c r="BG1" s="585"/>
      <c r="BH1" s="585"/>
      <c r="BI1" s="585"/>
      <c r="BJ1" s="585"/>
      <c r="BK1" s="585"/>
      <c r="BL1" s="585"/>
    </row>
    <row s="5580" customFormat="1" customHeight="1" ht="11.25" hidden="1">
      <c r="L2" s="1791" t="s">
        <v>279</v>
      </c>
      <c r="M2" s="1791" t="s">
        <v>280</v>
      </c>
      <c r="R2" s="1791" t="s">
        <v>281</v>
      </c>
      <c r="S2" s="1791" t="s">
        <v>280</v>
      </c>
      <c r="X2" s="1791" t="s">
        <v>279</v>
      </c>
      <c r="Y2" s="1791" t="s">
        <v>280</v>
      </c>
      <c r="AD2" s="1791" t="s">
        <v>279</v>
      </c>
      <c r="AE2" s="1791" t="s">
        <v>280</v>
      </c>
      <c r="AJ2" s="1814"/>
      <c r="AK2" s="1814"/>
      <c r="AL2" s="1814"/>
      <c r="AM2" s="1814"/>
      <c r="AN2" s="1814"/>
      <c r="AO2" s="1814"/>
      <c r="AP2" s="1814"/>
      <c r="AQ2" s="1814"/>
      <c r="AR2" s="1814"/>
      <c r="AS2" s="1814"/>
      <c r="AT2" s="1814"/>
      <c r="AU2" s="1814"/>
      <c r="AV2" s="1814"/>
      <c r="AW2" s="1814"/>
      <c r="AX2" s="1814"/>
      <c r="AY2" s="1814"/>
      <c r="AZ2" s="1814"/>
      <c r="BA2" s="1814"/>
      <c r="BB2" s="1814"/>
      <c r="BC2" s="1814"/>
      <c r="BD2" s="1814"/>
      <c r="BE2" s="1814"/>
      <c r="BF2" s="1814"/>
      <c r="BG2" s="1814"/>
      <c r="BH2" s="1814"/>
      <c r="BI2" s="1814"/>
      <c r="BJ2" s="1814"/>
      <c r="BK2" s="1814"/>
      <c r="BL2" s="1814"/>
    </row>
    <row s="5583" customFormat="1" customHeight="1" ht="11.25">
      <c r="AJ3" s="1813"/>
      <c r="AK3" s="444"/>
      <c r="AL3" s="1813"/>
      <c r="AM3" s="1813"/>
      <c r="AN3" s="1813"/>
      <c r="AO3" s="1813"/>
      <c r="AP3" s="1813"/>
      <c r="AQ3" s="1813"/>
      <c r="AR3" s="1813"/>
      <c r="AS3" s="1813"/>
      <c r="AT3" s="1813"/>
      <c r="AU3" s="1813"/>
      <c r="AV3" s="1813"/>
      <c r="AW3" s="1813"/>
      <c r="AX3" s="1813"/>
      <c r="AY3" s="1813"/>
      <c r="AZ3" s="1813"/>
      <c r="BA3" s="1813"/>
      <c r="BB3" s="1813"/>
      <c r="BC3" s="1813"/>
      <c r="BD3" s="1813"/>
      <c r="BE3" s="1813"/>
      <c r="BF3" s="1813"/>
      <c r="BG3" s="1813"/>
      <c r="BH3" s="1813"/>
      <c r="BI3" s="1813"/>
      <c r="BJ3" s="1813"/>
      <c r="BK3" s="1813"/>
      <c r="BL3" s="1813"/>
    </row>
    <row s="5328" customFormat="1" customHeight="1" ht="33">
      <c r="A4" s="1344"/>
      <c r="B4" s="1343"/>
      <c r="C4" s="1742"/>
      <c r="D4" s="2165" t="s">
        <v>282</v>
      </c>
      <c r="E4" s="2165"/>
      <c r="F4" s="2165"/>
      <c r="G4" s="2165"/>
      <c r="H4" s="2165"/>
      <c r="I4" s="2165"/>
      <c r="J4" s="2165"/>
      <c r="K4" s="863"/>
      <c r="T4" s="1793"/>
      <c r="AJ4" s="1815"/>
      <c r="AK4" s="1816"/>
      <c r="AL4" s="1815"/>
      <c r="AM4" s="1815"/>
      <c r="AN4" s="1815"/>
      <c r="AO4" s="1815"/>
      <c r="AP4" s="1815"/>
      <c r="AQ4" s="1815"/>
      <c r="AR4" s="1815"/>
      <c r="AS4" s="1815"/>
      <c r="AT4" s="1815"/>
      <c r="AU4" s="1815"/>
      <c r="AV4" s="1815"/>
      <c r="AW4" s="1815"/>
      <c r="AX4" s="1815"/>
      <c r="AY4" s="1815"/>
      <c r="AZ4" s="1815"/>
      <c r="BA4" s="1815"/>
      <c r="BB4" s="1815"/>
      <c r="BC4" s="1815"/>
      <c r="BD4" s="1815"/>
      <c r="BE4" s="1815"/>
      <c r="BF4" s="1815"/>
      <c r="BG4" s="1815"/>
      <c r="BH4" s="1815"/>
      <c r="BI4" s="1815"/>
      <c r="BJ4" s="1815"/>
      <c r="BK4" s="1815"/>
      <c r="BL4" s="1815"/>
    </row>
    <row s="5594" customFormat="1" customHeight="1" ht="14.25">
      <c r="A5" s="1872"/>
      <c r="B5" s="1871"/>
      <c r="C5" s="1742"/>
      <c r="D5" s="214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145"/>
      <c r="F5" s="2145"/>
      <c r="G5" s="2145"/>
      <c r="H5" s="2145"/>
      <c r="I5" s="2145"/>
      <c r="J5" s="2145"/>
      <c r="K5" s="863"/>
      <c r="T5" s="1793"/>
      <c r="AJ5" s="1815"/>
      <c r="AK5" s="1816"/>
      <c r="AL5" s="1815"/>
      <c r="AM5" s="1815"/>
      <c r="AN5" s="1815"/>
      <c r="AO5" s="1815"/>
      <c r="AP5" s="1815"/>
      <c r="AQ5" s="1815"/>
      <c r="AR5" s="1815"/>
      <c r="AS5" s="1815"/>
      <c r="AT5" s="1815"/>
      <c r="AU5" s="1815"/>
      <c r="AV5" s="1815"/>
      <c r="AW5" s="1815"/>
      <c r="AX5" s="1815"/>
      <c r="AY5" s="1815"/>
      <c r="AZ5" s="1815"/>
      <c r="BA5" s="1815"/>
      <c r="BB5" s="1815"/>
      <c r="BC5" s="1815"/>
      <c r="BD5" s="1815"/>
      <c r="BE5" s="1815"/>
      <c r="BF5" s="1815"/>
      <c r="BG5" s="1815"/>
      <c r="BH5" s="1815"/>
      <c r="BI5" s="1815"/>
      <c r="BJ5" s="1815"/>
      <c r="BK5" s="1815"/>
      <c r="BL5" s="1815"/>
    </row>
    <row s="5328" customFormat="1" customHeight="1" ht="14.25">
      <c r="A6" s="1344"/>
      <c r="B6" s="1343"/>
      <c r="C6" s="1742"/>
      <c r="D6" s="863"/>
      <c r="E6" s="863"/>
      <c r="F6" s="863"/>
      <c r="G6" s="863"/>
      <c r="H6" s="863"/>
      <c r="I6" s="863"/>
      <c r="J6" s="863"/>
      <c r="K6" s="863"/>
      <c r="T6" s="1793"/>
      <c r="AJ6" s="1815"/>
      <c r="AK6" s="1816"/>
      <c r="AL6" s="1815"/>
      <c r="AM6" s="1815"/>
      <c r="AN6" s="1815"/>
      <c r="AO6" s="1815"/>
      <c r="AP6" s="1815"/>
      <c r="AQ6" s="1815"/>
      <c r="AR6" s="1815"/>
      <c r="AS6" s="1815"/>
      <c r="AT6" s="1815"/>
      <c r="AU6" s="1815"/>
      <c r="AV6" s="1815"/>
      <c r="AW6" s="1815"/>
      <c r="AX6" s="1815"/>
      <c r="AY6" s="1815"/>
      <c r="AZ6" s="1815"/>
      <c r="BA6" s="1815"/>
      <c r="BB6" s="1815"/>
      <c r="BC6" s="1815"/>
      <c r="BD6" s="1815"/>
      <c r="BE6" s="1815"/>
      <c r="BF6" s="1815"/>
      <c r="BG6" s="1815"/>
      <c r="BH6" s="1815"/>
      <c r="BI6" s="1815"/>
      <c r="BJ6" s="1815"/>
      <c r="BK6" s="1815"/>
      <c r="BL6" s="1815"/>
    </row>
    <row s="5579" customFormat="1" customHeight="1" ht="0.75">
      <c r="AJ7" s="585"/>
      <c r="AK7" s="585"/>
      <c r="AL7" s="585"/>
      <c r="AM7" s="585"/>
      <c r="AN7" s="585"/>
      <c r="AO7" s="585"/>
      <c r="AP7" s="585"/>
      <c r="AQ7" s="585"/>
      <c r="AR7" s="585"/>
      <c r="AS7" s="585"/>
      <c r="AT7" s="585"/>
      <c r="AU7" s="585"/>
      <c r="AV7" s="585"/>
      <c r="AW7" s="585"/>
      <c r="AX7" s="585"/>
      <c r="AY7" s="585"/>
      <c r="AZ7" s="585"/>
      <c r="BA7" s="585"/>
      <c r="BB7" s="585"/>
      <c r="BC7" s="585"/>
      <c r="BD7" s="585"/>
      <c r="BE7" s="585"/>
      <c r="BF7" s="585"/>
      <c r="BG7" s="585"/>
      <c r="BH7" s="585"/>
      <c r="BI7" s="585"/>
      <c r="BJ7" s="585"/>
      <c r="BK7" s="585"/>
      <c r="BL7" s="585"/>
    </row>
    <row customHeight="1" ht="31.5">
      <c r="D8" s="2089" t="s">
        <v>87</v>
      </c>
      <c r="E8" s="2089" t="s">
        <v>114</v>
      </c>
      <c r="F8" s="2166" t="s">
        <v>131</v>
      </c>
      <c r="G8" s="2167"/>
      <c r="H8" s="2166" t="s">
        <v>87</v>
      </c>
      <c r="I8" s="2167"/>
      <c r="J8" s="2089" t="s">
        <v>132</v>
      </c>
      <c r="K8" s="1794"/>
      <c r="L8" s="2170" t="s">
        <v>283</v>
      </c>
      <c r="M8" s="2170"/>
      <c r="N8" s="2170"/>
      <c r="O8" s="2170"/>
      <c r="P8" s="2170"/>
      <c r="Q8" s="1795"/>
      <c r="R8" s="2171" t="s">
        <v>284</v>
      </c>
      <c r="S8" s="2172"/>
      <c r="T8" s="2172"/>
      <c r="U8" s="2172"/>
      <c r="V8" s="2172"/>
      <c r="W8" s="1795"/>
      <c r="X8" s="2173" t="s">
        <v>285</v>
      </c>
      <c r="Y8" s="2173"/>
      <c r="Z8" s="2173"/>
      <c r="AA8" s="2173"/>
      <c r="AB8" s="2173"/>
      <c r="AC8" s="1796"/>
      <c r="AD8" s="2089" t="s">
        <v>286</v>
      </c>
      <c r="AE8" s="2089"/>
      <c r="AF8" s="2089"/>
      <c r="AG8" s="2089"/>
      <c r="AH8" s="2130"/>
      <c r="AI8" s="2089" t="s">
        <v>287</v>
      </c>
      <c r="AJ8" s="1813"/>
    </row>
    <row customHeight="1" ht="22.5">
      <c r="D9" s="2089"/>
      <c r="E9" s="2089"/>
      <c r="F9" s="2144" t="s">
        <v>88</v>
      </c>
      <c r="G9" s="2144" t="s">
        <v>137</v>
      </c>
      <c r="H9" s="2168"/>
      <c r="I9" s="2169"/>
      <c r="J9" s="2130"/>
      <c r="K9" s="1797"/>
      <c r="L9" s="2089" t="s">
        <v>288</v>
      </c>
      <c r="M9" s="2130"/>
      <c r="N9" s="2166" t="s">
        <v>87</v>
      </c>
      <c r="O9" s="2167"/>
      <c r="P9" s="2089" t="s">
        <v>138</v>
      </c>
      <c r="Q9" s="1794"/>
      <c r="R9" s="2089" t="s">
        <v>288</v>
      </c>
      <c r="S9" s="2130"/>
      <c r="T9" s="2166" t="s">
        <v>87</v>
      </c>
      <c r="U9" s="2167"/>
      <c r="V9" s="2089" t="s">
        <v>138</v>
      </c>
      <c r="W9" s="1794"/>
      <c r="X9" s="2089" t="s">
        <v>288</v>
      </c>
      <c r="Y9" s="2130"/>
      <c r="Z9" s="2166" t="s">
        <v>87</v>
      </c>
      <c r="AA9" s="2167"/>
      <c r="AB9" s="2089" t="s">
        <v>289</v>
      </c>
      <c r="AC9" s="1794"/>
      <c r="AD9" s="2089" t="s">
        <v>288</v>
      </c>
      <c r="AE9" s="2130"/>
      <c r="AF9" s="2166" t="s">
        <v>87</v>
      </c>
      <c r="AG9" s="2167"/>
      <c r="AH9" s="2130" t="s">
        <v>289</v>
      </c>
      <c r="AI9" s="2089"/>
      <c r="AJ9" s="1813"/>
    </row>
    <row customHeight="1" ht="22.5">
      <c r="D10" s="2144"/>
      <c r="E10" s="2144"/>
      <c r="F10" s="2174"/>
      <c r="G10" s="2174"/>
      <c r="H10" s="2175"/>
      <c r="I10" s="2176"/>
      <c r="J10" s="2166"/>
      <c r="K10" s="1797"/>
      <c r="L10" s="1817" t="s">
        <v>290</v>
      </c>
      <c r="M10" s="1812" t="s">
        <v>291</v>
      </c>
      <c r="N10" s="2168"/>
      <c r="O10" s="2169"/>
      <c r="P10" s="2144"/>
      <c r="Q10" s="1794"/>
      <c r="R10" s="1817" t="s">
        <v>290</v>
      </c>
      <c r="S10" s="1812" t="s">
        <v>291</v>
      </c>
      <c r="T10" s="2168"/>
      <c r="U10" s="2169"/>
      <c r="V10" s="2144"/>
      <c r="W10" s="1794"/>
      <c r="X10" s="1817" t="s">
        <v>290</v>
      </c>
      <c r="Y10" s="1812" t="s">
        <v>291</v>
      </c>
      <c r="Z10" s="2168"/>
      <c r="AA10" s="2169"/>
      <c r="AB10" s="2144"/>
      <c r="AC10" s="1794"/>
      <c r="AD10" s="1817" t="s">
        <v>290</v>
      </c>
      <c r="AE10" s="1812" t="s">
        <v>291</v>
      </c>
      <c r="AF10" s="2168"/>
      <c r="AG10" s="2169"/>
      <c r="AH10" s="2166"/>
      <c r="AI10" s="2144"/>
      <c r="AJ10" s="1813"/>
      <c r="AK10" s="389" t="s">
        <v>292</v>
      </c>
      <c r="AL10" s="389" t="s">
        <v>139</v>
      </c>
    </row>
    <row customHeight="1" ht="14.25">
      <c r="D11" s="2156" t="s">
        <v>118</v>
      </c>
      <c r="E11" s="2157" t="s">
        <v>293</v>
      </c>
      <c r="F11" s="2150" t="s">
        <v>294</v>
      </c>
      <c r="G11" s="2159" t="s">
        <v>56</v>
      </c>
      <c r="H11" s="1838"/>
      <c r="I11" s="2152"/>
      <c r="J11" s="2118"/>
      <c r="K11" s="1739"/>
      <c r="L11" s="2102"/>
      <c r="M11" s="2102"/>
      <c r="N11" s="1823"/>
      <c r="O11" s="2097"/>
      <c r="P11" s="2154"/>
      <c r="Q11" s="1824"/>
      <c r="R11" s="2097"/>
      <c r="S11" s="2097"/>
      <c r="T11" s="1825"/>
      <c r="U11" s="2097"/>
      <c r="V11" s="2148"/>
      <c r="W11" s="1826"/>
      <c r="X11" s="2102"/>
      <c r="Y11" s="2102"/>
      <c r="Z11" s="1823"/>
      <c r="AA11" s="2097"/>
      <c r="AB11" s="2148"/>
      <c r="AC11" s="1827"/>
      <c r="AD11" s="2102"/>
      <c r="AE11" s="2102"/>
      <c r="AF11" s="1738"/>
      <c r="AG11" s="1738"/>
      <c r="AH11" s="1828"/>
      <c r="AI11" s="1516"/>
      <c r="AJ11" s="1813"/>
    </row>
    <row customHeight="1" ht="14.25">
      <c r="D12" s="2156"/>
      <c r="E12" s="2157"/>
      <c r="F12" s="2150"/>
      <c r="G12" s="2160"/>
      <c r="H12" s="1839"/>
      <c r="I12" s="2153"/>
      <c r="J12" s="2119"/>
      <c r="K12" s="1850"/>
      <c r="L12" s="2103"/>
      <c r="M12" s="2103"/>
      <c r="N12" s="1829"/>
      <c r="O12" s="2098"/>
      <c r="P12" s="2155"/>
      <c r="Q12" s="1830"/>
      <c r="R12" s="2098"/>
      <c r="S12" s="2098"/>
      <c r="T12" s="1831"/>
      <c r="U12" s="2098"/>
      <c r="V12" s="2149"/>
      <c r="W12" s="1832"/>
      <c r="X12" s="2103"/>
      <c r="Y12" s="2103"/>
      <c r="Z12" s="1829"/>
      <c r="AA12" s="2098"/>
      <c r="AB12" s="2149"/>
      <c r="AC12" s="1833"/>
      <c r="AD12" s="2103"/>
      <c r="AE12" s="2103"/>
      <c r="AF12" s="1834"/>
      <c r="AG12" s="1834"/>
      <c r="AH12" s="2146"/>
      <c r="AI12" s="2147"/>
      <c r="AJ12" s="1813"/>
    </row>
    <row customHeight="1" ht="14.25">
      <c r="D13" s="2156"/>
      <c r="E13" s="2157"/>
      <c r="F13" s="2150"/>
      <c r="G13" s="2160"/>
      <c r="H13" s="1839"/>
      <c r="I13" s="2153"/>
      <c r="J13" s="2119"/>
      <c r="K13" s="1850"/>
      <c r="L13" s="2103"/>
      <c r="M13" s="2103"/>
      <c r="N13" s="1829"/>
      <c r="O13" s="2098"/>
      <c r="P13" s="2155"/>
      <c r="Q13" s="1830"/>
      <c r="R13" s="2098"/>
      <c r="S13" s="2098"/>
      <c r="T13" s="1831"/>
      <c r="U13" s="2098"/>
      <c r="V13" s="2149"/>
      <c r="W13" s="1832"/>
      <c r="X13" s="2103"/>
      <c r="Y13" s="2103"/>
      <c r="Z13" s="1737"/>
      <c r="AA13" s="1834"/>
      <c r="AB13" s="2146"/>
      <c r="AC13" s="2146"/>
      <c r="AD13" s="2146"/>
      <c r="AE13" s="2146"/>
      <c r="AF13" s="2146"/>
      <c r="AG13" s="2146"/>
      <c r="AH13" s="2146"/>
      <c r="AI13" s="2147"/>
      <c r="AJ13" s="1813"/>
    </row>
    <row customHeight="1" ht="14.25">
      <c r="D14" s="2156"/>
      <c r="E14" s="2157"/>
      <c r="F14" s="2150"/>
      <c r="G14" s="2160"/>
      <c r="H14" s="1839"/>
      <c r="I14" s="2153"/>
      <c r="J14" s="2119"/>
      <c r="K14" s="1850"/>
      <c r="L14" s="2103"/>
      <c r="M14" s="2103"/>
      <c r="N14" s="1829"/>
      <c r="O14" s="2098"/>
      <c r="P14" s="2155"/>
      <c r="Q14" s="1830"/>
      <c r="R14" s="2098"/>
      <c r="S14" s="2098"/>
      <c r="T14" s="1835"/>
      <c r="U14" s="1836"/>
      <c r="V14" s="2146"/>
      <c r="W14" s="2146"/>
      <c r="X14" s="2146"/>
      <c r="Y14" s="2146"/>
      <c r="Z14" s="2146"/>
      <c r="AA14" s="2146"/>
      <c r="AB14" s="2146"/>
      <c r="AC14" s="2146"/>
      <c r="AD14" s="2146"/>
      <c r="AE14" s="2146"/>
      <c r="AF14" s="2146"/>
      <c r="AG14" s="2146"/>
      <c r="AH14" s="2146"/>
      <c r="AI14" s="2147"/>
      <c r="AJ14" s="1813"/>
    </row>
    <row customHeight="1" ht="11.25">
      <c r="D15" s="2156"/>
      <c r="E15" s="2157"/>
      <c r="F15" s="2150"/>
      <c r="G15" s="2160"/>
      <c r="H15" s="1840"/>
      <c r="I15" s="2153"/>
      <c r="J15" s="2119"/>
      <c r="K15" s="1850"/>
      <c r="L15" s="2103"/>
      <c r="M15" s="2103"/>
      <c r="N15" s="1834"/>
      <c r="O15" s="1834"/>
      <c r="P15" s="2146"/>
      <c r="Q15" s="2146"/>
      <c r="R15" s="2146"/>
      <c r="S15" s="2146"/>
      <c r="T15" s="2146"/>
      <c r="U15" s="2146"/>
      <c r="V15" s="2146"/>
      <c r="W15" s="2146"/>
      <c r="X15" s="2146"/>
      <c r="Y15" s="2146"/>
      <c r="Z15" s="2146"/>
      <c r="AA15" s="2146"/>
      <c r="AB15" s="2146"/>
      <c r="AC15" s="2146"/>
      <c r="AD15" s="2146"/>
      <c r="AE15" s="2146"/>
      <c r="AF15" s="2146"/>
      <c r="AG15" s="2146"/>
      <c r="AH15" s="2146"/>
      <c r="AI15" s="2147"/>
      <c r="AJ15" s="1813"/>
    </row>
    <row s="5583" customFormat="1" customHeight="1" ht="11.25">
      <c r="D16" s="2163"/>
      <c r="E16" s="2164"/>
      <c r="F16" s="2151"/>
      <c r="G16" s="2074"/>
      <c r="H16" s="1837"/>
      <c r="I16" s="1841"/>
      <c r="J16" s="2161"/>
      <c r="K16" s="2161"/>
      <c r="L16" s="2161"/>
      <c r="M16" s="2161"/>
      <c r="N16" s="2161"/>
      <c r="O16" s="2161"/>
      <c r="P16" s="2161"/>
      <c r="Q16" s="2161"/>
      <c r="R16" s="2161"/>
      <c r="S16" s="2161"/>
      <c r="T16" s="2161"/>
      <c r="U16" s="2161"/>
      <c r="V16" s="2161"/>
      <c r="W16" s="2161"/>
      <c r="X16" s="2161"/>
      <c r="Y16" s="2161"/>
      <c r="Z16" s="2161"/>
      <c r="AA16" s="2161"/>
      <c r="AB16" s="2161"/>
      <c r="AC16" s="2161"/>
      <c r="AD16" s="2161"/>
      <c r="AE16" s="2161"/>
      <c r="AF16" s="2161"/>
      <c r="AG16" s="2161"/>
      <c r="AH16" s="2161"/>
      <c r="AI16" s="2162"/>
      <c r="AJ16" s="1813"/>
      <c r="AK16" s="444"/>
      <c r="AL16" s="1813"/>
      <c r="AM16" s="1813"/>
      <c r="AN16" s="1813"/>
      <c r="AO16" s="1813"/>
      <c r="AP16" s="1813"/>
      <c r="AQ16" s="1813"/>
      <c r="AR16" s="1813"/>
      <c r="AS16" s="1813"/>
      <c r="AT16" s="1813"/>
      <c r="AU16" s="1813"/>
      <c r="AV16" s="1813"/>
      <c r="AW16" s="1813"/>
      <c r="AX16" s="1813"/>
      <c r="AY16" s="1813"/>
      <c r="AZ16" s="1813"/>
      <c r="BA16" s="1813"/>
      <c r="BB16" s="1813"/>
      <c r="BC16" s="1813"/>
      <c r="BD16" s="1813"/>
      <c r="BE16" s="1813"/>
      <c r="BF16" s="1813"/>
      <c r="BG16" s="1813"/>
      <c r="BH16" s="1813"/>
      <c r="BI16" s="1813"/>
      <c r="BJ16" s="1813"/>
      <c r="BK16" s="1813"/>
      <c r="BL16" s="1813"/>
    </row>
    <row customHeight="1" ht="14.25">
      <c r="D17" s="2156" t="s">
        <v>102</v>
      </c>
      <c r="E17" s="2157" t="s">
        <v>293</v>
      </c>
      <c r="F17" s="2150" t="s">
        <v>295</v>
      </c>
      <c r="G17" s="2159" t="s">
        <v>56</v>
      </c>
      <c r="H17" s="1838"/>
      <c r="I17" s="2152"/>
      <c r="J17" s="2118"/>
      <c r="K17" s="1739"/>
      <c r="L17" s="2102"/>
      <c r="M17" s="2102"/>
      <c r="N17" s="1823"/>
      <c r="O17" s="2097"/>
      <c r="P17" s="2154"/>
      <c r="Q17" s="1824"/>
      <c r="R17" s="2097"/>
      <c r="S17" s="2097"/>
      <c r="T17" s="1825"/>
      <c r="U17" s="2097"/>
      <c r="V17" s="2148"/>
      <c r="W17" s="1826"/>
      <c r="X17" s="2102"/>
      <c r="Y17" s="2102"/>
      <c r="Z17" s="1823"/>
      <c r="AA17" s="2097"/>
      <c r="AB17" s="2148"/>
      <c r="AC17" s="1827"/>
      <c r="AD17" s="2102"/>
      <c r="AE17" s="2102"/>
      <c r="AF17" s="1738"/>
      <c r="AG17" s="1738"/>
      <c r="AH17" s="1828"/>
      <c r="AI17" s="1516"/>
      <c r="AJ17" s="1813"/>
    </row>
    <row customHeight="1" ht="14.25">
      <c r="D18" s="2156"/>
      <c r="E18" s="2157"/>
      <c r="F18" s="2150"/>
      <c r="G18" s="2160"/>
      <c r="H18" s="1839"/>
      <c r="I18" s="2153"/>
      <c r="J18" s="2119"/>
      <c r="K18" s="1822"/>
      <c r="L18" s="2103"/>
      <c r="M18" s="2103"/>
      <c r="N18" s="1829"/>
      <c r="O18" s="2098"/>
      <c r="P18" s="2155"/>
      <c r="Q18" s="1830"/>
      <c r="R18" s="2098"/>
      <c r="S18" s="2098"/>
      <c r="T18" s="1831"/>
      <c r="U18" s="2098"/>
      <c r="V18" s="2149"/>
      <c r="W18" s="1832"/>
      <c r="X18" s="2103"/>
      <c r="Y18" s="2103"/>
      <c r="Z18" s="1829"/>
      <c r="AA18" s="2098"/>
      <c r="AB18" s="2149"/>
      <c r="AC18" s="1833"/>
      <c r="AD18" s="2103"/>
      <c r="AE18" s="2103"/>
      <c r="AF18" s="1834"/>
      <c r="AG18" s="1834"/>
      <c r="AH18" s="2146"/>
      <c r="AI18" s="2147"/>
      <c r="AJ18" s="1813"/>
    </row>
    <row customHeight="1" ht="14.25">
      <c r="D19" s="2156"/>
      <c r="E19" s="2157"/>
      <c r="F19" s="2150"/>
      <c r="G19" s="2160"/>
      <c r="H19" s="1839"/>
      <c r="I19" s="2153"/>
      <c r="J19" s="2119"/>
      <c r="K19" s="1822"/>
      <c r="L19" s="2103"/>
      <c r="M19" s="2103"/>
      <c r="N19" s="1829"/>
      <c r="O19" s="2098"/>
      <c r="P19" s="2155"/>
      <c r="Q19" s="1830"/>
      <c r="R19" s="2098"/>
      <c r="S19" s="2098"/>
      <c r="T19" s="1831"/>
      <c r="U19" s="2098"/>
      <c r="V19" s="2149"/>
      <c r="W19" s="1832"/>
      <c r="X19" s="2103"/>
      <c r="Y19" s="2103"/>
      <c r="Z19" s="1737"/>
      <c r="AA19" s="1834"/>
      <c r="AB19" s="2146"/>
      <c r="AC19" s="2146"/>
      <c r="AD19" s="2146"/>
      <c r="AE19" s="2146"/>
      <c r="AF19" s="2146"/>
      <c r="AG19" s="2146"/>
      <c r="AH19" s="2146"/>
      <c r="AI19" s="2147"/>
      <c r="AJ19" s="1813"/>
    </row>
    <row customHeight="1" ht="14.25">
      <c r="D20" s="2156"/>
      <c r="E20" s="2157"/>
      <c r="F20" s="2150"/>
      <c r="G20" s="2160"/>
      <c r="H20" s="1839"/>
      <c r="I20" s="2153"/>
      <c r="J20" s="2119"/>
      <c r="K20" s="1822"/>
      <c r="L20" s="2103"/>
      <c r="M20" s="2103"/>
      <c r="N20" s="1829"/>
      <c r="O20" s="2098"/>
      <c r="P20" s="2155"/>
      <c r="Q20" s="1830"/>
      <c r="R20" s="2098"/>
      <c r="S20" s="2098"/>
      <c r="T20" s="1835"/>
      <c r="U20" s="1836"/>
      <c r="V20" s="2146"/>
      <c r="W20" s="2146"/>
      <c r="X20" s="2146"/>
      <c r="Y20" s="2146"/>
      <c r="Z20" s="2146"/>
      <c r="AA20" s="2146"/>
      <c r="AB20" s="2146"/>
      <c r="AC20" s="2146"/>
      <c r="AD20" s="2146"/>
      <c r="AE20" s="2146"/>
      <c r="AF20" s="2146"/>
      <c r="AG20" s="2146"/>
      <c r="AH20" s="2146"/>
      <c r="AI20" s="2147"/>
      <c r="AJ20" s="1813"/>
    </row>
    <row customHeight="1" ht="11.25">
      <c r="D21" s="2156"/>
      <c r="E21" s="2157"/>
      <c r="F21" s="2150"/>
      <c r="G21" s="2160"/>
      <c r="H21" s="1840"/>
      <c r="I21" s="2153"/>
      <c r="J21" s="2119"/>
      <c r="K21" s="1822"/>
      <c r="L21" s="2103"/>
      <c r="M21" s="2103"/>
      <c r="N21" s="1834"/>
      <c r="O21" s="1834"/>
      <c r="P21" s="2146"/>
      <c r="Q21" s="2146"/>
      <c r="R21" s="2146"/>
      <c r="S21" s="2146"/>
      <c r="T21" s="2146"/>
      <c r="U21" s="2146"/>
      <c r="V21" s="2146"/>
      <c r="W21" s="2146"/>
      <c r="X21" s="2146"/>
      <c r="Y21" s="2146"/>
      <c r="Z21" s="2146"/>
      <c r="AA21" s="2146"/>
      <c r="AB21" s="2146"/>
      <c r="AC21" s="2146"/>
      <c r="AD21" s="2146"/>
      <c r="AE21" s="2146"/>
      <c r="AF21" s="2146"/>
      <c r="AG21" s="2146"/>
      <c r="AH21" s="2146"/>
      <c r="AI21" s="2147"/>
      <c r="AJ21" s="1813"/>
    </row>
    <row s="5583" customFormat="1" customHeight="1" ht="11.25">
      <c r="D22" s="2163"/>
      <c r="E22" s="2164"/>
      <c r="F22" s="2151"/>
      <c r="G22" s="2074"/>
      <c r="H22" s="1837"/>
      <c r="I22" s="1841"/>
      <c r="J22" s="2161"/>
      <c r="K22" s="2161"/>
      <c r="L22" s="2161"/>
      <c r="M22" s="2161"/>
      <c r="N22" s="2161"/>
      <c r="O22" s="2161"/>
      <c r="P22" s="2161"/>
      <c r="Q22" s="2161"/>
      <c r="R22" s="2161"/>
      <c r="S22" s="2161"/>
      <c r="T22" s="2161"/>
      <c r="U22" s="2161"/>
      <c r="V22" s="2161"/>
      <c r="W22" s="2161"/>
      <c r="X22" s="2161"/>
      <c r="Y22" s="2161"/>
      <c r="Z22" s="2161"/>
      <c r="AA22" s="2161"/>
      <c r="AB22" s="2161"/>
      <c r="AC22" s="2161"/>
      <c r="AD22" s="2161"/>
      <c r="AE22" s="2161"/>
      <c r="AF22" s="2161"/>
      <c r="AG22" s="2161"/>
      <c r="AH22" s="2161"/>
      <c r="AI22" s="2162"/>
      <c r="AJ22" s="1813"/>
      <c r="AK22" s="444"/>
      <c r="AL22" s="1813"/>
      <c r="AM22" s="1813"/>
      <c r="AN22" s="1813"/>
      <c r="AO22" s="1813"/>
      <c r="AP22" s="1813"/>
      <c r="AQ22" s="1813"/>
      <c r="AR22" s="1813"/>
      <c r="AS22" s="1813"/>
      <c r="AT22" s="1813"/>
      <c r="AU22" s="1813"/>
      <c r="AV22" s="1813"/>
      <c r="AW22" s="1813"/>
      <c r="AX22" s="1813"/>
      <c r="AY22" s="1813"/>
      <c r="AZ22" s="1813"/>
      <c r="BA22" s="1813"/>
      <c r="BB22" s="1813"/>
      <c r="BC22" s="1813"/>
      <c r="BD22" s="1813"/>
      <c r="BE22" s="1813"/>
      <c r="BF22" s="1813"/>
      <c r="BG22" s="1813"/>
      <c r="BH22" s="1813"/>
      <c r="BI22" s="1813"/>
      <c r="BJ22" s="1813"/>
      <c r="BK22" s="1813"/>
      <c r="BL22" s="1813"/>
    </row>
    <row customHeight="1" ht="14.25">
      <c r="D23" s="2156" t="s">
        <v>89</v>
      </c>
      <c r="E23" s="2157" t="s">
        <v>293</v>
      </c>
      <c r="F23" s="2150" t="s">
        <v>296</v>
      </c>
      <c r="G23" s="2159" t="s">
        <v>56</v>
      </c>
      <c r="H23" s="1838"/>
      <c r="I23" s="2152"/>
      <c r="J23" s="2118"/>
      <c r="K23" s="1739"/>
      <c r="L23" s="2102"/>
      <c r="M23" s="2102"/>
      <c r="N23" s="1823"/>
      <c r="O23" s="2097"/>
      <c r="P23" s="2154"/>
      <c r="Q23" s="1824"/>
      <c r="R23" s="2097"/>
      <c r="S23" s="2097"/>
      <c r="T23" s="1825"/>
      <c r="U23" s="2097"/>
      <c r="V23" s="2148"/>
      <c r="W23" s="1826"/>
      <c r="X23" s="2102"/>
      <c r="Y23" s="2102"/>
      <c r="Z23" s="1823"/>
      <c r="AA23" s="2097"/>
      <c r="AB23" s="2148"/>
      <c r="AC23" s="1827"/>
      <c r="AD23" s="2102"/>
      <c r="AE23" s="2102"/>
      <c r="AF23" s="1738"/>
      <c r="AG23" s="1738"/>
      <c r="AH23" s="1828"/>
      <c r="AI23" s="1516"/>
      <c r="AJ23" s="1813"/>
      <c r="AK23" s="444" t="s">
        <v>97</v>
      </c>
    </row>
    <row customHeight="1" ht="14.25">
      <c r="D24" s="2156"/>
      <c r="E24" s="2157"/>
      <c r="F24" s="2150"/>
      <c r="G24" s="2160"/>
      <c r="H24" s="1839"/>
      <c r="I24" s="2153"/>
      <c r="J24" s="2119"/>
      <c r="K24" s="1850"/>
      <c r="L24" s="2103"/>
      <c r="M24" s="2103"/>
      <c r="N24" s="1829"/>
      <c r="O24" s="2098"/>
      <c r="P24" s="2155"/>
      <c r="Q24" s="1830"/>
      <c r="R24" s="2098"/>
      <c r="S24" s="2098"/>
      <c r="T24" s="1831"/>
      <c r="U24" s="2098"/>
      <c r="V24" s="2149"/>
      <c r="W24" s="1832"/>
      <c r="X24" s="2103"/>
      <c r="Y24" s="2103"/>
      <c r="Z24" s="1829"/>
      <c r="AA24" s="2098"/>
      <c r="AB24" s="2149"/>
      <c r="AC24" s="1833"/>
      <c r="AD24" s="2103"/>
      <c r="AE24" s="2103"/>
      <c r="AF24" s="1834"/>
      <c r="AG24" s="1834"/>
      <c r="AH24" s="2146"/>
      <c r="AI24" s="2147"/>
      <c r="AJ24" s="1813"/>
    </row>
    <row customHeight="1" ht="14.25">
      <c r="D25" s="2156"/>
      <c r="E25" s="2157"/>
      <c r="F25" s="2150"/>
      <c r="G25" s="2160"/>
      <c r="H25" s="1839"/>
      <c r="I25" s="2153"/>
      <c r="J25" s="2119"/>
      <c r="K25" s="1850"/>
      <c r="L25" s="2103"/>
      <c r="M25" s="2103"/>
      <c r="N25" s="1829"/>
      <c r="O25" s="2098"/>
      <c r="P25" s="2155"/>
      <c r="Q25" s="1830"/>
      <c r="R25" s="2098"/>
      <c r="S25" s="2098"/>
      <c r="T25" s="1831"/>
      <c r="U25" s="2098"/>
      <c r="V25" s="2149"/>
      <c r="W25" s="1832"/>
      <c r="X25" s="2103"/>
      <c r="Y25" s="2103"/>
      <c r="Z25" s="1737"/>
      <c r="AA25" s="1834"/>
      <c r="AB25" s="2146"/>
      <c r="AC25" s="2146"/>
      <c r="AD25" s="2146"/>
      <c r="AE25" s="2146"/>
      <c r="AF25" s="2146"/>
      <c r="AG25" s="2146"/>
      <c r="AH25" s="2146"/>
      <c r="AI25" s="2147"/>
      <c r="AJ25" s="1813"/>
    </row>
    <row customHeight="1" ht="14.25">
      <c r="D26" s="2156"/>
      <c r="E26" s="2157"/>
      <c r="F26" s="2150"/>
      <c r="G26" s="2160"/>
      <c r="H26" s="1839"/>
      <c r="I26" s="2153"/>
      <c r="J26" s="2119"/>
      <c r="K26" s="1850"/>
      <c r="L26" s="2103"/>
      <c r="M26" s="2103"/>
      <c r="N26" s="1829"/>
      <c r="O26" s="2098"/>
      <c r="P26" s="2155"/>
      <c r="Q26" s="1830"/>
      <c r="R26" s="2098"/>
      <c r="S26" s="2098"/>
      <c r="T26" s="1835"/>
      <c r="U26" s="1836"/>
      <c r="V26" s="2146"/>
      <c r="W26" s="2146"/>
      <c r="X26" s="2146"/>
      <c r="Y26" s="2146"/>
      <c r="Z26" s="2146"/>
      <c r="AA26" s="2146"/>
      <c r="AB26" s="2146"/>
      <c r="AC26" s="2146"/>
      <c r="AD26" s="2146"/>
      <c r="AE26" s="2146"/>
      <c r="AF26" s="2146"/>
      <c r="AG26" s="2146"/>
      <c r="AH26" s="2146"/>
      <c r="AI26" s="2147"/>
      <c r="AJ26" s="1813"/>
    </row>
    <row customHeight="1" ht="11.25">
      <c r="D27" s="2156"/>
      <c r="E27" s="2157"/>
      <c r="F27" s="2150"/>
      <c r="G27" s="2160"/>
      <c r="H27" s="1840"/>
      <c r="I27" s="2153"/>
      <c r="J27" s="2119"/>
      <c r="K27" s="1850"/>
      <c r="L27" s="2103"/>
      <c r="M27" s="2103"/>
      <c r="N27" s="1834"/>
      <c r="O27" s="1834"/>
      <c r="P27" s="2146"/>
      <c r="Q27" s="2146"/>
      <c r="R27" s="2146"/>
      <c r="S27" s="2146"/>
      <c r="T27" s="2146"/>
      <c r="U27" s="2146"/>
      <c r="V27" s="2146"/>
      <c r="W27" s="2146"/>
      <c r="X27" s="2146"/>
      <c r="Y27" s="2146"/>
      <c r="Z27" s="2146"/>
      <c r="AA27" s="2146"/>
      <c r="AB27" s="2146"/>
      <c r="AC27" s="2146"/>
      <c r="AD27" s="2146"/>
      <c r="AE27" s="2146"/>
      <c r="AF27" s="2146"/>
      <c r="AG27" s="2146"/>
      <c r="AH27" s="2146"/>
      <c r="AI27" s="2147"/>
      <c r="AJ27" s="1813"/>
    </row>
    <row s="5583" customFormat="1" customHeight="1" ht="11.25">
      <c r="D28" s="2163"/>
      <c r="E28" s="2164"/>
      <c r="F28" s="2151"/>
      <c r="G28" s="2074"/>
      <c r="H28" s="1837"/>
      <c r="I28" s="1841"/>
      <c r="J28" s="2161"/>
      <c r="K28" s="2161"/>
      <c r="L28" s="2161"/>
      <c r="M28" s="2161"/>
      <c r="N28" s="2161"/>
      <c r="O28" s="2161"/>
      <c r="P28" s="2161"/>
      <c r="Q28" s="2161"/>
      <c r="R28" s="2161"/>
      <c r="S28" s="2161"/>
      <c r="T28" s="2161"/>
      <c r="U28" s="2161"/>
      <c r="V28" s="2161"/>
      <c r="W28" s="2161"/>
      <c r="X28" s="2161"/>
      <c r="Y28" s="2161"/>
      <c r="Z28" s="2161"/>
      <c r="AA28" s="2161"/>
      <c r="AB28" s="2161"/>
      <c r="AC28" s="2161"/>
      <c r="AD28" s="2161"/>
      <c r="AE28" s="2161"/>
      <c r="AF28" s="2161"/>
      <c r="AG28" s="2161"/>
      <c r="AH28" s="2161"/>
      <c r="AI28" s="2162"/>
      <c r="AJ28" s="1813"/>
      <c r="AK28" s="444"/>
      <c r="AL28" s="1813"/>
      <c r="AM28" s="1813"/>
      <c r="AN28" s="1813"/>
      <c r="AO28" s="1813"/>
      <c r="AP28" s="1813"/>
      <c r="AQ28" s="1813"/>
      <c r="AR28" s="1813"/>
      <c r="AS28" s="1813"/>
      <c r="AT28" s="1813"/>
      <c r="AU28" s="1813"/>
      <c r="AV28" s="1813"/>
      <c r="AW28" s="1813"/>
      <c r="AX28" s="1813"/>
      <c r="AY28" s="1813"/>
      <c r="AZ28" s="1813"/>
      <c r="BA28" s="1813"/>
      <c r="BB28" s="1813"/>
      <c r="BC28" s="1813"/>
      <c r="BD28" s="1813"/>
      <c r="BE28" s="1813"/>
      <c r="BF28" s="1813"/>
      <c r="BG28" s="1813"/>
      <c r="BH28" s="1813"/>
      <c r="BI28" s="1813"/>
      <c r="BJ28" s="1813"/>
      <c r="BK28" s="1813"/>
      <c r="BL28" s="1813"/>
    </row>
    <row customHeight="1" ht="14.25">
      <c r="D29" s="2156" t="s">
        <v>90</v>
      </c>
      <c r="E29" s="2157" t="s">
        <v>293</v>
      </c>
      <c r="F29" s="2150" t="s">
        <v>297</v>
      </c>
      <c r="G29" s="2159" t="s">
        <v>56</v>
      </c>
      <c r="H29" s="1838"/>
      <c r="I29" s="2152"/>
      <c r="J29" s="2118"/>
      <c r="K29" s="1739"/>
      <c r="L29" s="2102"/>
      <c r="M29" s="2102"/>
      <c r="N29" s="1823"/>
      <c r="O29" s="2097"/>
      <c r="P29" s="2154"/>
      <c r="Q29" s="1824"/>
      <c r="R29" s="2097"/>
      <c r="S29" s="2097"/>
      <c r="T29" s="1825"/>
      <c r="U29" s="2097"/>
      <c r="V29" s="2148"/>
      <c r="W29" s="1826"/>
      <c r="X29" s="2102"/>
      <c r="Y29" s="2102"/>
      <c r="Z29" s="1823"/>
      <c r="AA29" s="2097"/>
      <c r="AB29" s="2148"/>
      <c r="AC29" s="1827"/>
      <c r="AD29" s="2102"/>
      <c r="AE29" s="2102"/>
      <c r="AF29" s="1738"/>
      <c r="AG29" s="1738"/>
      <c r="AH29" s="1828"/>
      <c r="AI29" s="1516"/>
      <c r="AJ29" s="1813"/>
    </row>
    <row customHeight="1" ht="14.25">
      <c r="D30" s="2156"/>
      <c r="E30" s="2157"/>
      <c r="F30" s="2150"/>
      <c r="G30" s="2160"/>
      <c r="H30" s="1839"/>
      <c r="I30" s="2153"/>
      <c r="J30" s="2119"/>
      <c r="K30" s="1822"/>
      <c r="L30" s="2103"/>
      <c r="M30" s="2103"/>
      <c r="N30" s="1829"/>
      <c r="O30" s="2098"/>
      <c r="P30" s="2155"/>
      <c r="Q30" s="1830"/>
      <c r="R30" s="2098"/>
      <c r="S30" s="2098"/>
      <c r="T30" s="1831"/>
      <c r="U30" s="2098"/>
      <c r="V30" s="2149"/>
      <c r="W30" s="1832"/>
      <c r="X30" s="2103"/>
      <c r="Y30" s="2103"/>
      <c r="Z30" s="1829"/>
      <c r="AA30" s="2098"/>
      <c r="AB30" s="2149"/>
      <c r="AC30" s="1833"/>
      <c r="AD30" s="2103"/>
      <c r="AE30" s="2103"/>
      <c r="AF30" s="1834"/>
      <c r="AG30" s="1834"/>
      <c r="AH30" s="2146"/>
      <c r="AI30" s="2147"/>
      <c r="AJ30" s="1813"/>
    </row>
    <row customHeight="1" ht="14.25">
      <c r="D31" s="2156"/>
      <c r="E31" s="2157"/>
      <c r="F31" s="2150"/>
      <c r="G31" s="2160"/>
      <c r="H31" s="1839"/>
      <c r="I31" s="2153"/>
      <c r="J31" s="2119"/>
      <c r="K31" s="1822"/>
      <c r="L31" s="2103"/>
      <c r="M31" s="2103"/>
      <c r="N31" s="1829"/>
      <c r="O31" s="2098"/>
      <c r="P31" s="2155"/>
      <c r="Q31" s="1830"/>
      <c r="R31" s="2098"/>
      <c r="S31" s="2098"/>
      <c r="T31" s="1831"/>
      <c r="U31" s="2098"/>
      <c r="V31" s="2149"/>
      <c r="W31" s="1832"/>
      <c r="X31" s="2103"/>
      <c r="Y31" s="2103"/>
      <c r="Z31" s="1737"/>
      <c r="AA31" s="1834"/>
      <c r="AB31" s="2146"/>
      <c r="AC31" s="2146"/>
      <c r="AD31" s="2146"/>
      <c r="AE31" s="2146"/>
      <c r="AF31" s="2146"/>
      <c r="AG31" s="2146"/>
      <c r="AH31" s="2146"/>
      <c r="AI31" s="2147"/>
      <c r="AJ31" s="1813"/>
    </row>
    <row customHeight="1" ht="14.25">
      <c r="D32" s="2156"/>
      <c r="E32" s="2157"/>
      <c r="F32" s="2150"/>
      <c r="G32" s="2160"/>
      <c r="H32" s="1839"/>
      <c r="I32" s="2153"/>
      <c r="J32" s="2119"/>
      <c r="K32" s="1822"/>
      <c r="L32" s="2103"/>
      <c r="M32" s="2103"/>
      <c r="N32" s="1829"/>
      <c r="O32" s="2098"/>
      <c r="P32" s="2155"/>
      <c r="Q32" s="1830"/>
      <c r="R32" s="2098"/>
      <c r="S32" s="2098"/>
      <c r="T32" s="1835"/>
      <c r="U32" s="1836"/>
      <c r="V32" s="2146"/>
      <c r="W32" s="2146"/>
      <c r="X32" s="2146"/>
      <c r="Y32" s="2146"/>
      <c r="Z32" s="2146"/>
      <c r="AA32" s="2146"/>
      <c r="AB32" s="2146"/>
      <c r="AC32" s="2146"/>
      <c r="AD32" s="2146"/>
      <c r="AE32" s="2146"/>
      <c r="AF32" s="2146"/>
      <c r="AG32" s="2146"/>
      <c r="AH32" s="2146"/>
      <c r="AI32" s="2147"/>
      <c r="AJ32" s="1813"/>
    </row>
    <row customHeight="1" ht="11.25">
      <c r="D33" s="2156"/>
      <c r="E33" s="2157"/>
      <c r="F33" s="2150"/>
      <c r="G33" s="2160"/>
      <c r="H33" s="1840"/>
      <c r="I33" s="2153"/>
      <c r="J33" s="2119"/>
      <c r="K33" s="1822"/>
      <c r="L33" s="2103"/>
      <c r="M33" s="2103"/>
      <c r="N33" s="1834"/>
      <c r="O33" s="1834"/>
      <c r="P33" s="2146"/>
      <c r="Q33" s="2146"/>
      <c r="R33" s="2146"/>
      <c r="S33" s="2146"/>
      <c r="T33" s="2146"/>
      <c r="U33" s="2146"/>
      <c r="V33" s="2146"/>
      <c r="W33" s="2146"/>
      <c r="X33" s="2146"/>
      <c r="Y33" s="2146"/>
      <c r="Z33" s="2146"/>
      <c r="AA33" s="2146"/>
      <c r="AB33" s="2146"/>
      <c r="AC33" s="2146"/>
      <c r="AD33" s="2146"/>
      <c r="AE33" s="2146"/>
      <c r="AF33" s="2146"/>
      <c r="AG33" s="2146"/>
      <c r="AH33" s="2146"/>
      <c r="AI33" s="2147"/>
      <c r="AJ33" s="1813"/>
    </row>
    <row s="5583" customFormat="1" customHeight="1" ht="11.25">
      <c r="D34" s="2163"/>
      <c r="E34" s="2164"/>
      <c r="F34" s="2151"/>
      <c r="G34" s="2074"/>
      <c r="H34" s="1837"/>
      <c r="I34" s="1841"/>
      <c r="J34" s="2161"/>
      <c r="K34" s="2161"/>
      <c r="L34" s="2161"/>
      <c r="M34" s="2161"/>
      <c r="N34" s="2161"/>
      <c r="O34" s="2161"/>
      <c r="P34" s="2161"/>
      <c r="Q34" s="2161"/>
      <c r="R34" s="2161"/>
      <c r="S34" s="2161"/>
      <c r="T34" s="2161"/>
      <c r="U34" s="2161"/>
      <c r="V34" s="2161"/>
      <c r="W34" s="2161"/>
      <c r="X34" s="2161"/>
      <c r="Y34" s="2161"/>
      <c r="Z34" s="2161"/>
      <c r="AA34" s="2161"/>
      <c r="AB34" s="2161"/>
      <c r="AC34" s="2161"/>
      <c r="AD34" s="2161"/>
      <c r="AE34" s="2161"/>
      <c r="AF34" s="2161"/>
      <c r="AG34" s="2161"/>
      <c r="AH34" s="2161"/>
      <c r="AI34" s="2162"/>
      <c r="AJ34" s="1813"/>
      <c r="AK34" s="444"/>
      <c r="AL34" s="1813"/>
      <c r="AM34" s="1813"/>
      <c r="AN34" s="1813"/>
      <c r="AO34" s="1813"/>
      <c r="AP34" s="1813"/>
      <c r="AQ34" s="1813"/>
      <c r="AR34" s="1813"/>
      <c r="AS34" s="1813"/>
      <c r="AT34" s="1813"/>
      <c r="AU34" s="1813"/>
      <c r="AV34" s="1813"/>
      <c r="AW34" s="1813"/>
      <c r="AX34" s="1813"/>
      <c r="AY34" s="1813"/>
      <c r="AZ34" s="1813"/>
      <c r="BA34" s="1813"/>
      <c r="BB34" s="1813"/>
      <c r="BC34" s="1813"/>
      <c r="BD34" s="1813"/>
      <c r="BE34" s="1813"/>
      <c r="BF34" s="1813"/>
      <c r="BG34" s="1813"/>
      <c r="BH34" s="1813"/>
      <c r="BI34" s="1813"/>
      <c r="BJ34" s="1813"/>
      <c r="BK34" s="1813"/>
      <c r="BL34" s="1813"/>
    </row>
    <row customHeight="1" ht="14.25">
      <c r="D35" s="2156" t="s">
        <v>119</v>
      </c>
      <c r="E35" s="2157" t="s">
        <v>293</v>
      </c>
      <c r="F35" s="2150" t="s">
        <v>298</v>
      </c>
      <c r="G35" s="2159" t="s">
        <v>56</v>
      </c>
      <c r="H35" s="1838"/>
      <c r="I35" s="2152"/>
      <c r="J35" s="2118"/>
      <c r="K35" s="1739"/>
      <c r="L35" s="2102"/>
      <c r="M35" s="2102"/>
      <c r="N35" s="1823"/>
      <c r="O35" s="2097"/>
      <c r="P35" s="2154"/>
      <c r="Q35" s="1824"/>
      <c r="R35" s="2097"/>
      <c r="S35" s="2097"/>
      <c r="T35" s="1825"/>
      <c r="U35" s="2097"/>
      <c r="V35" s="2148"/>
      <c r="W35" s="1826"/>
      <c r="X35" s="2102"/>
      <c r="Y35" s="2102"/>
      <c r="Z35" s="1823"/>
      <c r="AA35" s="2097"/>
      <c r="AB35" s="2148"/>
      <c r="AC35" s="1827"/>
      <c r="AD35" s="2102"/>
      <c r="AE35" s="2102"/>
      <c r="AF35" s="1738"/>
      <c r="AG35" s="1738"/>
      <c r="AH35" s="1828"/>
      <c r="AI35" s="1516"/>
      <c r="AJ35" s="1813"/>
    </row>
    <row customHeight="1" ht="14.25">
      <c r="D36" s="2156"/>
      <c r="E36" s="2157"/>
      <c r="F36" s="2150"/>
      <c r="G36" s="2160"/>
      <c r="H36" s="1839"/>
      <c r="I36" s="2153"/>
      <c r="J36" s="2119"/>
      <c r="K36" s="1822"/>
      <c r="L36" s="2103"/>
      <c r="M36" s="2103"/>
      <c r="N36" s="1829"/>
      <c r="O36" s="2098"/>
      <c r="P36" s="2155"/>
      <c r="Q36" s="1830"/>
      <c r="R36" s="2098"/>
      <c r="S36" s="2098"/>
      <c r="T36" s="1831"/>
      <c r="U36" s="2098"/>
      <c r="V36" s="2149"/>
      <c r="W36" s="1832"/>
      <c r="X36" s="2103"/>
      <c r="Y36" s="2103"/>
      <c r="Z36" s="1829"/>
      <c r="AA36" s="2098"/>
      <c r="AB36" s="2149"/>
      <c r="AC36" s="1833"/>
      <c r="AD36" s="2103"/>
      <c r="AE36" s="2103"/>
      <c r="AF36" s="1834"/>
      <c r="AG36" s="1834"/>
      <c r="AH36" s="2146"/>
      <c r="AI36" s="2147"/>
      <c r="AJ36" s="1813"/>
    </row>
    <row customHeight="1" ht="14.25">
      <c r="D37" s="2156"/>
      <c r="E37" s="2157"/>
      <c r="F37" s="2150"/>
      <c r="G37" s="2160"/>
      <c r="H37" s="1839"/>
      <c r="I37" s="2153"/>
      <c r="J37" s="2119"/>
      <c r="K37" s="1822"/>
      <c r="L37" s="2103"/>
      <c r="M37" s="2103"/>
      <c r="N37" s="1829"/>
      <c r="O37" s="2098"/>
      <c r="P37" s="2155"/>
      <c r="Q37" s="1830"/>
      <c r="R37" s="2098"/>
      <c r="S37" s="2098"/>
      <c r="T37" s="1831"/>
      <c r="U37" s="2098"/>
      <c r="V37" s="2149"/>
      <c r="W37" s="1832"/>
      <c r="X37" s="2103"/>
      <c r="Y37" s="2103"/>
      <c r="Z37" s="1737"/>
      <c r="AA37" s="1834"/>
      <c r="AB37" s="2146"/>
      <c r="AC37" s="2146"/>
      <c r="AD37" s="2146"/>
      <c r="AE37" s="2146"/>
      <c r="AF37" s="2146"/>
      <c r="AG37" s="2146"/>
      <c r="AH37" s="2146"/>
      <c r="AI37" s="2147"/>
      <c r="AJ37" s="1813"/>
    </row>
    <row customHeight="1" ht="14.25">
      <c r="D38" s="2156"/>
      <c r="E38" s="2157"/>
      <c r="F38" s="2150"/>
      <c r="G38" s="2160"/>
      <c r="H38" s="1839"/>
      <c r="I38" s="2153"/>
      <c r="J38" s="2119"/>
      <c r="K38" s="1822"/>
      <c r="L38" s="2103"/>
      <c r="M38" s="2103"/>
      <c r="N38" s="1829"/>
      <c r="O38" s="2098"/>
      <c r="P38" s="2155"/>
      <c r="Q38" s="1830"/>
      <c r="R38" s="2098"/>
      <c r="S38" s="2098"/>
      <c r="T38" s="1835"/>
      <c r="U38" s="1836"/>
      <c r="V38" s="2146"/>
      <c r="W38" s="2146"/>
      <c r="X38" s="2146"/>
      <c r="Y38" s="2146"/>
      <c r="Z38" s="2146"/>
      <c r="AA38" s="2146"/>
      <c r="AB38" s="2146"/>
      <c r="AC38" s="2146"/>
      <c r="AD38" s="2146"/>
      <c r="AE38" s="2146"/>
      <c r="AF38" s="2146"/>
      <c r="AG38" s="2146"/>
      <c r="AH38" s="2146"/>
      <c r="AI38" s="2147"/>
      <c r="AJ38" s="1813"/>
    </row>
    <row customHeight="1" ht="11.25">
      <c r="D39" s="2156"/>
      <c r="E39" s="2157"/>
      <c r="F39" s="2150"/>
      <c r="G39" s="2160"/>
      <c r="H39" s="1840"/>
      <c r="I39" s="2153"/>
      <c r="J39" s="2119"/>
      <c r="K39" s="1822"/>
      <c r="L39" s="2103"/>
      <c r="M39" s="2103"/>
      <c r="N39" s="1834"/>
      <c r="O39" s="1834"/>
      <c r="P39" s="2146"/>
      <c r="Q39" s="2146"/>
      <c r="R39" s="2146"/>
      <c r="S39" s="2146"/>
      <c r="T39" s="2146"/>
      <c r="U39" s="2146"/>
      <c r="V39" s="2146"/>
      <c r="W39" s="2146"/>
      <c r="X39" s="2146"/>
      <c r="Y39" s="2146"/>
      <c r="Z39" s="2146"/>
      <c r="AA39" s="2146"/>
      <c r="AB39" s="2146"/>
      <c r="AC39" s="2146"/>
      <c r="AD39" s="2146"/>
      <c r="AE39" s="2146"/>
      <c r="AF39" s="2146"/>
      <c r="AG39" s="2146"/>
      <c r="AH39" s="2146"/>
      <c r="AI39" s="2147"/>
      <c r="AJ39" s="1813"/>
    </row>
    <row s="5583" customFormat="1" customHeight="1" ht="11.25">
      <c r="D40" s="2156"/>
      <c r="E40" s="2157"/>
      <c r="F40" s="2158"/>
      <c r="G40" s="2074"/>
      <c r="H40" s="1837"/>
      <c r="I40" s="1841"/>
      <c r="J40" s="2161"/>
      <c r="K40" s="2161"/>
      <c r="L40" s="2161"/>
      <c r="M40" s="2161"/>
      <c r="N40" s="2161"/>
      <c r="O40" s="2161"/>
      <c r="P40" s="2161"/>
      <c r="Q40" s="2161"/>
      <c r="R40" s="2161"/>
      <c r="S40" s="2161"/>
      <c r="T40" s="2161"/>
      <c r="U40" s="2161"/>
      <c r="V40" s="2161"/>
      <c r="W40" s="2161"/>
      <c r="X40" s="2161"/>
      <c r="Y40" s="2161"/>
      <c r="Z40" s="2161"/>
      <c r="AA40" s="2161"/>
      <c r="AB40" s="2161"/>
      <c r="AC40" s="2161"/>
      <c r="AD40" s="2161"/>
      <c r="AE40" s="2161"/>
      <c r="AF40" s="2161"/>
      <c r="AG40" s="2161"/>
      <c r="AH40" s="2161"/>
      <c r="AI40" s="2162"/>
      <c r="AJ40" s="1813"/>
      <c r="AK40" s="444"/>
      <c r="AL40" s="1813"/>
      <c r="AM40" s="1813"/>
      <c r="AN40" s="1813"/>
      <c r="AO40" s="1813"/>
      <c r="AP40" s="1813"/>
      <c r="AQ40" s="1813"/>
      <c r="AR40" s="1813"/>
      <c r="AS40" s="1813"/>
      <c r="AT40" s="1813"/>
      <c r="AU40" s="1813"/>
      <c r="AV40" s="1813"/>
      <c r="AW40" s="1813"/>
      <c r="AX40" s="1813"/>
      <c r="AY40" s="1813"/>
      <c r="AZ40" s="1813"/>
      <c r="BA40" s="1813"/>
      <c r="BB40" s="1813"/>
      <c r="BC40" s="1813"/>
      <c r="BD40" s="1813"/>
      <c r="BE40" s="1813"/>
      <c r="BF40" s="1813"/>
      <c r="BG40" s="1813"/>
      <c r="BH40" s="1813"/>
      <c r="BI40" s="1813"/>
      <c r="BJ40" s="1813"/>
      <c r="BK40" s="1813"/>
      <c r="BL40" s="1813"/>
    </row>
    <row customHeight="1" ht="11.25">
      <c r="AK41" s="586"/>
    </row>
    <row customHeight="1" ht="11.25">
      <c r="AK42" s="586"/>
    </row>
    <row customHeight="1" ht="11.25">
      <c r="AK43" s="586"/>
    </row>
    <row customHeight="1" ht="11.25">
      <c r="AK44" s="586"/>
    </row>
    <row customHeight="1" ht="11.25">
      <c r="AK45" s="586"/>
    </row>
    <row customHeight="1" ht="11.25">
      <c r="AK46" s="586"/>
    </row>
    <row customHeight="1" ht="11.25">
      <c r="AK47" s="586"/>
    </row>
    <row customHeight="1" ht="11.25">
      <c r="AK48" s="586"/>
    </row>
    <row customHeight="1" ht="11.25">
      <c r="AK49" s="586"/>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7389E9A-AA43-60F4-DDFF-6615B4F3F5FA}"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5748" width="15.00390625" hidden="1" customWidth="1"/>
    <col min="2" max="2" style="5702" width="15.00390625" hidden="1" customWidth="1"/>
    <col min="3" max="3" style="5749" width="3.7109375" customWidth="1"/>
    <col min="4" max="4" style="5750" width="6.8515625" customWidth="1"/>
    <col min="5" max="5" style="5749" width="52.28125" customWidth="1"/>
    <col min="6" max="6" style="5749" width="48.8515625" customWidth="1"/>
    <col min="7" max="7" style="5749" width="121.7109375" customWidth="1"/>
    <col min="8" max="8" style="5749" width="9.140625"/>
    <col min="9" max="9" style="5749" width="65.00390625" customWidth="1"/>
  </cols>
  <sheetData>
    <row customHeight="1" ht="11.25" hidden="1">
      <c r="A1" s="1926" t="s">
        <v>299</v>
      </c>
    </row>
    <row customHeight="1" ht="11.25" hidden="1"/>
    <row s="5664" customFormat="1" customHeight="1" ht="11.25">
      <c r="A3" s="1926"/>
      <c r="B3" s="665"/>
      <c r="D3" s="642"/>
    </row>
    <row customHeight="1" ht="36.75">
      <c r="D4" s="2177" t="str">
        <f>ORG_INFO_NAME_FORM</f>
        <v>Форма 1. Информация о регулируемой организации, осуществляющей водоотведение
(далее – регулируемая организация) (общая информация)</v>
      </c>
      <c r="E4" s="2178"/>
      <c r="F4" s="2179"/>
      <c r="I4" s="879"/>
    </row>
    <row customHeight="1" ht="17.25">
      <c r="D5" s="2190"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190"/>
      <c r="F5" s="2190"/>
      <c r="I5" s="879"/>
    </row>
    <row s="5664" customFormat="1" customHeight="1" ht="11.25">
      <c r="A6" s="1926"/>
      <c r="B6" s="665"/>
      <c r="D6" s="878"/>
      <c r="E6" s="878"/>
      <c r="F6" s="918"/>
      <c r="G6" s="878"/>
    </row>
    <row customHeight="1" ht="11.25" hidden="1">
      <c r="A7" s="621"/>
      <c r="B7" s="666"/>
      <c r="C7" s="621"/>
      <c r="D7" s="627"/>
      <c r="E7" s="2186"/>
      <c r="F7" s="2186"/>
    </row>
    <row customHeight="1" ht="11.25">
      <c r="A8" s="621"/>
      <c r="B8" s="666"/>
      <c r="C8" s="621"/>
      <c r="D8" s="2182" t="s">
        <v>300</v>
      </c>
      <c r="E8" s="2183"/>
      <c r="F8" s="2183"/>
      <c r="G8" s="2187" t="s">
        <v>301</v>
      </c>
    </row>
    <row customHeight="1" ht="11.25">
      <c r="A9" s="621"/>
      <c r="B9" s="666"/>
      <c r="C9" s="621"/>
      <c r="D9" s="636" t="s">
        <v>87</v>
      </c>
      <c r="E9" s="610" t="s">
        <v>302</v>
      </c>
      <c r="F9" s="610" t="s">
        <v>303</v>
      </c>
      <c r="G9" s="2188"/>
    </row>
    <row customHeight="1" ht="12" hidden="1">
      <c r="A10" s="621"/>
      <c r="B10" s="666"/>
      <c r="C10" s="621"/>
      <c r="D10" s="628"/>
      <c r="E10" s="628"/>
      <c r="F10" s="628"/>
      <c r="G10" s="628"/>
    </row>
    <row customHeight="1" ht="22.5" hidden="1">
      <c r="A11" s="621"/>
      <c r="B11" s="666"/>
      <c r="C11" s="621"/>
      <c r="D11" s="1192" t="s">
        <v>118</v>
      </c>
      <c r="E11" s="1195" t="s">
        <v>304</v>
      </c>
      <c r="F11" s="1194" t="str">
        <f>IF(region_name="","",region_name)</f>
        <v>Краснодарский край</v>
      </c>
      <c r="G11" s="1195" t="s">
        <v>305</v>
      </c>
      <c r="H11" s="639"/>
    </row>
    <row customHeight="1" ht="22.5" hidden="1">
      <c r="A12" s="621"/>
      <c r="B12" s="666"/>
      <c r="C12" s="621"/>
      <c r="D12" s="609" t="s">
        <v>118</v>
      </c>
      <c r="E12" s="608"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607" t="s">
        <v>306</v>
      </c>
      <c r="G12" s="638"/>
      <c r="H12" s="639"/>
    </row>
    <row customHeight="1" ht="22.5">
      <c r="A13" s="621"/>
      <c r="B13" s="666"/>
      <c r="C13" s="621"/>
      <c r="D13" s="609" t="s">
        <v>118</v>
      </c>
      <c r="E13" s="606" t="str">
        <f>"Наименование юридического лица"&amp;IF(TEMPLATE_SPHERE="TKO"," (индивидуального предпринимателя)","")</f>
        <v>Наименование юридического лица</v>
      </c>
      <c r="F13" s="605"/>
      <c r="G13" s="608"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639"/>
    </row>
    <row customHeight="1" ht="22.5" hidden="1">
      <c r="A14" s="621"/>
      <c r="B14" s="666"/>
      <c r="C14" s="621"/>
      <c r="D14" s="1192" t="s">
        <v>307</v>
      </c>
      <c r="E14" s="1193" t="s">
        <v>308</v>
      </c>
      <c r="F14" s="1194" t="str">
        <f>IF(inn="","",inn)</f>
        <v>7708503727</v>
      </c>
      <c r="G14" s="1195" t="s">
        <v>309</v>
      </c>
      <c r="H14" s="639"/>
    </row>
    <row customHeight="1" ht="22.5" hidden="1">
      <c r="A15" s="621"/>
      <c r="B15" s="666"/>
      <c r="C15" s="621"/>
      <c r="D15" s="1192" t="s">
        <v>310</v>
      </c>
      <c r="E15" s="1193" t="s">
        <v>311</v>
      </c>
      <c r="F15" s="1194" t="str">
        <f>IF(kpp="","",kpp)</f>
        <v>616745019</v>
      </c>
      <c r="G15" s="1195" t="s">
        <v>312</v>
      </c>
      <c r="H15" s="639"/>
    </row>
    <row customHeight="1" ht="36.75">
      <c r="A16" s="621"/>
      <c r="B16" s="666"/>
      <c r="C16" s="621"/>
      <c r="D16" s="609" t="s">
        <v>102</v>
      </c>
      <c r="E16" s="606"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605"/>
      <c r="G16" s="608"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639"/>
    </row>
    <row customHeight="1" ht="22.5">
      <c r="A17" s="621"/>
      <c r="B17" s="666"/>
      <c r="C17" s="621"/>
      <c r="D17" s="609" t="s">
        <v>89</v>
      </c>
      <c r="E17" s="606" t="str">
        <f>"Дата присвоения ОГРН"&amp;IF(TEMPLATE_SPHERE="TKO",""," (ОГРНИП)")</f>
        <v>Дата присвоения ОГРН (ОГРНИП)</v>
      </c>
      <c r="F17" s="1974" t="s">
        <v>17</v>
      </c>
      <c r="G17" s="608" t="str">
        <f>"Дата присвоения ОГРН"&amp;IF(TEMPLATE_SPHERE="TKO",""," (ОГРНИП)")&amp;" указывается в виде «ДД.ММ.ГГГГ»."</f>
        <v>Дата присвоения ОГРН (ОГРНИП) указывается в виде «ДД.ММ.ГГГГ».</v>
      </c>
      <c r="H17" s="639"/>
    </row>
    <row customHeight="1" ht="56.25">
      <c r="A18" s="621"/>
      <c r="B18" s="666"/>
      <c r="C18" s="621"/>
      <c r="D18" s="609" t="s">
        <v>90</v>
      </c>
      <c r="E18" s="606"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605"/>
      <c r="G18" s="638"/>
      <c r="H18" s="639"/>
    </row>
    <row customHeight="1" ht="22.5" hidden="1">
      <c r="A19" s="2184">
        <v>1</v>
      </c>
      <c r="B19" s="666"/>
      <c r="C19" s="2189"/>
      <c r="D19" s="604">
        <v>5</v>
      </c>
      <c r="E19" s="606" t="s">
        <v>313</v>
      </c>
      <c r="F19" s="607" t="s">
        <v>306</v>
      </c>
      <c r="G19" s="608" t="s">
        <v>314</v>
      </c>
      <c r="H19" s="639"/>
      <c r="I19" s="1025"/>
    </row>
    <row customHeight="1" ht="33.75" hidden="1">
      <c r="A20" s="2184"/>
      <c r="B20" s="666"/>
      <c r="C20" s="2189"/>
      <c r="D20" s="609" t="s">
        <v>315</v>
      </c>
      <c r="E20" s="603" t="s">
        <v>316</v>
      </c>
      <c r="F20" s="1055" t="s">
        <v>17</v>
      </c>
      <c r="G20" s="638"/>
      <c r="H20" s="639"/>
      <c r="I20" s="1025"/>
    </row>
    <row customHeight="1" ht="22.5" hidden="1">
      <c r="A21" s="2184"/>
      <c r="B21" s="666"/>
      <c r="C21" s="2189"/>
      <c r="D21" s="609" t="s">
        <v>317</v>
      </c>
      <c r="E21" s="603" t="s">
        <v>318</v>
      </c>
      <c r="F21" s="1975" t="s">
        <v>17</v>
      </c>
      <c r="G21" s="608" t="s">
        <v>319</v>
      </c>
      <c r="H21" s="639"/>
      <c r="I21" s="1025"/>
    </row>
    <row customHeight="1" ht="22.5" hidden="1">
      <c r="A22" s="2184"/>
      <c r="B22" s="666"/>
      <c r="C22" s="2189"/>
      <c r="D22" s="609" t="s">
        <v>320</v>
      </c>
      <c r="E22" s="603" t="s">
        <v>321</v>
      </c>
      <c r="F22" s="1055" t="s">
        <v>17</v>
      </c>
      <c r="G22" s="638"/>
      <c r="H22" s="639"/>
      <c r="I22" s="1025"/>
    </row>
    <row customHeight="1" ht="22.5" hidden="1">
      <c r="A23" s="2184"/>
      <c r="B23" s="666"/>
      <c r="C23" s="2189"/>
      <c r="D23" s="609" t="s">
        <v>322</v>
      </c>
      <c r="E23" s="603" t="s">
        <v>323</v>
      </c>
      <c r="F23" s="1055" t="s">
        <v>17</v>
      </c>
      <c r="G23" s="608" t="s">
        <v>324</v>
      </c>
      <c r="H23" s="639"/>
      <c r="I23" s="1025"/>
    </row>
    <row s="5702" customFormat="1" customHeight="1" ht="24.75" hidden="1">
      <c r="A24" s="621"/>
      <c r="B24" s="666"/>
      <c r="C24" s="666"/>
      <c r="D24" s="1189" t="s">
        <v>89</v>
      </c>
      <c r="E24" s="1191" t="s">
        <v>325</v>
      </c>
      <c r="F24" s="1196" t="s">
        <v>306</v>
      </c>
      <c r="G24" s="1191"/>
    </row>
    <row s="5702" customFormat="1" customHeight="1" ht="11.25" hidden="1">
      <c r="A25" s="621"/>
      <c r="B25" s="666"/>
      <c r="C25" s="666"/>
      <c r="D25" s="1189" t="s">
        <v>326</v>
      </c>
      <c r="E25" s="1190" t="s">
        <v>327</v>
      </c>
      <c r="F25" s="1196" t="s">
        <v>306</v>
      </c>
      <c r="G25" s="1191"/>
    </row>
    <row s="5702" customFormat="1" customHeight="1" ht="11.25" hidden="1">
      <c r="A26" s="621"/>
      <c r="B26" s="666"/>
      <c r="C26" s="666"/>
      <c r="D26" s="1189" t="s">
        <v>328</v>
      </c>
      <c r="E26" s="1197" t="s">
        <v>329</v>
      </c>
      <c r="F26" s="1198"/>
      <c r="G26" s="119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row>
    <row s="5702" customFormat="1" customHeight="1" ht="11.25" hidden="1">
      <c r="A27" s="621"/>
      <c r="B27" s="666"/>
      <c r="C27" s="666"/>
      <c r="D27" s="1189" t="s">
        <v>330</v>
      </c>
      <c r="E27" s="1197" t="s">
        <v>331</v>
      </c>
      <c r="F27" s="1198"/>
      <c r="G27" s="119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row>
    <row s="5702" customFormat="1" customHeight="1" ht="11.25" hidden="1">
      <c r="A28" s="621"/>
      <c r="B28" s="666"/>
      <c r="C28" s="666"/>
      <c r="D28" s="1189" t="s">
        <v>332</v>
      </c>
      <c r="E28" s="1197" t="s">
        <v>333</v>
      </c>
      <c r="F28" s="1198"/>
      <c r="G28" s="119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row>
    <row s="5702" customFormat="1" customHeight="1" ht="11.25" hidden="1">
      <c r="A29" s="621"/>
      <c r="B29" s="666"/>
      <c r="C29" s="666"/>
      <c r="D29" s="1189" t="s">
        <v>334</v>
      </c>
      <c r="E29" s="1190" t="s">
        <v>335</v>
      </c>
      <c r="F29" s="1198"/>
      <c r="G29" s="1191"/>
    </row>
    <row s="5702" customFormat="1" customHeight="1" ht="11.25" hidden="1">
      <c r="A30" s="621"/>
      <c r="B30" s="666"/>
      <c r="C30" s="666"/>
      <c r="D30" s="1189" t="s">
        <v>336</v>
      </c>
      <c r="E30" s="1190" t="s">
        <v>337</v>
      </c>
      <c r="F30" s="1198"/>
      <c r="G30" s="1191"/>
    </row>
    <row s="5702" customFormat="1" customHeight="1" ht="11.25" hidden="1">
      <c r="A31" s="621"/>
      <c r="B31" s="666"/>
      <c r="C31" s="666"/>
      <c r="D31" s="1189" t="s">
        <v>338</v>
      </c>
      <c r="E31" s="1190" t="s">
        <v>339</v>
      </c>
      <c r="F31" s="3214"/>
      <c r="G31" s="1191"/>
    </row>
    <row customHeight="1" ht="22.5">
      <c r="A32" s="621" t="str">
        <f>IF(TEMPLATE_SPHERE="HEAT","6","5")</f>
        <v>5</v>
      </c>
      <c r="B32" s="666"/>
      <c r="C32" s="621"/>
      <c r="D32" s="604" t="str">
        <f>A32</f>
        <v>5</v>
      </c>
      <c r="E32" s="602"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607" t="s">
        <v>306</v>
      </c>
      <c r="G32" s="638"/>
      <c r="H32" s="639"/>
    </row>
    <row customHeight="1" ht="22.5">
      <c r="A33" s="621"/>
      <c r="B33" s="666"/>
      <c r="C33" s="621"/>
      <c r="D33" s="604" t="str">
        <f>D32&amp;".1"</f>
        <v>5.1</v>
      </c>
      <c r="E33" s="606" t="str">
        <f>"фамилия"&amp;IF(TEMPLATE_SPHERE&lt;&gt;"HEAT"," руководителя","")</f>
        <v>фамилия руководителя</v>
      </c>
      <c r="F33" s="605"/>
      <c r="G33" s="608"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639"/>
    </row>
    <row customHeight="1" ht="22.5">
      <c r="A34" s="621"/>
      <c r="B34" s="666"/>
      <c r="C34" s="621"/>
      <c r="D34" s="604" t="str">
        <f>D32&amp;".2"</f>
        <v>5.2</v>
      </c>
      <c r="E34" s="606" t="str">
        <f>"имя"&amp;IF(TEMPLATE_SPHERE&lt;&gt;"HEAT"," руководителя","")</f>
        <v>имя руководителя</v>
      </c>
      <c r="F34" s="605"/>
      <c r="G34" s="608"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639"/>
    </row>
    <row customHeight="1" ht="22.5">
      <c r="A35" s="621"/>
      <c r="B35" s="666"/>
      <c r="C35" s="621"/>
      <c r="D35" s="604" t="str">
        <f>D32&amp;".3"</f>
        <v>5.3</v>
      </c>
      <c r="E35" s="606" t="str">
        <f>"отчество"&amp;IF(TEMPLATE_SPHERE&lt;&gt;"HEAT"," руководителя","")</f>
        <v>отчество руководителя</v>
      </c>
      <c r="F35" s="862"/>
      <c r="G35" s="608"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639"/>
    </row>
    <row customHeight="1" ht="33.75">
      <c r="A36" s="621"/>
      <c r="B36" s="666"/>
      <c r="C36" s="621"/>
      <c r="D36" s="604">
        <f>D32+1</f>
        <v>6</v>
      </c>
      <c r="E36" s="602"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605"/>
      <c r="G36" s="608" t="s">
        <v>340</v>
      </c>
      <c r="H36" s="639"/>
    </row>
    <row customHeight="1" ht="33.75">
      <c r="A37" s="621"/>
      <c r="B37" s="666"/>
      <c r="C37" s="621"/>
      <c r="D37" s="604">
        <f>D36+1</f>
        <v>7</v>
      </c>
      <c r="E37" s="602"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605"/>
      <c r="G37" s="608" t="s">
        <v>340</v>
      </c>
      <c r="H37" s="639"/>
    </row>
    <row customHeight="1" ht="22.5">
      <c r="A38" s="621"/>
      <c r="B38" s="666"/>
      <c r="C38" s="621"/>
      <c r="D38" s="604">
        <f>D37+1</f>
        <v>8</v>
      </c>
      <c r="E38" s="601"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607" t="s">
        <v>306</v>
      </c>
      <c r="G38" s="2191"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639"/>
    </row>
    <row customHeight="1" ht="22.5" hidden="1">
      <c r="A39" s="621"/>
      <c r="B39" s="666"/>
      <c r="C39" s="621"/>
      <c r="D39" s="604" t="str">
        <f>D38&amp;".0"</f>
        <v>8.0</v>
      </c>
      <c r="E39" s="1845"/>
      <c r="F39" s="1055"/>
      <c r="G39" s="2192"/>
      <c r="H39" s="639"/>
    </row>
    <row customHeight="1" ht="22.5">
      <c r="A40" s="621"/>
      <c r="B40" s="621"/>
      <c r="C40" s="1928"/>
      <c r="D40" s="604" t="str">
        <f>D38&amp;".1"</f>
        <v>8.1</v>
      </c>
      <c r="E40" s="1033"/>
      <c r="F40" s="1035"/>
      <c r="G40" s="2192"/>
      <c r="H40" s="639"/>
    </row>
    <row customHeight="1" ht="15">
      <c r="A41" s="621"/>
      <c r="B41" s="666"/>
      <c r="C41" s="621"/>
      <c r="D41" s="631"/>
      <c r="E41" s="578" t="s">
        <v>341</v>
      </c>
      <c r="F41" s="633"/>
      <c r="G41" s="2193"/>
      <c r="H41" s="640"/>
    </row>
    <row customHeight="1" ht="25.5">
      <c r="A42" s="621"/>
      <c r="B42" s="666"/>
      <c r="C42" s="621"/>
      <c r="D42" s="604">
        <f>D38+1</f>
        <v>9</v>
      </c>
      <c r="E42" s="602"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3228"/>
      <c r="G42" s="608"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639"/>
    </row>
    <row customHeight="1" ht="22.5">
      <c r="A43" s="621"/>
      <c r="B43" s="666"/>
      <c r="C43" s="621"/>
      <c r="D43" s="604">
        <f>D42+1</f>
        <v>10</v>
      </c>
      <c r="E43" s="602"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229"/>
      <c r="G43" s="638" t="s">
        <v>342</v>
      </c>
      <c r="H43" s="639"/>
    </row>
    <row customHeight="1" ht="22.5">
      <c r="A44" s="621"/>
      <c r="B44" s="666"/>
      <c r="C44" s="621"/>
      <c r="D44" s="604">
        <f>D43+1</f>
        <v>11</v>
      </c>
      <c r="E44" s="602" t="s">
        <v>343</v>
      </c>
      <c r="F44" s="607" t="s">
        <v>306</v>
      </c>
      <c r="G44" s="601" t="str">
        <f>IF(TEMPLATE_SPHERE="TKO","Указывается режим работы организации.","")</f>
        <v/>
      </c>
      <c r="H44" s="639"/>
    </row>
    <row customHeight="1" ht="22.5">
      <c r="A45" s="621"/>
      <c r="B45" s="666"/>
      <c r="C45" s="621"/>
      <c r="D45" s="604" t="str">
        <f>D44&amp;".1"</f>
        <v>11.1</v>
      </c>
      <c r="E45" s="606" t="str">
        <f>"режим работы регулируемой организации"&amp;IF(TEMPLATE_SPHERE="HEAT",", ЕТО, ТО","")</f>
        <v>режим работы регулируемой организации</v>
      </c>
      <c r="F45" s="1924"/>
      <c r="G45" s="601" t="s">
        <v>344</v>
      </c>
      <c r="H45" s="639"/>
    </row>
    <row customHeight="1" ht="22.5">
      <c r="A46" s="2180"/>
      <c r="B46" s="666"/>
      <c r="C46" s="656"/>
      <c r="D46" s="604" t="str">
        <f>D44&amp;".2"</f>
        <v>11.2</v>
      </c>
      <c r="E46" s="606" t="s">
        <v>345</v>
      </c>
      <c r="F46" s="654"/>
      <c r="G46" s="601" t="s">
        <v>346</v>
      </c>
      <c r="H46" s="639"/>
    </row>
    <row customHeight="1" ht="22.5">
      <c r="A47" s="2180"/>
      <c r="B47" s="666"/>
      <c r="C47" s="656"/>
      <c r="D47" s="604" t="str">
        <f>D44&amp;".3"</f>
        <v>11.3</v>
      </c>
      <c r="E47" s="606" t="s">
        <v>347</v>
      </c>
      <c r="F47" s="654"/>
      <c r="G47" s="601" t="s">
        <v>348</v>
      </c>
      <c r="H47" s="639"/>
    </row>
    <row customHeight="1" ht="22.5">
      <c r="A48" s="2180"/>
      <c r="B48" s="666"/>
      <c r="C48" s="656"/>
      <c r="D48" s="604" t="str">
        <f>IF(TEMPLATE_SPHERE="TKO",D44&amp;".0",D44&amp;".4")</f>
        <v>11.4</v>
      </c>
      <c r="E48" s="600" t="s">
        <v>349</v>
      </c>
      <c r="F48" s="1925"/>
      <c r="G48" s="2029" t="s">
        <v>350</v>
      </c>
      <c r="H48" s="639"/>
    </row>
    <row customHeight="1" ht="22.5">
      <c r="A49" s="621"/>
      <c r="B49" s="666"/>
      <c r="C49" s="621"/>
      <c r="D49" s="631"/>
      <c r="E49" s="578" t="s">
        <v>351</v>
      </c>
      <c r="F49" s="632"/>
      <c r="G49" s="2029" t="s">
        <v>352</v>
      </c>
      <c r="H49" s="640"/>
    </row>
    <row customHeight="1" ht="22.5">
      <c r="A50" s="1031"/>
      <c r="B50" s="666"/>
      <c r="C50" s="656"/>
      <c r="D50" s="604">
        <f>D44+1</f>
        <v>12</v>
      </c>
      <c r="E50" s="692" t="s">
        <v>353</v>
      </c>
      <c r="F50" s="654"/>
      <c r="G50" s="1929"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639"/>
    </row>
    <row customHeight="1" ht="11.25">
      <c r="A51" s="621"/>
      <c r="B51" s="666"/>
      <c r="C51" s="621"/>
    </row>
    <row s="5736" customFormat="1" customHeight="1" ht="30">
      <c r="A52" s="1927"/>
      <c r="B52" s="667"/>
      <c r="C52" s="2181"/>
      <c r="D52" s="2185"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185"/>
      <c r="F52" s="2185"/>
      <c r="G52" s="2185"/>
      <c r="H52" s="618"/>
      <c r="I52" s="618"/>
    </row>
    <row s="5736" customFormat="1" customHeight="1" ht="39.75">
      <c r="A53" s="621"/>
      <c r="B53" s="666"/>
      <c r="C53" s="2181"/>
      <c r="D53" s="2185"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3" s="2185"/>
      <c r="F53" s="2185"/>
      <c r="G53" s="2185"/>
    </row>
    <row customHeight="1" ht="11.25">
      <c r="D54" s="622"/>
      <c r="E54" s="623"/>
      <c r="F54" s="623"/>
      <c r="G54" s="623"/>
    </row>
    <row customHeight="1" ht="27">
      <c r="D55" s="625"/>
      <c r="E55" s="622"/>
      <c r="F55" s="634"/>
      <c r="G55" s="634"/>
    </row>
    <row customHeight="1" ht="11.25">
      <c r="D56" s="622"/>
      <c r="E56" s="622"/>
      <c r="F56" s="623"/>
      <c r="G56" s="623"/>
    </row>
    <row customHeight="1" ht="39">
      <c r="D57" s="626"/>
      <c r="E57" s="635"/>
      <c r="F57" s="635"/>
      <c r="G57" s="635"/>
    </row>
    <row customHeight="1" ht="27">
      <c r="D58" s="626"/>
      <c r="E58" s="635"/>
      <c r="F58" s="635"/>
      <c r="G58" s="635"/>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36C12C-D068-1928-2DBF-B4AEB8644953}"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5814" width="9.140625" hidden="1" customWidth="1"/>
    <col min="2" max="2" style="5815" width="9.140625" hidden="1" customWidth="1"/>
    <col min="3" max="3" style="5816" width="3.7109375" customWidth="1"/>
    <col min="4" max="4" style="5815" width="5.57421875" customWidth="1"/>
    <col min="5" max="5" style="5815" width="48.421875" customWidth="1"/>
    <col min="6" max="6" style="5815" width="38.140625" customWidth="1"/>
    <col min="7" max="7" style="5367" width="1.7109375" hidden="1" customWidth="1"/>
    <col min="8" max="11" style="5815" width="19.8515625" hidden="1" customWidth="1"/>
    <col min="12" max="12" style="5815" width="9.7109375" hidden="1" customWidth="1"/>
    <col min="13" max="18" style="5815" width="19.8515625" hidden="1" customWidth="1"/>
    <col min="19" max="19" style="5367" width="1.7109375" hidden="1" customWidth="1"/>
    <col min="20" max="22" style="5817" width="19.8515625" customWidth="1"/>
    <col min="23" max="23" style="5367" width="1.7109375" hidden="1" customWidth="1"/>
    <col min="24" max="26" style="5817" width="19.8515625" hidden="1" customWidth="1"/>
    <col min="27" max="27" style="5367" width="1.7109375" hidden="1" customWidth="1"/>
    <col min="28" max="29" style="5817" width="19.8515625" hidden="1" customWidth="1"/>
    <col min="30" max="30" style="5367" width="1.7109375" hidden="1" customWidth="1"/>
    <col min="31" max="31" style="5815" width="103.7109375" hidden="1" customWidth="1"/>
    <col min="32" max="32" style="5817" width="103.7109375" customWidth="1"/>
    <col min="33" max="34" style="5817" width="103.7109375" hidden="1" customWidth="1"/>
    <col min="35" max="35" style="5818" width="3.7109375" customWidth="1"/>
    <col min="36" max="38" style="5819" width="10.57421875"/>
    <col min="39" max="39" style="5819" width="13.7109375" hidden="1" customWidth="1"/>
    <col min="40" max="40" style="5819" width="15.421875" customWidth="1"/>
    <col min="41" max="41" style="5819" width="16.28125" customWidth="1"/>
    <col min="42" max="45" style="5819" width="10.57421875"/>
  </cols>
  <sheetData>
    <row customHeight="1" ht="14.25" hidden="1">
      <c r="E1" s="575"/>
      <c r="F1" s="575"/>
      <c r="G1" s="575"/>
      <c r="H1" s="2197" t="s">
        <v>354</v>
      </c>
      <c r="I1" s="2197"/>
      <c r="J1" s="2197"/>
      <c r="K1" s="2197"/>
      <c r="L1" s="2197"/>
      <c r="M1" s="2197"/>
      <c r="N1" s="2197"/>
      <c r="O1" s="2197"/>
      <c r="P1" s="2197"/>
      <c r="Q1" s="2197"/>
      <c r="R1" s="2197"/>
      <c r="T1" s="2197" t="s">
        <v>355</v>
      </c>
      <c r="U1" s="2197"/>
      <c r="V1" s="2197"/>
      <c r="X1" s="2197" t="s">
        <v>356</v>
      </c>
      <c r="Y1" s="2197"/>
      <c r="Z1" s="2197"/>
      <c r="AB1" s="2197" t="s">
        <v>357</v>
      </c>
      <c r="AC1" s="2197"/>
    </row>
    <row customHeight="1" ht="14.25" hidden="1"/>
    <row s="5751" customFormat="1" customHeight="1" ht="6">
      <c r="C3" s="865"/>
      <c r="D3" s="866"/>
      <c r="E3" s="866"/>
      <c r="F3" s="866"/>
      <c r="G3" s="866"/>
      <c r="H3" s="866" t="s">
        <v>358</v>
      </c>
      <c r="I3" s="866"/>
      <c r="J3" s="866"/>
      <c r="K3" s="866"/>
      <c r="L3" s="866"/>
      <c r="M3" s="866"/>
      <c r="N3" s="866"/>
      <c r="O3" s="866"/>
      <c r="P3" s="866"/>
      <c r="Q3" s="866"/>
      <c r="R3" s="866"/>
      <c r="S3" s="866"/>
      <c r="T3" s="866"/>
      <c r="U3" s="866"/>
      <c r="V3" s="866"/>
      <c r="W3" s="866"/>
      <c r="X3" s="866"/>
      <c r="Y3" s="866"/>
      <c r="Z3" s="866"/>
      <c r="AA3" s="866"/>
      <c r="AB3" s="866"/>
      <c r="AC3" s="866"/>
      <c r="AD3" s="866"/>
      <c r="AE3" s="866"/>
      <c r="AF3" s="866"/>
      <c r="AG3" s="866"/>
      <c r="AH3" s="866"/>
      <c r="AJ3" s="675"/>
      <c r="AK3" s="675"/>
      <c r="AL3" s="675"/>
      <c r="AM3" s="675"/>
      <c r="AN3" s="675"/>
      <c r="AO3" s="675"/>
      <c r="AP3" s="675"/>
      <c r="AQ3" s="675"/>
      <c r="AR3" s="675"/>
      <c r="AS3" s="675"/>
    </row>
    <row customHeight="1" ht="24">
      <c r="C4" s="614"/>
      <c r="D4" s="2123"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водоотведения регулируемой организации</v>
      </c>
      <c r="E4" s="2124"/>
      <c r="F4" s="2124"/>
      <c r="G4" s="2124"/>
      <c r="H4" s="2124"/>
      <c r="I4" s="2124"/>
      <c r="J4" s="2124"/>
      <c r="K4" s="2124"/>
      <c r="L4" s="2124"/>
      <c r="M4" s="2124"/>
      <c r="N4" s="2124"/>
      <c r="O4" s="2124"/>
      <c r="P4" s="2124"/>
      <c r="Q4" s="2124"/>
      <c r="R4" s="2125"/>
      <c r="S4" s="1026"/>
      <c r="T4" s="863"/>
      <c r="U4" s="863"/>
      <c r="V4" s="863"/>
      <c r="W4" s="863"/>
      <c r="X4" s="863"/>
      <c r="Y4" s="863"/>
      <c r="Z4" s="863"/>
      <c r="AA4" s="863"/>
      <c r="AB4" s="863"/>
      <c r="AC4" s="863"/>
      <c r="AD4" s="863"/>
      <c r="AE4" s="655"/>
      <c r="AF4" s="655"/>
      <c r="AG4" s="655"/>
      <c r="AH4" s="655"/>
      <c r="AI4" s="652"/>
    </row>
    <row s="5367" customFormat="1" customHeight="1" ht="17.25">
      <c r="A5" s="925"/>
      <c r="C5" s="993"/>
      <c r="D5" s="21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5" s="2195"/>
      <c r="F5" s="2195"/>
      <c r="G5" s="2195"/>
      <c r="H5" s="2195"/>
      <c r="I5" s="2195"/>
      <c r="J5" s="2195"/>
      <c r="K5" s="2195"/>
      <c r="L5" s="2195"/>
      <c r="M5" s="2195"/>
      <c r="N5" s="2195"/>
      <c r="O5" s="2195"/>
      <c r="P5" s="2195"/>
      <c r="Q5" s="2195"/>
      <c r="R5" s="2196"/>
      <c r="S5" s="1026"/>
      <c r="T5" s="863"/>
      <c r="U5" s="863"/>
      <c r="V5" s="863"/>
      <c r="W5" s="863"/>
      <c r="X5" s="863"/>
      <c r="Y5" s="863"/>
      <c r="Z5" s="863"/>
      <c r="AA5" s="863"/>
      <c r="AB5" s="863"/>
      <c r="AC5" s="863"/>
      <c r="AD5" s="863"/>
      <c r="AE5" s="655"/>
      <c r="AF5" s="655"/>
      <c r="AG5" s="655"/>
      <c r="AH5" s="655"/>
      <c r="AI5" s="652"/>
      <c r="AJ5" s="675"/>
      <c r="AK5" s="675"/>
      <c r="AL5" s="675"/>
      <c r="AM5" s="675"/>
      <c r="AN5" s="675"/>
      <c r="AO5" s="675"/>
      <c r="AP5" s="675"/>
      <c r="AQ5" s="675"/>
      <c r="AR5" s="675"/>
      <c r="AS5" s="675"/>
    </row>
    <row s="5763" customFormat="1" customHeight="1" ht="11.25">
      <c r="A6" s="643"/>
      <c r="C6" s="650"/>
      <c r="D6" s="649"/>
      <c r="E6" s="649"/>
      <c r="F6" s="649"/>
      <c r="G6" s="649"/>
      <c r="H6" s="649"/>
      <c r="I6" s="649"/>
      <c r="J6" s="649"/>
      <c r="K6" s="649"/>
      <c r="L6" s="649"/>
      <c r="M6" s="649"/>
      <c r="N6" s="649"/>
      <c r="O6" s="649"/>
      <c r="P6" s="649"/>
      <c r="Q6" s="649"/>
      <c r="R6" s="918"/>
      <c r="S6" s="918"/>
      <c r="T6" s="649"/>
      <c r="U6" s="649"/>
      <c r="V6" s="876"/>
      <c r="W6" s="876"/>
      <c r="X6" s="649"/>
      <c r="Y6" s="649"/>
      <c r="Z6" s="876"/>
      <c r="AA6" s="876"/>
      <c r="AB6" s="649"/>
      <c r="AC6" s="876"/>
      <c r="AD6" s="876"/>
      <c r="AE6" s="649"/>
      <c r="AF6" s="649"/>
      <c r="AG6" s="649"/>
      <c r="AH6" s="649"/>
      <c r="AJ6" s="653"/>
      <c r="AK6" s="653"/>
      <c r="AL6" s="653"/>
      <c r="AM6" s="653"/>
      <c r="AN6" s="653"/>
      <c r="AO6" s="653"/>
      <c r="AP6" s="653"/>
      <c r="AQ6" s="653"/>
      <c r="AR6" s="653"/>
      <c r="AS6" s="653"/>
    </row>
    <row customHeight="1" ht="14.25">
      <c r="C7" s="614"/>
      <c r="D7" s="2198" t="s">
        <v>300</v>
      </c>
      <c r="E7" s="2199"/>
      <c r="F7" s="2199"/>
      <c r="G7" s="2199"/>
      <c r="H7" s="2199"/>
      <c r="I7" s="2199"/>
      <c r="J7" s="2199"/>
      <c r="K7" s="2199"/>
      <c r="L7" s="2199"/>
      <c r="M7" s="2199"/>
      <c r="N7" s="2199"/>
      <c r="O7" s="2199"/>
      <c r="P7" s="2199"/>
      <c r="Q7" s="2199"/>
      <c r="R7" s="2199"/>
      <c r="S7" s="2199"/>
      <c r="T7" s="2199"/>
      <c r="U7" s="2199"/>
      <c r="V7" s="2199"/>
      <c r="W7" s="2199"/>
      <c r="X7" s="2199"/>
      <c r="Y7" s="2199"/>
      <c r="Z7" s="2199"/>
      <c r="AA7" s="2199"/>
      <c r="AB7" s="2199"/>
      <c r="AC7" s="2199"/>
      <c r="AD7" s="2200"/>
      <c r="AE7" s="2203" t="s">
        <v>301</v>
      </c>
      <c r="AF7" s="2203" t="s">
        <v>301</v>
      </c>
      <c r="AG7" s="2203" t="s">
        <v>301</v>
      </c>
      <c r="AH7" s="2203" t="s">
        <v>301</v>
      </c>
    </row>
    <row customHeight="1" ht="25.5">
      <c r="C8" s="614"/>
      <c r="D8" s="2204" t="s">
        <v>87</v>
      </c>
      <c r="E8" s="2205" t="str">
        <f>"Наименование "&amp;IF(TEMPLATE_SPHERE&lt;&gt;"HEAT","централизованной ","")&amp;"системы "&amp;TEMPLATE_SPHERE_RUS</f>
        <v>Наименование централизованной системы водоотведения</v>
      </c>
      <c r="F8" s="2203" t="str">
        <f>IF(TEMPLATE_SPHERE&lt;&gt;"HEAT","Регулируемый вид деятельности","Вид регулируемой деятельности")</f>
        <v>Регулируемый вид деятельности</v>
      </c>
      <c r="G8" s="1000"/>
      <c r="H8" s="2206" t="s">
        <v>359</v>
      </c>
      <c r="I8" s="2208" t="s">
        <v>360</v>
      </c>
      <c r="J8" s="2205" t="s">
        <v>361</v>
      </c>
      <c r="K8" s="2205"/>
      <c r="L8" s="2205"/>
      <c r="M8" s="2198"/>
      <c r="N8" s="2205" t="s">
        <v>362</v>
      </c>
      <c r="O8" s="2205"/>
      <c r="P8" s="2205" t="s">
        <v>363</v>
      </c>
      <c r="Q8" s="2205"/>
      <c r="R8" s="2212" t="s">
        <v>364</v>
      </c>
      <c r="S8" s="995"/>
      <c r="T8" s="2210" t="s">
        <v>365</v>
      </c>
      <c r="U8" s="2210" t="s">
        <v>366</v>
      </c>
      <c r="V8" s="2210" t="s">
        <v>367</v>
      </c>
      <c r="W8" s="997"/>
      <c r="X8" s="2210" t="s">
        <v>368</v>
      </c>
      <c r="Y8" s="2210" t="s">
        <v>369</v>
      </c>
      <c r="Z8" s="2210" t="s">
        <v>370</v>
      </c>
      <c r="AA8" s="997"/>
      <c r="AB8" s="2210" t="s">
        <v>371</v>
      </c>
      <c r="AC8" s="2210" t="s">
        <v>364</v>
      </c>
      <c r="AD8" s="997"/>
      <c r="AE8" s="2203"/>
      <c r="AF8" s="2203"/>
      <c r="AG8" s="2203"/>
      <c r="AH8" s="2203"/>
    </row>
    <row customHeight="1" ht="33.75">
      <c r="C9" s="614"/>
      <c r="D9" s="2204"/>
      <c r="E9" s="2205"/>
      <c r="F9" s="2203"/>
      <c r="G9" s="1001"/>
      <c r="H9" s="2207"/>
      <c r="I9" s="2209"/>
      <c r="J9" s="588" t="s">
        <v>372</v>
      </c>
      <c r="K9" s="588" t="s">
        <v>373</v>
      </c>
      <c r="L9" s="588" t="s">
        <v>374</v>
      </c>
      <c r="M9" s="594" t="s">
        <v>375</v>
      </c>
      <c r="N9" s="588" t="s">
        <v>376</v>
      </c>
      <c r="O9" s="588" t="s">
        <v>375</v>
      </c>
      <c r="P9" s="588" t="s">
        <v>377</v>
      </c>
      <c r="Q9" s="588" t="s">
        <v>375</v>
      </c>
      <c r="R9" s="2213"/>
      <c r="S9" s="996"/>
      <c r="T9" s="2211"/>
      <c r="U9" s="2211"/>
      <c r="V9" s="2211"/>
      <c r="W9" s="998"/>
      <c r="X9" s="2211"/>
      <c r="Y9" s="2211"/>
      <c r="Z9" s="2211"/>
      <c r="AA9" s="998"/>
      <c r="AB9" s="2211"/>
      <c r="AC9" s="2211"/>
      <c r="AD9" s="998"/>
      <c r="AE9" s="2203"/>
      <c r="AF9" s="2203"/>
      <c r="AG9" s="2203"/>
      <c r="AH9" s="2203"/>
    </row>
    <row customHeight="1" ht="12" hidden="1">
      <c r="C10" s="651"/>
      <c r="D10" s="612"/>
      <c r="E10" s="612"/>
      <c r="F10" s="612"/>
      <c r="G10" s="612"/>
      <c r="H10" s="612"/>
      <c r="I10" s="612"/>
      <c r="J10" s="612"/>
      <c r="K10" s="612"/>
      <c r="L10" s="612"/>
      <c r="M10" s="612"/>
      <c r="N10" s="612"/>
      <c r="O10" s="612"/>
      <c r="P10" s="612"/>
      <c r="Q10" s="612"/>
      <c r="R10" s="612"/>
      <c r="S10" s="612"/>
      <c r="T10" s="612"/>
      <c r="U10" s="612"/>
      <c r="V10" s="612"/>
      <c r="W10" s="612"/>
      <c r="X10" s="612"/>
      <c r="Y10" s="612"/>
      <c r="Z10" s="612"/>
      <c r="AA10" s="612"/>
      <c r="AB10" s="612"/>
      <c r="AC10" s="612"/>
      <c r="AD10" s="612"/>
      <c r="AE10" s="612"/>
      <c r="AF10" s="612"/>
      <c r="AG10" s="612"/>
      <c r="AH10" s="612"/>
      <c r="AI10" s="611"/>
      <c r="AP10" s="664"/>
      <c r="AQ10" s="664"/>
    </row>
    <row s="5794" customFormat="1" customHeight="1" ht="11.25" hidden="1">
      <c r="C11" s="662"/>
      <c r="D11" s="663" t="s">
        <v>378</v>
      </c>
      <c r="E11" s="663"/>
      <c r="F11" s="663"/>
      <c r="G11" s="663"/>
      <c r="H11" s="661"/>
      <c r="I11" s="661"/>
      <c r="J11" s="661"/>
      <c r="K11" s="661"/>
      <c r="L11" s="661"/>
      <c r="M11" s="661"/>
      <c r="N11" s="661"/>
      <c r="O11" s="661"/>
      <c r="P11" s="661"/>
      <c r="Q11" s="661"/>
      <c r="R11" s="661"/>
      <c r="S11" s="661"/>
      <c r="T11" s="661"/>
      <c r="U11" s="661"/>
      <c r="V11" s="661"/>
      <c r="W11" s="661"/>
      <c r="X11" s="661"/>
      <c r="Y11" s="661"/>
      <c r="Z11" s="661"/>
      <c r="AA11" s="661"/>
      <c r="AB11" s="661"/>
      <c r="AC11" s="661"/>
      <c r="AD11" s="661"/>
      <c r="AE11" s="599"/>
      <c r="AF11" s="599"/>
      <c r="AG11" s="599"/>
      <c r="AH11" s="599"/>
      <c r="AJ11" s="653"/>
      <c r="AK11" s="653"/>
      <c r="AL11" s="653"/>
      <c r="AM11" s="653"/>
      <c r="AN11" s="653"/>
      <c r="AO11" s="653"/>
      <c r="AP11" s="653"/>
      <c r="AQ11" s="653"/>
      <c r="AR11" s="653"/>
      <c r="AS11" s="653"/>
    </row>
    <row customHeight="1" ht="14.25">
      <c r="A12" s="611"/>
      <c r="C12" s="614"/>
      <c r="D12" s="598" t="s">
        <v>118</v>
      </c>
      <c r="E12" s="1057" t="s">
        <v>17</v>
      </c>
      <c r="F12" s="1028"/>
      <c r="G12" s="1029"/>
      <c r="H12" s="597"/>
      <c r="I12" s="597"/>
      <c r="J12" s="597"/>
      <c r="K12" s="596"/>
      <c r="L12" s="595"/>
      <c r="M12" s="596"/>
      <c r="N12" s="597"/>
      <c r="O12" s="596"/>
      <c r="P12" s="597"/>
      <c r="Q12" s="596"/>
      <c r="R12" s="597"/>
      <c r="S12" s="1027"/>
      <c r="T12" s="597"/>
      <c r="U12" s="597"/>
      <c r="V12" s="597"/>
      <c r="W12" s="998"/>
      <c r="X12" s="597"/>
      <c r="Y12" s="597"/>
      <c r="Z12" s="597"/>
      <c r="AA12" s="998"/>
      <c r="AB12" s="597"/>
      <c r="AC12" s="597"/>
      <c r="AD12" s="998"/>
      <c r="AE12" s="2201" t="s">
        <v>379</v>
      </c>
      <c r="AF12" s="2201" t="s">
        <v>380</v>
      </c>
      <c r="AG12" s="2201" t="s">
        <v>381</v>
      </c>
      <c r="AH12" s="2201" t="s">
        <v>382</v>
      </c>
      <c r="AI12" s="611"/>
      <c r="AM12" s="675"/>
      <c r="AP12" s="664" t="s">
        <v>383</v>
      </c>
      <c r="AQ12" s="664" t="s">
        <v>383</v>
      </c>
    </row>
    <row customHeight="1" ht="17.25">
      <c r="A13" s="611"/>
      <c r="C13" s="614"/>
      <c r="D13" s="568"/>
      <c r="E13" s="1043" t="str">
        <f>IF(TITLE_DIFFERENTIATION_TYPE="нет","","Добавить систему")</f>
        <v/>
      </c>
      <c r="F13" s="1043" t="str">
        <f>IF(TITLE_DIFFERENTIATION_TYPE="нет","Добавить вид деятельности","")</f>
        <v>Добавить вид деятельности</v>
      </c>
      <c r="G13" s="452"/>
      <c r="H13" s="569"/>
      <c r="I13" s="569"/>
      <c r="J13" s="569"/>
      <c r="K13" s="569"/>
      <c r="L13" s="569"/>
      <c r="M13" s="569"/>
      <c r="N13" s="569"/>
      <c r="O13" s="569"/>
      <c r="P13" s="569"/>
      <c r="Q13" s="569"/>
      <c r="R13" s="569"/>
      <c r="S13" s="569"/>
      <c r="T13" s="569"/>
      <c r="U13" s="569"/>
      <c r="V13" s="569"/>
      <c r="W13" s="569"/>
      <c r="X13" s="569"/>
      <c r="Y13" s="569"/>
      <c r="Z13" s="569"/>
      <c r="AA13" s="569"/>
      <c r="AB13" s="569"/>
      <c r="AC13" s="569"/>
      <c r="AD13" s="1030"/>
      <c r="AE13" s="2202"/>
      <c r="AF13" s="2202"/>
      <c r="AG13" s="2202"/>
      <c r="AH13" s="2202"/>
      <c r="AI13" s="611"/>
    </row>
    <row customHeight="1" ht="14.25">
      <c r="AI14" s="611"/>
    </row>
    <row customHeight="1" ht="14.25">
      <c r="E15" s="924"/>
      <c r="L15" s="924"/>
    </row>
    <row customHeight="1" ht="14.25">
      <c r="L16" s="924"/>
    </row>
    <row customHeight="1" ht="14.25">
      <c r="L17" s="924"/>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O12 Q12 K12 M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H12:J12 AB12:AC12 R12:V12 X12:Z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931E9A9-0783-7A72-C735-292E71301EDB}"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5850" width="9.140625" hidden="1" customWidth="1"/>
    <col min="2" max="2" style="5851" width="9.140625" hidden="1" customWidth="1"/>
    <col min="3" max="3" style="5816" width="3.7109375" customWidth="1"/>
    <col min="4" max="4" style="5851" width="5.57421875" customWidth="1"/>
    <col min="5" max="5" style="5851" width="38.140625" customWidth="1"/>
    <col min="6" max="7" style="5851" width="3.7109375" customWidth="1"/>
    <col min="8" max="8" style="5851" width="38.28125" customWidth="1"/>
    <col min="9" max="9" style="5851" width="35.7109375" customWidth="1"/>
    <col min="10" max="10" style="5851" width="103.7109375" customWidth="1"/>
    <col min="11" max="11" style="5594" width="3.7109375" customWidth="1"/>
    <col min="12" max="14" style="5852" width="10.57421875"/>
    <col min="15" max="15" style="5852" width="13.7109375" customWidth="1"/>
    <col min="16" max="16" style="5852" width="15.421875" customWidth="1"/>
    <col min="17" max="17" style="5852" width="16.28125" customWidth="1"/>
    <col min="18" max="21" style="5852" width="10.57421875"/>
  </cols>
  <sheetData>
    <row customHeight="1" ht="14.25" hidden="1">
      <c r="E1" s="575"/>
      <c r="F1" s="575"/>
      <c r="G1" s="575"/>
      <c r="H1" s="2197" t="s">
        <v>354</v>
      </c>
      <c r="I1" s="2197"/>
    </row>
    <row s="5820" customFormat="1" customHeight="1" ht="14.25" hidden="1">
      <c r="C2" s="1859"/>
      <c r="D2" s="2223" t="s">
        <v>118</v>
      </c>
      <c r="E2" s="2225"/>
      <c r="F2" s="1865"/>
      <c r="G2" s="1860" t="s">
        <v>118</v>
      </c>
      <c r="H2" s="1863"/>
      <c r="I2" s="1861"/>
      <c r="L2" s="1862"/>
      <c r="M2" s="1862"/>
      <c r="N2" s="1862"/>
      <c r="O2" s="1862" t="s">
        <v>384</v>
      </c>
      <c r="P2" s="1862"/>
      <c r="Q2" s="1862"/>
      <c r="R2" s="1864" t="s">
        <v>383</v>
      </c>
      <c r="S2" s="1864" t="s">
        <v>383</v>
      </c>
      <c r="T2" s="1862"/>
      <c r="U2" s="1862"/>
    </row>
    <row s="5820" customFormat="1" customHeight="1" ht="14.25" hidden="1">
      <c r="C3" s="1859"/>
      <c r="D3" s="2224"/>
      <c r="E3" s="2226"/>
      <c r="F3" s="568"/>
      <c r="G3" s="1043"/>
      <c r="H3" s="1043" t="s">
        <v>385</v>
      </c>
      <c r="I3" s="452"/>
      <c r="L3" s="1862"/>
      <c r="M3" s="1862"/>
      <c r="N3" s="1862"/>
      <c r="O3" s="1862"/>
      <c r="P3" s="1862"/>
      <c r="Q3" s="1862"/>
      <c r="R3" s="1864"/>
      <c r="S3" s="1864"/>
      <c r="T3" s="1862"/>
      <c r="U3" s="1862"/>
    </row>
    <row customHeight="1" ht="14.25" hidden="1"/>
    <row s="5832" customFormat="1" customHeight="1" ht="6">
      <c r="C5" s="865"/>
      <c r="D5" s="866"/>
      <c r="E5" s="866"/>
      <c r="F5" s="866"/>
      <c r="G5" s="866"/>
      <c r="H5" s="866" t="s">
        <v>358</v>
      </c>
      <c r="I5" s="866"/>
      <c r="J5" s="866"/>
      <c r="L5" s="1854"/>
      <c r="M5" s="1854"/>
      <c r="N5" s="1854"/>
      <c r="O5" s="1854"/>
      <c r="P5" s="1854"/>
      <c r="Q5" s="1854"/>
      <c r="R5" s="1854"/>
      <c r="S5" s="1854"/>
      <c r="T5" s="1854"/>
      <c r="U5" s="1854"/>
    </row>
    <row customHeight="1" ht="17.25">
      <c r="C6" s="1743"/>
      <c r="D6" s="2123" t="s">
        <v>386</v>
      </c>
      <c r="E6" s="2124"/>
      <c r="F6" s="2124"/>
      <c r="G6" s="2124"/>
      <c r="H6" s="2124"/>
      <c r="I6" s="2124"/>
      <c r="J6" s="655"/>
      <c r="K6" s="1855"/>
    </row>
    <row customHeight="1" ht="17.25">
      <c r="C7" s="1743"/>
      <c r="D7" s="21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7" s="2195"/>
      <c r="F7" s="2195"/>
      <c r="G7" s="2195"/>
      <c r="H7" s="2195"/>
      <c r="I7" s="2195"/>
      <c r="J7" s="655"/>
      <c r="K7" s="1855"/>
    </row>
    <row s="5836" customFormat="1" customHeight="1" ht="6">
      <c r="A8" s="1851"/>
      <c r="C8" s="650"/>
      <c r="D8" s="649"/>
      <c r="E8" s="649"/>
      <c r="F8" s="649"/>
      <c r="G8" s="649"/>
      <c r="H8" s="649"/>
      <c r="I8" s="649"/>
      <c r="J8" s="649"/>
      <c r="L8" s="1854"/>
      <c r="M8" s="1854"/>
      <c r="N8" s="1854"/>
      <c r="O8" s="1854"/>
      <c r="P8" s="1854"/>
      <c r="Q8" s="1854"/>
      <c r="R8" s="1854"/>
      <c r="S8" s="1854"/>
      <c r="T8" s="1854"/>
      <c r="U8" s="1854"/>
    </row>
    <row s="5836" customFormat="1" customHeight="1" ht="6">
      <c r="A9" s="1851"/>
      <c r="C9" s="650"/>
      <c r="D9" s="649"/>
      <c r="E9" s="649"/>
      <c r="F9" s="649"/>
      <c r="G9" s="649"/>
      <c r="H9" s="649"/>
      <c r="I9" s="649"/>
      <c r="J9" s="649"/>
      <c r="L9" s="1862"/>
      <c r="M9" s="1862"/>
      <c r="N9" s="1862"/>
      <c r="O9" s="1862"/>
      <c r="P9" s="1862"/>
      <c r="Q9" s="1862"/>
      <c r="R9" s="1862"/>
      <c r="S9" s="1862"/>
      <c r="T9" s="1862"/>
      <c r="U9" s="1862"/>
    </row>
    <row customHeight="1" ht="14.25">
      <c r="C10" s="1743"/>
      <c r="D10" s="2198" t="s">
        <v>300</v>
      </c>
      <c r="E10" s="2199"/>
      <c r="F10" s="2199"/>
      <c r="G10" s="2199"/>
      <c r="H10" s="2199"/>
      <c r="I10" s="2199"/>
      <c r="J10" s="2203" t="s">
        <v>301</v>
      </c>
    </row>
    <row customHeight="1" ht="25.5">
      <c r="C11" s="1743"/>
      <c r="D11" s="2204" t="s">
        <v>87</v>
      </c>
      <c r="E11" s="2203" t="str">
        <f>IF(TEMPLATE_SPHERE&lt;&gt;"HEAT","Регулируемый вид деятельности","Вид регулируемой деятельности")</f>
        <v>Регулируемый вид деятельности</v>
      </c>
      <c r="F11" s="2217" t="s">
        <v>87</v>
      </c>
      <c r="G11" s="2218"/>
      <c r="H11" s="2221" t="s">
        <v>387</v>
      </c>
      <c r="I11" s="2221" t="s">
        <v>388</v>
      </c>
      <c r="J11" s="2203"/>
    </row>
    <row customHeight="1" ht="14.25">
      <c r="C12" s="1743"/>
      <c r="D12" s="2204"/>
      <c r="E12" s="2203"/>
      <c r="F12" s="2219"/>
      <c r="G12" s="2220"/>
      <c r="H12" s="2222"/>
      <c r="I12" s="2222"/>
      <c r="J12" s="2203"/>
    </row>
    <row s="5794" customFormat="1" customHeight="1" ht="11.25">
      <c r="C13" s="662"/>
      <c r="D13" s="663" t="s">
        <v>378</v>
      </c>
      <c r="E13" s="663"/>
      <c r="F13" s="663"/>
      <c r="G13" s="663"/>
      <c r="H13" s="661"/>
      <c r="I13" s="661"/>
      <c r="J13" s="599"/>
      <c r="L13" s="1854"/>
      <c r="M13" s="1854"/>
      <c r="N13" s="1854"/>
      <c r="O13" s="1854"/>
      <c r="P13" s="1854"/>
      <c r="Q13" s="1854"/>
      <c r="R13" s="1854"/>
      <c r="S13" s="1854"/>
      <c r="T13" s="1854"/>
      <c r="U13" s="1854"/>
    </row>
    <row customHeight="1" ht="14.25">
      <c r="A14" s="1847"/>
      <c r="C14" s="1743"/>
      <c r="D14" s="2223" t="s">
        <v>118</v>
      </c>
      <c r="E14" s="2225"/>
      <c r="F14" s="1857"/>
      <c r="G14" s="1856" t="s">
        <v>118</v>
      </c>
      <c r="H14" s="1863"/>
      <c r="I14" s="1861"/>
      <c r="J14" s="2214" t="s">
        <v>389</v>
      </c>
      <c r="K14" s="1847"/>
      <c r="R14" s="664" t="s">
        <v>383</v>
      </c>
      <c r="S14" s="664" t="s">
        <v>383</v>
      </c>
    </row>
    <row customHeight="1" ht="14.25">
      <c r="A15" s="1847"/>
      <c r="C15" s="1743"/>
      <c r="D15" s="2224"/>
      <c r="E15" s="2226"/>
      <c r="F15" s="568"/>
      <c r="G15" s="1043"/>
      <c r="H15" s="1043" t="s">
        <v>385</v>
      </c>
      <c r="I15" s="452"/>
      <c r="J15" s="2215"/>
      <c r="K15" s="1847"/>
      <c r="R15" s="664"/>
      <c r="S15" s="664"/>
    </row>
    <row customHeight="1" ht="14.25">
      <c r="A16" s="1847"/>
      <c r="C16" s="1743"/>
      <c r="D16" s="568"/>
      <c r="E16" s="1043" t="s">
        <v>130</v>
      </c>
      <c r="F16" s="452"/>
      <c r="G16" s="452"/>
      <c r="H16" s="569"/>
      <c r="I16" s="569"/>
      <c r="J16" s="2216"/>
      <c r="K16" s="1847"/>
    </row>
    <row customHeight="1" ht="14.25">
      <c r="K17" s="1847"/>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4">
    <dataValidation type="whole" allowBlank="1" showErrorMessage="1" errorTitle="Ошибка" error="Допускается ввод только неотрицательных целых чисел!" sqref="H14:I14 H2: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95706D-9E6F-FD01-58E7-7604BBFED401}"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5814" width="9.140625" hidden="1" customWidth="1"/>
    <col min="2" max="2" style="5815" width="9.140625" hidden="1" customWidth="1"/>
    <col min="3" max="3" style="5367" width="9.140625" hidden="1" customWidth="1"/>
    <col min="4" max="4" style="5816" width="3.7109375" customWidth="1"/>
    <col min="5" max="5" style="5815" width="6.28125" customWidth="1"/>
    <col min="6" max="6" style="5367" width="1.7109375" hidden="1" customWidth="1"/>
    <col min="7" max="8" style="5815" width="30.7109375" customWidth="1"/>
    <col min="9" max="9" style="5815" width="9.00390625" customWidth="1"/>
    <col min="10" max="10" style="5815" width="12.140625" customWidth="1"/>
    <col min="11" max="11" style="5815" width="46.7109375" customWidth="1"/>
    <col min="12" max="12" style="5815" width="100.28125" customWidth="1"/>
    <col min="13" max="13" style="5818" width="7.57421875" customWidth="1"/>
    <col min="14" max="22" style="5815" width="10.57421875"/>
  </cols>
  <sheetData>
    <row s="5819" customFormat="1" customHeight="1" ht="5.25" hidden="1">
      <c r="C1" s="675"/>
      <c r="D1" s="658"/>
      <c r="F1" s="675"/>
      <c r="G1" s="653" t="s">
        <v>82</v>
      </c>
      <c r="H1" s="653" t="s">
        <v>83</v>
      </c>
      <c r="I1" s="653" t="s">
        <v>84</v>
      </c>
      <c r="P1" s="653" t="s">
        <v>82</v>
      </c>
      <c r="Q1" s="653" t="s">
        <v>83</v>
      </c>
      <c r="R1" s="653" t="s">
        <v>84</v>
      </c>
    </row>
    <row s="5819" customFormat="1" customHeight="1" ht="5.25" hidden="1">
      <c r="C2" s="675"/>
      <c r="D2" s="658"/>
      <c r="F2" s="675"/>
    </row>
    <row s="5763" customFormat="1" customHeight="1" ht="6">
      <c r="A3" s="643"/>
      <c r="D3" s="650"/>
      <c r="E3" s="645"/>
      <c r="F3" s="645"/>
      <c r="G3" s="645"/>
      <c r="H3" s="645"/>
      <c r="I3" s="646"/>
      <c r="J3" s="647"/>
      <c r="K3" s="647"/>
      <c r="L3" s="647"/>
    </row>
    <row customHeight="1" ht="22.5">
      <c r="D4" s="614"/>
      <c r="E4" s="2123" t="s">
        <v>390</v>
      </c>
      <c r="F4" s="2123"/>
      <c r="G4" s="2124"/>
      <c r="H4" s="2124"/>
      <c r="I4" s="2125"/>
      <c r="J4" s="655"/>
      <c r="K4" s="617"/>
      <c r="L4" s="617"/>
    </row>
    <row s="5367" customFormat="1" customHeight="1" ht="17.25">
      <c r="A5" s="925"/>
      <c r="D5" s="993"/>
      <c r="E5" s="21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5" s="2194"/>
      <c r="G5" s="2195"/>
      <c r="H5" s="2195"/>
      <c r="I5" s="2196"/>
      <c r="J5" s="655"/>
      <c r="K5" s="617"/>
      <c r="L5" s="617"/>
      <c r="M5" s="671"/>
    </row>
    <row s="5763" customFormat="1" customHeight="1" ht="11.25">
      <c r="A6" s="643"/>
      <c r="D6" s="650"/>
      <c r="E6" s="645"/>
      <c r="F6" s="645"/>
      <c r="G6" s="648"/>
      <c r="H6" s="648"/>
      <c r="I6" s="649"/>
      <c r="J6" s="649"/>
      <c r="K6" s="918"/>
      <c r="L6" s="649"/>
    </row>
    <row customHeight="1" ht="14.25">
      <c r="D7" s="614"/>
      <c r="E7" s="2227" t="s">
        <v>300</v>
      </c>
      <c r="F7" s="2227"/>
      <c r="G7" s="2228"/>
      <c r="H7" s="2228"/>
      <c r="I7" s="2228"/>
      <c r="J7" s="2228"/>
      <c r="K7" s="2228"/>
      <c r="L7" s="2203" t="s">
        <v>301</v>
      </c>
    </row>
    <row customHeight="1" ht="45">
      <c r="D8" s="614"/>
      <c r="E8" s="637" t="s">
        <v>87</v>
      </c>
      <c r="F8" s="994"/>
      <c r="G8" s="629" t="s">
        <v>85</v>
      </c>
      <c r="H8" s="629" t="s">
        <v>86</v>
      </c>
      <c r="I8" s="577" t="s">
        <v>84</v>
      </c>
      <c r="J8" s="577" t="s">
        <v>391</v>
      </c>
      <c r="K8" s="577" t="s">
        <v>392</v>
      </c>
      <c r="L8" s="2203"/>
    </row>
    <row customHeight="1" ht="12" hidden="1">
      <c r="D9" s="651"/>
      <c r="E9" s="657"/>
      <c r="F9" s="1002"/>
      <c r="G9" s="657"/>
      <c r="H9" s="657"/>
      <c r="I9" s="657"/>
      <c r="J9" s="657"/>
      <c r="K9" s="657"/>
      <c r="L9" s="657"/>
      <c r="M9" s="611"/>
    </row>
    <row customHeight="1" ht="14.25" hidden="1">
      <c r="A10" s="669"/>
      <c r="B10" s="669"/>
      <c r="D10" s="670"/>
      <c r="E10" s="676">
        <v>0</v>
      </c>
      <c r="F10" s="991"/>
      <c r="G10" s="672"/>
      <c r="H10" s="672"/>
      <c r="I10" s="672"/>
      <c r="J10" s="672"/>
      <c r="K10" s="672"/>
      <c r="L10" s="2201" t="s">
        <v>393</v>
      </c>
      <c r="M10" s="671"/>
      <c r="N10" s="669"/>
      <c r="O10" s="669"/>
      <c r="P10" s="669"/>
      <c r="Q10" s="669"/>
      <c r="R10" s="669"/>
      <c r="S10" s="669"/>
      <c r="T10" s="669"/>
      <c r="U10" s="669"/>
      <c r="V10" s="669"/>
    </row>
    <row customHeight="1" ht="15" hidden="1">
      <c r="A11" s="2061"/>
      <c r="B11" s="668"/>
      <c r="C11" s="668"/>
      <c r="D11" s="1039"/>
      <c r="E11" s="677"/>
      <c r="F11" s="677"/>
      <c r="G11" s="677"/>
      <c r="H11" s="677"/>
      <c r="I11" s="678"/>
      <c r="J11" s="679"/>
      <c r="K11" s="877"/>
      <c r="L11" s="2229"/>
      <c r="M11" s="675"/>
      <c r="N11" s="675"/>
      <c r="O11" s="675"/>
      <c r="P11" s="680"/>
      <c r="Q11" s="680"/>
      <c r="R11" s="681"/>
      <c r="S11" s="675"/>
      <c r="T11" s="675"/>
      <c r="U11" s="675"/>
      <c r="V11" s="675"/>
    </row>
    <row s="5763" customFormat="1" customHeight="1" ht="14.25">
      <c r="A12" s="2061"/>
      <c r="B12" s="668"/>
      <c r="C12" s="668"/>
      <c r="D12" s="1040"/>
      <c r="E12" s="994">
        <v>1</v>
      </c>
      <c r="F12" s="1038">
        <v>23</v>
      </c>
      <c r="G12" s="1037"/>
      <c r="H12" s="960"/>
      <c r="I12" s="958"/>
      <c r="J12" s="684" t="s">
        <v>66</v>
      </c>
      <c r="K12" s="1352" t="s">
        <v>17</v>
      </c>
      <c r="L12" s="2229"/>
      <c r="M12" s="675"/>
      <c r="N12" s="675"/>
      <c r="O12" s="675"/>
      <c r="P12" s="680" t="s">
        <v>394</v>
      </c>
      <c r="Q12" s="680" t="s">
        <v>395</v>
      </c>
      <c r="R12" s="681" t="s">
        <v>396</v>
      </c>
      <c r="S12" s="675" t="s">
        <v>397</v>
      </c>
      <c r="T12" s="675"/>
      <c r="U12" s="675"/>
      <c r="V12" s="675"/>
    </row>
    <row customHeight="1" ht="15">
      <c r="A13" s="2061"/>
      <c r="B13" s="669"/>
      <c r="D13" s="670"/>
      <c r="E13" s="568"/>
      <c r="F13" s="693"/>
      <c r="G13" s="579" t="s">
        <v>111</v>
      </c>
      <c r="H13" s="567"/>
      <c r="I13" s="567"/>
      <c r="J13" s="567"/>
      <c r="K13" s="566"/>
      <c r="L13" s="2202"/>
      <c r="M13" s="673"/>
      <c r="N13" s="669"/>
      <c r="O13" s="669"/>
      <c r="P13" s="669"/>
      <c r="Q13" s="669"/>
      <c r="R13" s="669"/>
      <c r="S13" s="669"/>
      <c r="T13" s="669"/>
      <c r="U13" s="669"/>
      <c r="V13" s="669"/>
    </row>
    <row customHeight="1" ht="11.25">
      <c r="A14" s="643"/>
      <c r="B14" s="644"/>
      <c r="C14" s="644"/>
      <c r="D14" s="659"/>
      <c r="E14" s="644"/>
      <c r="F14" s="644"/>
      <c r="G14" s="644"/>
      <c r="H14" s="644"/>
      <c r="I14" s="644"/>
      <c r="J14" s="644"/>
      <c r="K14" s="644"/>
      <c r="L14" s="644"/>
      <c r="M14" s="644"/>
      <c r="N14" s="644"/>
      <c r="O14" s="644"/>
      <c r="P14" s="644"/>
      <c r="Q14" s="644"/>
      <c r="R14" s="644"/>
      <c r="S14" s="644"/>
      <c r="T14" s="644"/>
      <c r="U14" s="644"/>
      <c r="V14" s="644"/>
    </row>
    <row customHeight="1" ht="14.25">
      <c r="D15" s="630"/>
      <c r="E15" s="484"/>
      <c r="F15" s="484"/>
      <c r="G15" s="828"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630"/>
      <c r="I15" s="630"/>
      <c r="J15" s="630"/>
      <c r="K15" s="630"/>
      <c r="L15" s="630"/>
    </row>
    <row r="18" customHeight="1" ht="14.25">
      <c r="G18" s="669"/>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2089CA1-DFEA-1DE3-103F-4E0BA63389A5}"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5902" width="43.140625"/>
    <col min="4" max="5" style="5902" width="36.421875" customWidth="1"/>
    <col min="6" max="8" style="5903" width="36.421875" customWidth="1"/>
  </cols>
  <sheetData>
    <row customHeight="1" ht="9">
      <c r="A1" s="1019" t="s">
        <v>398</v>
      </c>
      <c r="B1" s="1019"/>
      <c r="C1" s="1165" t="s">
        <v>399</v>
      </c>
      <c r="D1" s="1163" t="s">
        <v>400</v>
      </c>
      <c r="E1" s="1163" t="s">
        <v>401</v>
      </c>
      <c r="F1" s="1163" t="s">
        <v>402</v>
      </c>
      <c r="G1" s="1163" t="s">
        <v>403</v>
      </c>
      <c r="H1" s="1163" t="s">
        <v>404</v>
      </c>
    </row>
    <row customHeight="1" ht="9">
      <c r="A2" s="1166" t="s">
        <v>405</v>
      </c>
      <c r="B2" s="1166"/>
      <c r="C2" s="1167" t="str">
        <f>INDEX(TEMPLATE_NUMBER_FORM_LIST,MATCH(TEMPLATE_SPHERE,TEMPLATE_SPHERE_LIST,0))</f>
        <v>10</v>
      </c>
      <c r="D2" s="1166" t="s">
        <v>406</v>
      </c>
      <c r="E2" s="1166" t="s">
        <v>158</v>
      </c>
      <c r="F2" s="1168" t="s">
        <v>158</v>
      </c>
      <c r="G2" s="1166" t="s">
        <v>158</v>
      </c>
      <c r="H2" s="1169"/>
    </row>
    <row customHeight="1" ht="63">
      <c r="A3" s="1019"/>
      <c r="B3" s="1019" t="s">
        <v>118</v>
      </c>
      <c r="C3" s="1167"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1167" t="s">
        <v>407</v>
      </c>
      <c r="E3" s="1167"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1168"/>
      <c r="G3" s="1169"/>
      <c r="H3" s="1019"/>
    </row>
    <row customHeight="1" ht="54">
      <c r="A4" s="1019" t="s">
        <v>408</v>
      </c>
      <c r="B4" s="1019" t="s">
        <v>102</v>
      </c>
      <c r="C4" s="1167" t="str">
        <f>IF(TEMPLATE_SPHERE="HEAT",D4,IF(TEMPLATE_SPHERE="TKO",H4,E4))</f>
        <v>Форма 1. Информация о регулируемой организации, осуществляющей водоотведение
(далее – регулируемая организация) (общая информация)</v>
      </c>
      <c r="D4" s="1166" t="s">
        <v>409</v>
      </c>
      <c r="E4" s="1167"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водоотведение
(далее – регулируемая организация) (общая информация)</v>
      </c>
      <c r="F4" s="1166"/>
      <c r="G4" s="1166"/>
      <c r="H4" s="1019" t="s">
        <v>410</v>
      </c>
    </row>
    <row customHeight="1" ht="171">
      <c r="A5" s="1019" t="s">
        <v>411</v>
      </c>
      <c r="B5" s="1019" t="s">
        <v>89</v>
      </c>
      <c r="C5" s="1167"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1019" t="s">
        <v>412</v>
      </c>
      <c r="E5" s="1022"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1169"/>
      <c r="G5" s="1169"/>
      <c r="H5" s="1019" t="s">
        <v>413</v>
      </c>
    </row>
    <row customHeight="1" ht="90">
      <c r="A6" s="1019" t="s">
        <v>414</v>
      </c>
      <c r="B6" s="1019" t="s">
        <v>90</v>
      </c>
      <c r="C6" s="1167"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D6" s="1019" t="s">
        <v>415</v>
      </c>
      <c r="E6" s="1022"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6" s="1019"/>
      <c r="G6" s="1019"/>
      <c r="H6" s="1169"/>
    </row>
    <row customHeight="1" ht="45">
      <c r="A7" s="1019" t="s">
        <v>416</v>
      </c>
      <c r="B7" s="1019" t="s">
        <v>119</v>
      </c>
      <c r="C7" s="1167"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1019" t="s">
        <v>417</v>
      </c>
      <c r="E7" s="1019" t="s">
        <v>418</v>
      </c>
      <c r="F7" s="1169"/>
      <c r="G7" s="1169"/>
      <c r="H7" s="1169"/>
    </row>
    <row customHeight="1" ht="108">
      <c r="A8" s="1019" t="s">
        <v>419</v>
      </c>
      <c r="B8" s="1019" t="s">
        <v>91</v>
      </c>
      <c r="C8" s="1167"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1019" t="s">
        <v>420</v>
      </c>
      <c r="E8" s="1019" t="s">
        <v>421</v>
      </c>
      <c r="F8" s="1169"/>
      <c r="G8" s="1169"/>
      <c r="H8" s="1169"/>
    </row>
    <row customHeight="1" ht="99">
      <c r="A9" s="1019" t="s">
        <v>422</v>
      </c>
      <c r="B9" s="1019"/>
      <c r="C9" s="1019" t="s">
        <v>423</v>
      </c>
      <c r="D9" s="1019"/>
      <c r="E9" s="1019"/>
      <c r="F9" s="1169"/>
      <c r="G9" s="1169"/>
      <c r="H9" s="1169"/>
    </row>
    <row customHeight="1" ht="117">
      <c r="A10" s="1019" t="s">
        <v>424</v>
      </c>
      <c r="B10" s="1019"/>
      <c r="C10" s="1019" t="s">
        <v>425</v>
      </c>
      <c r="D10" s="1019"/>
      <c r="E10" s="1019"/>
      <c r="F10" s="1169"/>
      <c r="G10" s="1169"/>
      <c r="H10" s="1169"/>
    </row>
    <row customHeight="1" ht="108">
      <c r="A11" s="1019" t="s">
        <v>426</v>
      </c>
      <c r="B11" s="1019"/>
      <c r="C11" s="1019" t="s">
        <v>427</v>
      </c>
      <c r="D11" s="1019"/>
      <c r="E11" s="1019"/>
      <c r="F11" s="1169"/>
      <c r="G11" s="1169"/>
      <c r="H11" s="1169"/>
    </row>
    <row customHeight="1" ht="54">
      <c r="A12" s="1019" t="s">
        <v>428</v>
      </c>
      <c r="B12" s="1019"/>
      <c r="C12" s="1019" t="s">
        <v>429</v>
      </c>
      <c r="D12" s="1019"/>
      <c r="E12" s="1019"/>
      <c r="F12" s="1169"/>
      <c r="G12" s="1169"/>
      <c r="H12" s="1169"/>
    </row>
    <row customHeight="1" ht="99">
      <c r="A13" s="1019" t="s">
        <v>430</v>
      </c>
      <c r="B13" s="1019"/>
      <c r="C13" s="1019" t="s">
        <v>431</v>
      </c>
      <c r="D13" s="1019"/>
      <c r="E13" s="1019"/>
      <c r="F13" s="1169"/>
      <c r="G13" s="1169"/>
      <c r="H13" s="1169"/>
    </row>
    <row customHeight="1" ht="99">
      <c r="A14" s="1019" t="s">
        <v>432</v>
      </c>
      <c r="B14" s="1019"/>
      <c r="C14" s="1019" t="s">
        <v>433</v>
      </c>
      <c r="D14" s="1019"/>
      <c r="E14" s="1019"/>
      <c r="F14" s="1169"/>
      <c r="G14" s="1169"/>
      <c r="H14" s="1169"/>
    </row>
    <row customHeight="1" ht="117">
      <c r="A15" s="1019" t="s">
        <v>434</v>
      </c>
      <c r="B15" s="1019"/>
      <c r="C15" s="1019" t="s">
        <v>435</v>
      </c>
      <c r="D15" s="1019"/>
      <c r="E15" s="1019"/>
      <c r="F15" s="1169"/>
      <c r="G15" s="1169"/>
      <c r="H15" s="1169"/>
    </row>
    <row customHeight="1" ht="54">
      <c r="A16" s="1019" t="s">
        <v>436</v>
      </c>
      <c r="B16" s="1019"/>
      <c r="C16" s="1019" t="s">
        <v>437</v>
      </c>
      <c r="D16" s="1019"/>
      <c r="E16" s="1019"/>
      <c r="F16" s="1169"/>
      <c r="G16" s="1169"/>
      <c r="H16" s="1169"/>
    </row>
    <row customHeight="1" ht="63">
      <c r="A17" s="1019" t="s">
        <v>438</v>
      </c>
      <c r="B17" s="1019"/>
      <c r="C17" s="1167" t="s">
        <v>439</v>
      </c>
      <c r="D17" s="1019"/>
      <c r="E17" s="1019"/>
      <c r="F17" s="1169"/>
      <c r="G17" s="1169"/>
      <c r="H17" s="1169"/>
    </row>
    <row customHeight="1" ht="27">
      <c r="A18" s="1019" t="s">
        <v>440</v>
      </c>
      <c r="B18" s="1019"/>
      <c r="C18" s="1167" t="s">
        <v>441</v>
      </c>
      <c r="D18" s="1019"/>
      <c r="E18" s="1019"/>
      <c r="F18" s="1169"/>
      <c r="G18" s="1169"/>
      <c r="H18" s="1169"/>
    </row>
    <row customHeight="1" ht="54">
      <c r="A19" s="1019" t="s">
        <v>442</v>
      </c>
      <c r="B19" s="1019"/>
      <c r="C19" s="1167" t="s">
        <v>443</v>
      </c>
      <c r="D19" s="1019"/>
      <c r="E19" s="1019"/>
      <c r="F19" s="1169"/>
      <c r="G19" s="1169"/>
      <c r="H19" s="1169"/>
    </row>
    <row customHeight="1" ht="36">
      <c r="A20" s="1019" t="s">
        <v>444</v>
      </c>
      <c r="B20" s="1019"/>
      <c r="C20" s="1167" t="s">
        <v>445</v>
      </c>
      <c r="D20" s="1019"/>
      <c r="E20" s="1019"/>
      <c r="F20" s="1169"/>
      <c r="G20" s="1169"/>
      <c r="H20" s="1169"/>
    </row>
    <row customHeight="1" ht="28.5">
      <c r="A21" s="1019" t="s">
        <v>446</v>
      </c>
      <c r="B21" s="1019"/>
      <c r="C21" s="1167" t="s">
        <v>447</v>
      </c>
      <c r="D21" s="1019"/>
      <c r="E21" s="1019"/>
      <c r="F21" s="1169"/>
      <c r="G21" s="1169"/>
      <c r="H21" s="1169"/>
    </row>
    <row customHeight="1" ht="28.5">
      <c r="A22" s="1019" t="s">
        <v>448</v>
      </c>
      <c r="B22" s="1019"/>
      <c r="C22" s="1167" t="s">
        <v>449</v>
      </c>
      <c r="D22" s="1019"/>
      <c r="E22" s="1019"/>
      <c r="F22" s="1169"/>
      <c r="G22" s="1169"/>
      <c r="H22" s="1169"/>
    </row>
    <row customHeight="1" ht="28.5">
      <c r="A23" s="1019" t="s">
        <v>450</v>
      </c>
      <c r="B23" s="1019"/>
      <c r="C23" s="1167" t="s">
        <v>451</v>
      </c>
      <c r="D23" s="1019"/>
      <c r="E23" s="1019"/>
      <c r="F23" s="1169"/>
      <c r="G23" s="1169"/>
      <c r="H23" s="1169"/>
    </row>
    <row customHeight="1" ht="28.5">
      <c r="A24" s="1019" t="s">
        <v>452</v>
      </c>
      <c r="B24" s="1019"/>
      <c r="C24" s="1167" t="s">
        <v>453</v>
      </c>
      <c r="D24" s="1019"/>
      <c r="E24" s="1019"/>
      <c r="F24" s="1169"/>
      <c r="G24" s="1169"/>
      <c r="H24" s="1169"/>
    </row>
    <row customHeight="1" ht="28.5">
      <c r="A25" s="1019" t="s">
        <v>454</v>
      </c>
      <c r="B25" s="1019"/>
      <c r="C25" s="1167" t="s">
        <v>455</v>
      </c>
      <c r="D25" s="1019"/>
      <c r="E25" s="1019"/>
      <c r="F25" s="1169"/>
      <c r="G25" s="1169"/>
      <c r="H25" s="1169"/>
    </row>
    <row customHeight="1" ht="28.5">
      <c r="A26" s="1019" t="s">
        <v>456</v>
      </c>
      <c r="B26" s="1019"/>
      <c r="C26" s="1167" t="s">
        <v>457</v>
      </c>
      <c r="D26" s="1019"/>
      <c r="E26" s="1019"/>
      <c r="F26" s="1169"/>
      <c r="G26" s="1169"/>
      <c r="H26" s="1169"/>
    </row>
    <row customHeight="1" ht="28.5">
      <c r="A27" s="1019" t="s">
        <v>458</v>
      </c>
      <c r="B27" s="1019"/>
      <c r="C27" s="1167" t="s">
        <v>459</v>
      </c>
      <c r="D27" s="1019"/>
      <c r="E27" s="1019"/>
      <c r="F27" s="1169"/>
      <c r="G27" s="1169"/>
      <c r="H27" s="1169"/>
    </row>
    <row customHeight="1" ht="28.5">
      <c r="A28" s="1019" t="s">
        <v>460</v>
      </c>
      <c r="B28" s="1019"/>
      <c r="C28" s="1167" t="s">
        <v>461</v>
      </c>
      <c r="D28" s="1019"/>
      <c r="E28" s="1019"/>
      <c r="F28" s="1169"/>
      <c r="G28" s="1169"/>
      <c r="H28" s="1169"/>
    </row>
    <row customHeight="1" ht="126">
      <c r="A29" s="1019" t="s">
        <v>462</v>
      </c>
      <c r="B29" s="1019" t="s">
        <v>463</v>
      </c>
      <c r="C29" s="1167" t="str">
        <f>IF(TEMPLATE_SPHERE="HEAT",D29,IF(TEMPLATE_SPHERE="TKO",H29,E29))</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D29" s="1019" t="s">
        <v>464</v>
      </c>
      <c r="E29" s="1022"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F29" s="1169"/>
      <c r="G29" s="1169"/>
      <c r="H29" s="1019" t="s">
        <v>465</v>
      </c>
    </row>
    <row customHeight="1" ht="36">
      <c r="A30" s="1019" t="s">
        <v>466</v>
      </c>
      <c r="B30" s="1019"/>
      <c r="C30" s="1167"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D30" s="1019" t="s">
        <v>467</v>
      </c>
      <c r="E30" s="1022"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F30" s="1169"/>
      <c r="G30" s="1169"/>
      <c r="H30" s="1169"/>
    </row>
    <row customHeight="1" ht="9">
      <c r="A31" s="1019"/>
      <c r="B31" s="1019"/>
      <c r="C31" s="1167"/>
      <c r="D31" s="1019"/>
      <c r="E31" s="1019"/>
      <c r="F31" s="1169"/>
      <c r="G31" s="1169"/>
      <c r="H31" s="1169"/>
    </row>
    <row customHeight="1" ht="9">
      <c r="A32" s="1019"/>
      <c r="B32" s="1019"/>
      <c r="C32" s="1167"/>
      <c r="D32" s="1019"/>
      <c r="E32" s="1019"/>
      <c r="F32" s="1169"/>
      <c r="G32" s="1169"/>
      <c r="H32" s="1169"/>
    </row>
    <row customHeight="1" ht="9">
      <c r="A33" s="1019"/>
      <c r="B33" s="1019"/>
      <c r="C33" s="1167"/>
      <c r="D33" s="1019"/>
      <c r="E33" s="1019"/>
      <c r="F33" s="1169"/>
      <c r="G33" s="1169"/>
      <c r="H33" s="1169"/>
    </row>
    <row customHeight="1" ht="9">
      <c r="A34" s="1019"/>
      <c r="B34" s="1019" t="s">
        <v>468</v>
      </c>
      <c r="C34" s="1167">
        <f>INDEX(TEMPLATE_NAME_FORM_LIST,B34,MATCH(TEMPLATE_SPHERE,TEMPLATE_SPHERE_LIST,0))</f>
        <v>0</v>
      </c>
      <c r="D34" s="1019"/>
      <c r="E34" s="1019"/>
      <c r="F34" s="1169"/>
      <c r="G34" s="1169"/>
      <c r="H34" s="116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540FA087-0A37-79D5-905C-F2A7F645052E}"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5902" width="9.140625"/>
    <col min="3" max="7" style="5946" width="8.00390625" customWidth="1"/>
    <col min="8" max="12" style="5946" width="8.57421875" customWidth="1"/>
    <col min="13" max="14" style="5946" width="27.7109375" customWidth="1"/>
    <col min="15" max="19" style="5946" width="5.140625" customWidth="1"/>
    <col min="20" max="24" style="5946" width="27.7109375" customWidth="1"/>
    <col min="25" max="25" style="5947" width="1.8515625" customWidth="1"/>
    <col min="26" max="26" style="5902" width="27.7109375" customWidth="1"/>
    <col min="27" max="27" style="5948" width="27.7109375" customWidth="1"/>
    <col min="28" max="29" style="5902" width="27.7109375" customWidth="1"/>
    <col min="30" max="30" style="5902" width="3.8515625" customWidth="1"/>
    <col min="31" max="34" style="5902" width="9.140625"/>
  </cols>
  <sheetData>
    <row s="5904" customFormat="1" customHeight="1" ht="18">
      <c r="A1" s="1077"/>
      <c r="B1" s="1077"/>
      <c r="C1" s="1077" t="s">
        <v>469</v>
      </c>
      <c r="D1" s="1077"/>
      <c r="E1" s="1077"/>
      <c r="F1" s="1077"/>
      <c r="G1" s="1077"/>
      <c r="H1" s="1077" t="s">
        <v>470</v>
      </c>
      <c r="I1" s="1077"/>
      <c r="J1" s="1077"/>
      <c r="K1" s="1077"/>
      <c r="L1" s="1077"/>
      <c r="M1" s="1077" t="s">
        <v>471</v>
      </c>
      <c r="N1" s="1077" t="s">
        <v>472</v>
      </c>
      <c r="O1" s="2230" t="s">
        <v>473</v>
      </c>
      <c r="P1" s="2230"/>
      <c r="Q1" s="2230"/>
      <c r="R1" s="2230"/>
      <c r="S1" s="2230"/>
      <c r="T1" s="2230" t="s">
        <v>471</v>
      </c>
      <c r="U1" s="2230"/>
      <c r="V1" s="2230"/>
      <c r="W1" s="2230"/>
      <c r="X1" s="2230"/>
      <c r="Y1" s="1182"/>
      <c r="Z1" s="2230" t="s">
        <v>474</v>
      </c>
      <c r="AA1" s="2230"/>
      <c r="AB1" s="2230"/>
      <c r="AC1" s="2230"/>
      <c r="AD1" s="2230"/>
    </row>
    <row customHeight="1" ht="18">
      <c r="A2" s="1019"/>
      <c r="B2" s="1019"/>
      <c r="C2" s="1014" t="s">
        <v>400</v>
      </c>
      <c r="D2" s="1014" t="s">
        <v>401</v>
      </c>
      <c r="E2" s="1014" t="s">
        <v>402</v>
      </c>
      <c r="F2" s="1014" t="s">
        <v>403</v>
      </c>
      <c r="G2" s="1014" t="s">
        <v>404</v>
      </c>
      <c r="H2" s="1016"/>
      <c r="I2" s="1016"/>
      <c r="J2" s="1016"/>
      <c r="K2" s="1016"/>
      <c r="L2" s="1016"/>
      <c r="M2" s="1016"/>
      <c r="N2" s="1016"/>
      <c r="O2" s="1014" t="s">
        <v>400</v>
      </c>
      <c r="P2" s="1014" t="s">
        <v>401</v>
      </c>
      <c r="Q2" s="1014" t="s">
        <v>403</v>
      </c>
      <c r="R2" s="1014" t="s">
        <v>402</v>
      </c>
      <c r="S2" s="1014" t="s">
        <v>404</v>
      </c>
      <c r="T2" s="1014" t="s">
        <v>400</v>
      </c>
      <c r="U2" s="1014" t="s">
        <v>401</v>
      </c>
      <c r="V2" s="1014" t="s">
        <v>403</v>
      </c>
      <c r="W2" s="1014" t="s">
        <v>402</v>
      </c>
      <c r="X2" s="1014" t="s">
        <v>404</v>
      </c>
      <c r="Y2" s="1014"/>
      <c r="Z2" s="1014" t="s">
        <v>400</v>
      </c>
      <c r="AA2" s="1023" t="s">
        <v>401</v>
      </c>
      <c r="AB2" s="1014" t="s">
        <v>403</v>
      </c>
      <c r="AC2" s="1014" t="s">
        <v>402</v>
      </c>
      <c r="AD2" s="1014" t="s">
        <v>404</v>
      </c>
    </row>
    <row customHeight="1" ht="162">
      <c r="A3" s="1018" t="s">
        <v>22</v>
      </c>
      <c r="B3" s="1018"/>
      <c r="C3" s="2234" t="s">
        <v>475</v>
      </c>
      <c r="D3" s="2235"/>
      <c r="E3" s="2235"/>
      <c r="F3" s="2236"/>
      <c r="G3" s="1016"/>
      <c r="H3" s="1016"/>
      <c r="I3" s="1016"/>
      <c r="J3" s="1016"/>
      <c r="K3" s="1016"/>
      <c r="L3" s="1016"/>
      <c r="M3" s="1016"/>
      <c r="N3" s="1017"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1016"/>
      <c r="P3" s="1016"/>
      <c r="Q3" s="1016"/>
      <c r="R3" s="1016"/>
      <c r="S3" s="1016"/>
      <c r="T3" s="1016"/>
      <c r="U3" s="1016"/>
      <c r="V3" s="1016"/>
      <c r="W3" s="1016"/>
      <c r="X3" s="1016"/>
      <c r="Y3" s="1183"/>
      <c r="Z3" s="1019" t="s">
        <v>476</v>
      </c>
      <c r="AA3" s="1016" t="s">
        <v>477</v>
      </c>
      <c r="AB3" s="1019" t="s">
        <v>478</v>
      </c>
      <c r="AC3" s="1019" t="s">
        <v>479</v>
      </c>
      <c r="AD3" s="1019"/>
      <c r="AG3" s="1019"/>
      <c r="AH3" s="1019"/>
    </row>
    <row customHeight="1" ht="9">
      <c r="A4" s="1018"/>
      <c r="B4" s="1018"/>
      <c r="C4" s="1016"/>
      <c r="D4" s="1016"/>
      <c r="E4" s="1016"/>
      <c r="F4" s="1016"/>
      <c r="G4" s="1016"/>
      <c r="H4" s="1016"/>
      <c r="I4" s="1016"/>
      <c r="J4" s="1016"/>
      <c r="K4" s="1016"/>
      <c r="L4" s="1016"/>
      <c r="M4" s="1016"/>
      <c r="N4" s="1016"/>
      <c r="O4" s="1016"/>
      <c r="P4" s="1016"/>
      <c r="Q4" s="1016"/>
      <c r="R4" s="1016"/>
      <c r="S4" s="1016"/>
      <c r="T4" s="1016"/>
      <c r="U4" s="1016"/>
      <c r="V4" s="1016"/>
      <c r="W4" s="1016"/>
      <c r="X4" s="1016"/>
      <c r="Y4" s="1183"/>
      <c r="Z4" s="1019"/>
      <c r="AA4" s="1022"/>
      <c r="AB4" s="1019"/>
      <c r="AC4" s="1019"/>
      <c r="AD4" s="1019"/>
    </row>
    <row customHeight="1" ht="9">
      <c r="A5" s="1018"/>
      <c r="B5" s="1018"/>
      <c r="C5" s="1016"/>
      <c r="D5" s="1016"/>
      <c r="E5" s="1016"/>
      <c r="F5" s="1016"/>
      <c r="G5" s="1016"/>
      <c r="H5" s="1016"/>
      <c r="I5" s="1016"/>
      <c r="J5" s="1016"/>
      <c r="K5" s="1016"/>
      <c r="L5" s="1016"/>
      <c r="M5" s="1016"/>
      <c r="N5" s="1016"/>
      <c r="O5" s="1016"/>
      <c r="P5" s="1016"/>
      <c r="Q5" s="1016"/>
      <c r="R5" s="1016"/>
      <c r="S5" s="1016"/>
      <c r="T5" s="1016"/>
      <c r="U5" s="1016"/>
      <c r="V5" s="1016"/>
      <c r="W5" s="1016"/>
      <c r="X5" s="1016"/>
      <c r="Y5" s="1183"/>
      <c r="Z5" s="1019"/>
      <c r="AA5" s="1022"/>
      <c r="AB5" s="1019"/>
      <c r="AC5" s="1019"/>
      <c r="AD5" s="1019"/>
    </row>
    <row customHeight="1" ht="9">
      <c r="A6" s="1018"/>
      <c r="B6" s="1018"/>
      <c r="C6" s="1016"/>
      <c r="D6" s="1016"/>
      <c r="E6" s="1016"/>
      <c r="F6" s="1016"/>
      <c r="G6" s="1016"/>
      <c r="H6" s="1016"/>
      <c r="I6" s="1016"/>
      <c r="J6" s="1016"/>
      <c r="K6" s="1016"/>
      <c r="L6" s="1016"/>
      <c r="M6" s="1016"/>
      <c r="N6" s="1016"/>
      <c r="O6" s="1016"/>
      <c r="P6" s="1016"/>
      <c r="Q6" s="1016"/>
      <c r="R6" s="1016"/>
      <c r="S6" s="1016"/>
      <c r="T6" s="1016"/>
      <c r="U6" s="1016"/>
      <c r="V6" s="1016"/>
      <c r="W6" s="1016"/>
      <c r="X6" s="1016"/>
      <c r="Y6" s="1183"/>
      <c r="Z6" s="1019"/>
      <c r="AA6" s="1022"/>
      <c r="AB6" s="1019"/>
      <c r="AC6" s="1019"/>
      <c r="AD6" s="1019"/>
    </row>
    <row customHeight="1" ht="9">
      <c r="A7" s="1018"/>
      <c r="B7" s="1018"/>
      <c r="C7" s="1016"/>
      <c r="D7" s="1016"/>
      <c r="E7" s="1016"/>
      <c r="F7" s="1016"/>
      <c r="G7" s="1016"/>
      <c r="H7" s="1016"/>
      <c r="I7" s="1016"/>
      <c r="J7" s="1016"/>
      <c r="K7" s="1016"/>
      <c r="L7" s="1016"/>
      <c r="M7" s="1016"/>
      <c r="N7" s="1016"/>
      <c r="O7" s="1016"/>
      <c r="P7" s="1016"/>
      <c r="Q7" s="1016"/>
      <c r="R7" s="1016"/>
      <c r="S7" s="1016"/>
      <c r="T7" s="1016"/>
      <c r="U7" s="1016"/>
      <c r="V7" s="1016"/>
      <c r="W7" s="1016"/>
      <c r="X7" s="1016"/>
      <c r="Y7" s="1183"/>
      <c r="Z7" s="1019"/>
      <c r="AA7" s="1022"/>
      <c r="AB7" s="1019"/>
      <c r="AC7" s="1019"/>
      <c r="AD7" s="1019"/>
    </row>
    <row customHeight="1" ht="9">
      <c r="A8" s="1018"/>
      <c r="B8" s="1018"/>
      <c r="C8" s="1016"/>
      <c r="D8" s="1016"/>
      <c r="E8" s="1016"/>
      <c r="F8" s="1016"/>
      <c r="G8" s="1016"/>
      <c r="H8" s="1016"/>
      <c r="I8" s="1016"/>
      <c r="J8" s="1016"/>
      <c r="K8" s="1016"/>
      <c r="L8" s="1016"/>
      <c r="M8" s="1016"/>
      <c r="N8" s="1016"/>
      <c r="O8" s="1016"/>
      <c r="P8" s="1016"/>
      <c r="Q8" s="1016"/>
      <c r="R8" s="1016"/>
      <c r="S8" s="1016"/>
      <c r="T8" s="1016"/>
      <c r="U8" s="1016"/>
      <c r="V8" s="1016"/>
      <c r="W8" s="1016"/>
      <c r="X8" s="1016"/>
      <c r="Y8" s="1183"/>
      <c r="Z8" s="1019"/>
      <c r="AA8" s="1022"/>
      <c r="AB8" s="1019"/>
      <c r="AC8" s="1019"/>
      <c r="AD8" s="1019"/>
    </row>
    <row customHeight="1" ht="9">
      <c r="A9" s="1018"/>
      <c r="B9" s="1018"/>
      <c r="C9" s="1016"/>
      <c r="D9" s="1016"/>
      <c r="E9" s="1016"/>
      <c r="F9" s="1016"/>
      <c r="G9" s="1016"/>
      <c r="H9" s="1016"/>
      <c r="I9" s="1016"/>
      <c r="J9" s="1016"/>
      <c r="K9" s="1016"/>
      <c r="L9" s="1016"/>
      <c r="M9" s="1016"/>
      <c r="N9" s="1016"/>
      <c r="O9" s="1016"/>
      <c r="P9" s="1016"/>
      <c r="Q9" s="1016"/>
      <c r="R9" s="1016"/>
      <c r="S9" s="1016"/>
      <c r="T9" s="1016"/>
      <c r="U9" s="1016"/>
      <c r="V9" s="1016"/>
      <c r="W9" s="1016"/>
      <c r="X9" s="1016"/>
      <c r="Y9" s="1183"/>
      <c r="Z9" s="1019"/>
      <c r="AA9" s="1022"/>
      <c r="AB9" s="1019"/>
      <c r="AC9" s="1019"/>
      <c r="AD9" s="1019"/>
    </row>
    <row customHeight="1" ht="9">
      <c r="A10" s="1078"/>
      <c r="B10" s="1078"/>
      <c r="C10" s="1078"/>
      <c r="D10" s="1078"/>
      <c r="E10" s="1078"/>
      <c r="F10" s="1078"/>
      <c r="G10" s="1078"/>
      <c r="H10" s="1078"/>
      <c r="I10" s="1078"/>
      <c r="J10" s="1078"/>
      <c r="K10" s="1078"/>
      <c r="L10" s="1078"/>
      <c r="M10" s="1078"/>
      <c r="N10" s="1078"/>
      <c r="O10" s="1078"/>
      <c r="P10" s="1078"/>
      <c r="Q10" s="1078"/>
      <c r="R10" s="1078"/>
      <c r="S10" s="1078"/>
      <c r="T10" s="1078"/>
      <c r="U10" s="1078"/>
      <c r="V10" s="1078"/>
      <c r="W10" s="1078"/>
      <c r="X10" s="1078"/>
      <c r="Y10" s="1078"/>
      <c r="Z10" s="1078"/>
      <c r="AA10" s="1078"/>
      <c r="AB10" s="1078"/>
      <c r="AC10" s="1078"/>
      <c r="AD10" s="1078"/>
    </row>
    <row customHeight="1" ht="45">
      <c r="A11" s="2231" t="s">
        <v>28</v>
      </c>
      <c r="B11" s="1078">
        <v>1</v>
      </c>
      <c r="C11" s="2237" t="s">
        <v>480</v>
      </c>
      <c r="D11" s="2237" t="s">
        <v>481</v>
      </c>
      <c r="E11" s="2237" t="s">
        <v>482</v>
      </c>
      <c r="F11" s="2237" t="s">
        <v>104</v>
      </c>
      <c r="G11" s="2237"/>
      <c r="H11" s="1077" t="s">
        <v>483</v>
      </c>
      <c r="I11" s="1077"/>
      <c r="J11" s="1077"/>
      <c r="K11" s="1077"/>
      <c r="L11" s="1077"/>
      <c r="M11" s="1017" t="str">
        <f>IF(TEMPLATE_SPHERE="HEAT",T11,U11)</f>
        <v>Количество поданных заявлений </v>
      </c>
      <c r="N11" s="1017"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1016"/>
      <c r="P11" s="1016"/>
      <c r="Q11" s="1016"/>
      <c r="R11" s="1016"/>
      <c r="S11" s="1016"/>
      <c r="T11" s="1016" t="s">
        <v>484</v>
      </c>
      <c r="U11" s="1016" t="s">
        <v>485</v>
      </c>
      <c r="V11" s="1016"/>
      <c r="W11" s="1016"/>
      <c r="X11" s="1016"/>
      <c r="Y11" s="1183"/>
      <c r="Z11" s="1019" t="s">
        <v>486</v>
      </c>
      <c r="AA11" s="1022"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1019"/>
      <c r="AC11" s="1019"/>
      <c r="AD11" s="1019"/>
    </row>
    <row customHeight="1" ht="45">
      <c r="A12" s="2231"/>
      <c r="B12" s="1078">
        <v>2</v>
      </c>
      <c r="C12" s="2238"/>
      <c r="D12" s="2238"/>
      <c r="E12" s="2238"/>
      <c r="F12" s="2238"/>
      <c r="G12" s="2238"/>
      <c r="H12" s="1077" t="s">
        <v>487</v>
      </c>
      <c r="I12" s="1077"/>
      <c r="J12" s="1077"/>
      <c r="K12" s="1077"/>
      <c r="L12" s="1077"/>
      <c r="M12" s="1017" t="str">
        <f>IF(TEMPLATE_SPHERE="HEAT",T12,U12)</f>
        <v>Количество исполненных заявлений </v>
      </c>
      <c r="N12" s="1017"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1016"/>
      <c r="P12" s="1016"/>
      <c r="Q12" s="1016"/>
      <c r="R12" s="1016"/>
      <c r="S12" s="1016"/>
      <c r="T12" s="1016" t="s">
        <v>488</v>
      </c>
      <c r="U12" s="1016" t="s">
        <v>489</v>
      </c>
      <c r="V12" s="1016"/>
      <c r="W12" s="1016"/>
      <c r="X12" s="1016"/>
      <c r="Y12" s="1183"/>
      <c r="Z12" s="1019" t="s">
        <v>490</v>
      </c>
      <c r="AA12" s="1022"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1019"/>
      <c r="AC12" s="1019"/>
      <c r="AD12" s="1019"/>
    </row>
    <row customHeight="1" ht="72">
      <c r="A13" s="2231"/>
      <c r="B13" s="1078">
        <v>3</v>
      </c>
      <c r="C13" s="2238"/>
      <c r="D13" s="2238"/>
      <c r="E13" s="2238"/>
      <c r="F13" s="2238"/>
      <c r="G13" s="2238"/>
      <c r="H13" s="2230" t="s">
        <v>491</v>
      </c>
      <c r="I13" s="1077"/>
      <c r="J13" s="1077"/>
      <c r="K13" s="1077"/>
      <c r="L13" s="1077"/>
      <c r="M13" s="1017" t="str">
        <f>IF(TEMPLATE_SPHERE="HEAT",T13,U13)</f>
        <v>Количество заявлений о заключении договоров о подключении (технологическом присоединении)</v>
      </c>
      <c r="N13" s="1017"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1016"/>
      <c r="P13" s="1017"/>
      <c r="Q13" s="1017"/>
      <c r="R13" s="1017"/>
      <c r="S13" s="1016"/>
      <c r="T13" s="1016" t="s">
        <v>492</v>
      </c>
      <c r="U13" s="1017" t="s">
        <v>493</v>
      </c>
      <c r="V13" s="1017"/>
      <c r="W13" s="1017"/>
      <c r="X13" s="1016"/>
      <c r="Y13" s="1183"/>
      <c r="Z13" s="1019" t="s">
        <v>494</v>
      </c>
      <c r="AA13" s="1022"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1019"/>
      <c r="AC13" s="1019"/>
      <c r="AD13" s="1019"/>
    </row>
    <row customHeight="1" ht="45">
      <c r="A14" s="2231"/>
      <c r="B14" s="1078">
        <v>4</v>
      </c>
      <c r="C14" s="2238"/>
      <c r="D14" s="2238"/>
      <c r="E14" s="2238"/>
      <c r="F14" s="2238"/>
      <c r="G14" s="2238"/>
      <c r="H14" s="2230"/>
      <c r="I14" s="1080"/>
      <c r="J14" s="1080"/>
      <c r="K14" s="1080"/>
      <c r="L14" s="1080"/>
      <c r="M14" s="1020" t="str">
        <f>IF(TEMPLATE_SPHERE="HEAT",T14,U14)</f>
        <v>Причины отказа в заключении договора о подключении (технологическом присоединении) к централизованной системе водоотведения</v>
      </c>
      <c r="N14" s="1017"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1016"/>
      <c r="P14" s="1017"/>
      <c r="Q14" s="1017"/>
      <c r="R14" s="1017"/>
      <c r="S14" s="1016"/>
      <c r="T14" s="1016" t="s">
        <v>495</v>
      </c>
      <c r="U14" s="1017"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1017"/>
      <c r="W14" s="1017"/>
      <c r="X14" s="1016"/>
      <c r="Y14" s="1183"/>
      <c r="Z14" s="1019" t="s">
        <v>496</v>
      </c>
      <c r="AA14" s="1022" t="s">
        <v>496</v>
      </c>
      <c r="AB14" s="1019"/>
      <c r="AC14" s="1019"/>
      <c r="AD14" s="1019"/>
    </row>
    <row customHeight="1" ht="108">
      <c r="A15" s="2231"/>
      <c r="B15" s="1078">
        <v>5</v>
      </c>
      <c r="C15" s="2238"/>
      <c r="D15" s="2238"/>
      <c r="E15" s="2238"/>
      <c r="F15" s="2238"/>
      <c r="G15" s="2238"/>
      <c r="H15" s="2232" t="s">
        <v>497</v>
      </c>
      <c r="I15" s="1079"/>
      <c r="J15" s="1079"/>
      <c r="K15" s="1079"/>
      <c r="L15" s="1079"/>
      <c r="M15" s="1022"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1021"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1016"/>
      <c r="P15" s="1017"/>
      <c r="Q15" s="1017"/>
      <c r="R15" s="1017"/>
      <c r="S15" s="1016"/>
      <c r="T15" s="1016" t="s">
        <v>498</v>
      </c>
      <c r="U15" s="1017"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1017"/>
      <c r="W15" s="1017"/>
      <c r="X15" s="1016"/>
      <c r="Y15" s="1183"/>
      <c r="Z15" s="1019" t="s">
        <v>499</v>
      </c>
      <c r="AA15" s="1022"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1019"/>
      <c r="AC15" s="1019"/>
      <c r="AD15" s="1019"/>
    </row>
    <row customHeight="1" ht="108">
      <c r="A16" s="1078"/>
      <c r="B16" s="1078">
        <v>6</v>
      </c>
      <c r="C16" s="2239"/>
      <c r="D16" s="2239"/>
      <c r="E16" s="2239"/>
      <c r="F16" s="2239"/>
      <c r="G16" s="2239"/>
      <c r="H16" s="2233"/>
      <c r="I16" s="1145"/>
      <c r="J16" s="1145"/>
      <c r="K16" s="1145"/>
      <c r="L16" s="1145"/>
      <c r="M16" s="1069"/>
      <c r="N16" s="1021"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1016"/>
      <c r="P16" s="1017"/>
      <c r="Q16" s="1017"/>
      <c r="R16" s="1017"/>
      <c r="S16" s="1016"/>
      <c r="T16" s="1016"/>
      <c r="U16" s="1017"/>
      <c r="V16" s="1017"/>
      <c r="W16" s="1017"/>
      <c r="X16" s="1016"/>
      <c r="Y16" s="1183"/>
      <c r="Z16" s="1019" t="s">
        <v>499</v>
      </c>
      <c r="AA16" s="1022"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1019"/>
      <c r="AC16" s="1019"/>
      <c r="AD16" s="1019"/>
    </row>
    <row customHeight="1" ht="9">
      <c r="A17" s="1078"/>
      <c r="B17" s="1078"/>
      <c r="C17" s="1078">
        <v>22</v>
      </c>
      <c r="D17" s="1078">
        <v>21</v>
      </c>
      <c r="E17" s="1078">
        <v>42</v>
      </c>
      <c r="F17" s="1078">
        <v>63</v>
      </c>
      <c r="G17" s="1078"/>
      <c r="H17" s="1078"/>
      <c r="I17" s="1078"/>
      <c r="J17" s="1078"/>
      <c r="K17" s="1078"/>
      <c r="L17" s="1078"/>
      <c r="M17" s="1078"/>
      <c r="N17" s="1078"/>
      <c r="O17" s="1078"/>
      <c r="P17" s="1078"/>
      <c r="Q17" s="1078"/>
      <c r="R17" s="1078"/>
      <c r="S17" s="1078"/>
      <c r="T17" s="1078"/>
      <c r="U17" s="1078"/>
      <c r="V17" s="1078"/>
      <c r="W17" s="1078"/>
      <c r="X17" s="1078"/>
      <c r="Y17" s="1078"/>
      <c r="Z17" s="1078"/>
      <c r="AA17" s="1078"/>
      <c r="AB17" s="1078"/>
      <c r="AC17" s="1078"/>
      <c r="AD17" s="1078"/>
    </row>
    <row customHeight="1" ht="27">
      <c r="A18" s="1018" t="s">
        <v>500</v>
      </c>
      <c r="B18" s="1078">
        <v>1</v>
      </c>
      <c r="C18" s="1016" t="s">
        <v>483</v>
      </c>
      <c r="D18" s="1150" t="s">
        <v>483</v>
      </c>
      <c r="E18" s="1016" t="s">
        <v>483</v>
      </c>
      <c r="F18" s="1016" t="s">
        <v>483</v>
      </c>
      <c r="G18" s="1016"/>
      <c r="H18" s="1185"/>
      <c r="I18" s="1188">
        <f>INDEX(TEMPLATE_NUMBER_POINT_FHD,B18,MATCH(TEMPLATE_SPHERE,TEMPLATE_SPHERE_LIST_FOR_NOTE,0))</f>
        <v>1</v>
      </c>
      <c r="J18" s="1188" t="str">
        <f>INDEX(TEMPLATE_DATA_POINT_FHD,B18,MATCH(TEMPLATE_SPHERE,TEMPLATE_SPHERE_LIST_FOR_NOTE,0))</f>
        <v>Выручка от регулируемых видов деятельности в сфере водоотведения</v>
      </c>
      <c r="K18" s="1188" t="str">
        <f>INDEX(TEMPLATE_NOTE_POINT_FHD,B18,MATCH(TEMPLATE_SPHERE,TEMPLATE_SPHERE_LIST_FOR_NOTE,0))</f>
        <v>Указывается выручка с распределением по видам деятельности.</v>
      </c>
      <c r="L18" s="1017">
        <f>IF(I18=0,"",I18)</f>
        <v>1</v>
      </c>
      <c r="M18" s="1017" t="str">
        <f>IF(J18=0,"",J18)</f>
        <v>Выручка от регулируемых видов деятельности в сфере водоотведения</v>
      </c>
      <c r="N18" s="1017" t="str">
        <f>IF(K18=0,"",K18)</f>
        <v>Указывается выручка с распределением по видам деятельности.</v>
      </c>
      <c r="O18" s="1140">
        <v>1</v>
      </c>
      <c r="P18" s="1140">
        <v>1</v>
      </c>
      <c r="Q18" s="1140">
        <v>1</v>
      </c>
      <c r="R18" s="1140">
        <v>1</v>
      </c>
      <c r="S18" s="1140"/>
      <c r="T18" s="1147" t="s">
        <v>501</v>
      </c>
      <c r="U18" s="1019" t="s">
        <v>502</v>
      </c>
      <c r="V18" s="1019" t="s">
        <v>503</v>
      </c>
      <c r="W18" s="1019" t="s">
        <v>504</v>
      </c>
      <c r="X18" s="1016"/>
      <c r="Y18" s="1183"/>
      <c r="Z18" s="1019" t="s">
        <v>505</v>
      </c>
      <c r="AA18" s="1022" t="s">
        <v>506</v>
      </c>
      <c r="AB18" s="1022" t="s">
        <v>506</v>
      </c>
      <c r="AC18" s="1022" t="s">
        <v>506</v>
      </c>
      <c r="AD18" s="1019"/>
    </row>
    <row customHeight="1" ht="36">
      <c r="A19" s="1018"/>
      <c r="B19" s="1078">
        <v>2</v>
      </c>
      <c r="C19" s="1016" t="s">
        <v>487</v>
      </c>
      <c r="D19" s="1150" t="s">
        <v>487</v>
      </c>
      <c r="E19" s="1016" t="s">
        <v>487</v>
      </c>
      <c r="F19" s="1016" t="s">
        <v>487</v>
      </c>
      <c r="G19" s="1016"/>
      <c r="H19" s="1185"/>
      <c r="I19" s="1188">
        <f>INDEX(TEMPLATE_NUMBER_POINT_FHD,B19,MATCH(TEMPLATE_SPHERE,TEMPLATE_SPHERE_LIST_FOR_NOTE,0))</f>
        <v>2</v>
      </c>
      <c r="J19" s="1188"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188" t="str">
        <f>INDEX(TEMPLATE_NOTE_POINT_FHD,B19,MATCH(TEMPLATE_SPHERE,TEMPLATE_SPHERE_LIST_FOR_NOTE,0))</f>
        <v>Указывается суммарная себестоимость производимых товаров.</v>
      </c>
      <c r="L19" s="1017">
        <f>IF(I19=0,"",I19)</f>
        <v>2</v>
      </c>
      <c r="M19" s="1017" t="str">
        <f>IF(J19=0,"",J19)</f>
        <v>Себестоимость производимых товаров (оказываемых услуг) по регулируемым видам деятельности в сфере водоотведения, включая:</v>
      </c>
      <c r="N19" s="1017" t="str">
        <f>IF(K19=0,"",K19)</f>
        <v>Указывается суммарная себестоимость производимых товаров.</v>
      </c>
      <c r="O19" s="1140">
        <v>2</v>
      </c>
      <c r="P19" s="1140">
        <v>2</v>
      </c>
      <c r="Q19" s="1140">
        <v>2</v>
      </c>
      <c r="R19" s="1140">
        <v>2</v>
      </c>
      <c r="S19" s="1140"/>
      <c r="T19" s="1147" t="s">
        <v>507</v>
      </c>
      <c r="U19" s="1019" t="s">
        <v>508</v>
      </c>
      <c r="V19" s="1019" t="s">
        <v>509</v>
      </c>
      <c r="W19" s="1019" t="s">
        <v>510</v>
      </c>
      <c r="X19" s="1016"/>
      <c r="Y19" s="1183"/>
      <c r="Z19" s="1019" t="s">
        <v>511</v>
      </c>
      <c r="AA19" s="1022" t="s">
        <v>511</v>
      </c>
      <c r="AB19" s="1022" t="s">
        <v>511</v>
      </c>
      <c r="AC19" s="1022" t="s">
        <v>511</v>
      </c>
      <c r="AD19" s="1019"/>
    </row>
    <row customHeight="1" ht="27">
      <c r="A20" s="1018"/>
      <c r="B20" s="1078">
        <v>3</v>
      </c>
      <c r="C20" s="1016">
        <v>1</v>
      </c>
      <c r="D20" s="1150"/>
      <c r="E20" s="1016"/>
      <c r="F20" s="1016"/>
      <c r="G20" s="1016"/>
      <c r="H20" s="1185"/>
      <c r="I20" s="1188" t="str">
        <f>INDEX(TEMPLATE_NUMBER_POINT_FHD,B20,MATCH(TEMPLATE_SPHERE,TEMPLATE_SPHERE_LIST_FOR_NOTE,0))</f>
        <v>2.1</v>
      </c>
      <c r="J20" s="1188" t="str">
        <f>INDEX(TEMPLATE_DATA_POINT_FHD,B20,MATCH(TEMPLATE_SPHERE,TEMPLATE_SPHERE_LIST_FOR_NOTE,0))</f>
        <v>Расходы на оплату услуг по приему, транспортировке и очистке сточных вод другими организациями</v>
      </c>
      <c r="K20" s="1188">
        <f>INDEX(TEMPLATE_NOTE_POINT_FHD,B20,MATCH(TEMPLATE_SPHERE,TEMPLATE_SPHERE_LIST_FOR_NOTE,0))</f>
        <v>0</v>
      </c>
      <c r="L20" s="1017" t="str">
        <f>IF(I20=0,"",I20)</f>
        <v>2.1</v>
      </c>
      <c r="M20" s="1017" t="str">
        <f>IF(J20=0,"",J20)</f>
        <v>Расходы на оплату услуг по приему, транспортировке и очистке сточных вод другими организациями</v>
      </c>
      <c r="N20" s="1017" t="str">
        <f>IF(K20=0,"",K20)</f>
        <v/>
      </c>
      <c r="O20" s="1140" t="s">
        <v>512</v>
      </c>
      <c r="P20" s="1140" t="s">
        <v>512</v>
      </c>
      <c r="Q20" s="1140" t="s">
        <v>512</v>
      </c>
      <c r="R20" s="1140" t="s">
        <v>512</v>
      </c>
      <c r="S20" s="1140"/>
      <c r="T20" s="1147" t="s">
        <v>513</v>
      </c>
      <c r="U20" s="1019" t="s">
        <v>514</v>
      </c>
      <c r="V20" s="1019" t="s">
        <v>515</v>
      </c>
      <c r="W20" s="1019" t="s">
        <v>516</v>
      </c>
      <c r="X20" s="1016"/>
      <c r="Y20" s="1183"/>
      <c r="Z20" s="1019"/>
      <c r="AA20" s="1022"/>
      <c r="AB20" s="1019"/>
      <c r="AC20" s="1019"/>
      <c r="AD20" s="1019"/>
    </row>
    <row customHeight="1" ht="36">
      <c r="A21" s="1018"/>
      <c r="B21" s="1078">
        <v>4</v>
      </c>
      <c r="C21" s="1016">
        <v>2</v>
      </c>
      <c r="D21" s="1150"/>
      <c r="E21" s="1016"/>
      <c r="F21" s="1016"/>
      <c r="G21" s="1016"/>
      <c r="H21" s="1185"/>
      <c r="I21" s="1188">
        <f>INDEX(TEMPLATE_NUMBER_POINT_FHD,B21,MATCH(TEMPLATE_SPHERE,TEMPLATE_SPHERE_LIST_FOR_NOTE,0))</f>
        <v>0</v>
      </c>
      <c r="J21" s="1188">
        <f>INDEX(TEMPLATE_DATA_POINT_FHD,B21,MATCH(TEMPLATE_SPHERE,TEMPLATE_SPHERE_LIST_FOR_NOTE,0))</f>
        <v>0</v>
      </c>
      <c r="K21" s="1188">
        <f>INDEX(TEMPLATE_NOTE_POINT_FHD,B21,MATCH(TEMPLATE_SPHERE,TEMPLATE_SPHERE_LIST_FOR_NOTE,0))</f>
        <v>0</v>
      </c>
      <c r="L21" s="1017" t="str">
        <f>IF(I21=0,"",I21)</f>
        <v/>
      </c>
      <c r="M21" s="1017" t="str">
        <f>IF(J21=0,"",J21)</f>
        <v/>
      </c>
      <c r="N21" s="1017" t="str">
        <f>IF(K21=0,"",K21)</f>
        <v/>
      </c>
      <c r="O21" s="1140" t="s">
        <v>307</v>
      </c>
      <c r="P21" s="1140"/>
      <c r="Q21" s="1140"/>
      <c r="R21" s="1140"/>
      <c r="S21" s="1140"/>
      <c r="T21" s="1147" t="s">
        <v>517</v>
      </c>
      <c r="U21" s="1019"/>
      <c r="V21" s="1019"/>
      <c r="W21" s="1019"/>
      <c r="X21" s="1016"/>
      <c r="Y21" s="1183"/>
      <c r="Z21" s="1019" t="s">
        <v>518</v>
      </c>
      <c r="AA21" s="1022"/>
      <c r="AB21" s="1019"/>
      <c r="AC21" s="1019"/>
      <c r="AD21" s="1019"/>
    </row>
    <row customHeight="1" ht="36">
      <c r="A22" s="1018"/>
      <c r="B22" s="1078">
        <v>5</v>
      </c>
      <c r="C22" s="1016">
        <v>3</v>
      </c>
      <c r="D22" s="1150"/>
      <c r="E22" s="1016"/>
      <c r="F22" s="1016"/>
      <c r="G22" s="1068"/>
      <c r="H22" s="1141"/>
      <c r="I22" s="1188">
        <f>INDEX(TEMPLATE_NUMBER_POINT_FHD,B22,MATCH(TEMPLATE_SPHERE,TEMPLATE_SPHERE_LIST_FOR_NOTE,0))</f>
        <v>0</v>
      </c>
      <c r="J22" s="1188">
        <f>INDEX(TEMPLATE_DATA_POINT_FHD,B22,MATCH(TEMPLATE_SPHERE,TEMPLATE_SPHERE_LIST_FOR_NOTE,0))</f>
        <v>0</v>
      </c>
      <c r="K22" s="1188">
        <f>INDEX(TEMPLATE_NOTE_POINT_FHD,B22,MATCH(TEMPLATE_SPHERE,TEMPLATE_SPHERE_LIST_FOR_NOTE,0))</f>
        <v>0</v>
      </c>
      <c r="L22" s="1017" t="str">
        <f>IF(I22=0,"",I22)</f>
        <v/>
      </c>
      <c r="M22" s="1017" t="str">
        <f>IF(J22=0,"",J22)</f>
        <v/>
      </c>
      <c r="N22" s="1017" t="str">
        <f>IF(K22=0,"",K22)</f>
        <v/>
      </c>
      <c r="O22" s="1140"/>
      <c r="P22" s="1140"/>
      <c r="Q22" s="1140" t="s">
        <v>307</v>
      </c>
      <c r="R22" s="1140"/>
      <c r="S22" s="1140"/>
      <c r="T22" s="1147"/>
      <c r="U22" s="1019"/>
      <c r="V22" s="1019" t="s">
        <v>519</v>
      </c>
      <c r="W22" s="1019"/>
      <c r="X22" s="1016"/>
      <c r="Y22" s="1183"/>
      <c r="Z22" s="1019"/>
      <c r="AA22" s="1022"/>
      <c r="AB22" s="1019"/>
      <c r="AC22" s="1019"/>
      <c r="AD22" s="1019"/>
    </row>
    <row customHeight="1" ht="27">
      <c r="A23" s="1018"/>
      <c r="B23" s="1078">
        <v>6</v>
      </c>
      <c r="C23" s="1016">
        <v>4</v>
      </c>
      <c r="D23" s="1150"/>
      <c r="E23" s="1016"/>
      <c r="F23" s="1016"/>
      <c r="G23" s="1068"/>
      <c r="H23" s="1141"/>
      <c r="I23" s="1188">
        <f>INDEX(TEMPLATE_NUMBER_POINT_FHD,B23,MATCH(TEMPLATE_SPHERE,TEMPLATE_SPHERE_LIST_FOR_NOTE,0))</f>
        <v>0</v>
      </c>
      <c r="J23" s="1188">
        <f>INDEX(TEMPLATE_DATA_POINT_FHD,B23,MATCH(TEMPLATE_SPHERE,TEMPLATE_SPHERE_LIST_FOR_NOTE,0))</f>
        <v>0</v>
      </c>
      <c r="K23" s="1188">
        <f>INDEX(TEMPLATE_NOTE_POINT_FHD,B23,MATCH(TEMPLATE_SPHERE,TEMPLATE_SPHERE_LIST_FOR_NOTE,0))</f>
        <v>0</v>
      </c>
      <c r="L23" s="1017" t="str">
        <f>IF(I23=0,"",I23)</f>
        <v/>
      </c>
      <c r="M23" s="1017" t="str">
        <f>IF(J23=0,"",J23)</f>
        <v/>
      </c>
      <c r="N23" s="1017" t="str">
        <f>IF(K23=0,"",K23)</f>
        <v/>
      </c>
      <c r="O23" s="1140"/>
      <c r="P23" s="1140"/>
      <c r="Q23" s="1140" t="s">
        <v>310</v>
      </c>
      <c r="R23" s="1140"/>
      <c r="S23" s="1140"/>
      <c r="T23" s="1147"/>
      <c r="U23" s="1019"/>
      <c r="V23" s="1019" t="s">
        <v>520</v>
      </c>
      <c r="W23" s="1019"/>
      <c r="X23" s="1016"/>
      <c r="Y23" s="1183"/>
      <c r="Z23" s="1019"/>
      <c r="AA23" s="1022"/>
      <c r="AB23" s="1019"/>
      <c r="AC23" s="1019"/>
      <c r="AD23" s="1019"/>
    </row>
    <row customHeight="1" ht="36">
      <c r="A24" s="1018"/>
      <c r="B24" s="1078">
        <v>7</v>
      </c>
      <c r="C24" s="1016">
        <v>5</v>
      </c>
      <c r="D24" s="1150"/>
      <c r="E24" s="1016"/>
      <c r="F24" s="1016"/>
      <c r="G24" s="1068"/>
      <c r="H24" s="1141"/>
      <c r="I24" s="1188">
        <f>INDEX(TEMPLATE_NUMBER_POINT_FHD,B24,MATCH(TEMPLATE_SPHERE,TEMPLATE_SPHERE_LIST_FOR_NOTE,0))</f>
        <v>0</v>
      </c>
      <c r="J24" s="1188">
        <f>INDEX(TEMPLATE_DATA_POINT_FHD,B24,MATCH(TEMPLATE_SPHERE,TEMPLATE_SPHERE_LIST_FOR_NOTE,0))</f>
        <v>0</v>
      </c>
      <c r="K24" s="1188">
        <f>INDEX(TEMPLATE_NOTE_POINT_FHD,B24,MATCH(TEMPLATE_SPHERE,TEMPLATE_SPHERE_LIST_FOR_NOTE,0))</f>
        <v>0</v>
      </c>
      <c r="L24" s="1017" t="str">
        <f>IF(I24=0,"",I24)</f>
        <v/>
      </c>
      <c r="M24" s="1017" t="str">
        <f>IF(J24=0,"",J24)</f>
        <v/>
      </c>
      <c r="N24" s="1017" t="str">
        <f>IF(K24=0,"",K24)</f>
        <v/>
      </c>
      <c r="O24" s="1140"/>
      <c r="P24" s="1140"/>
      <c r="Q24" s="1140" t="s">
        <v>521</v>
      </c>
      <c r="R24" s="1140"/>
      <c r="S24" s="1140"/>
      <c r="T24" s="1147"/>
      <c r="U24" s="1019"/>
      <c r="V24" s="1019" t="s">
        <v>522</v>
      </c>
      <c r="W24" s="1019"/>
      <c r="X24" s="1016"/>
      <c r="Y24" s="1183"/>
      <c r="Z24" s="1019"/>
      <c r="AA24" s="1022"/>
      <c r="AB24" s="1019"/>
      <c r="AC24" s="1019"/>
      <c r="AD24" s="1019"/>
    </row>
    <row customHeight="1" ht="36">
      <c r="A25" s="1018"/>
      <c r="B25" s="1078">
        <v>8</v>
      </c>
      <c r="C25" s="1016">
        <v>6</v>
      </c>
      <c r="D25" s="1150"/>
      <c r="E25" s="1016"/>
      <c r="F25" s="1016"/>
      <c r="G25" s="1068"/>
      <c r="H25" s="1141"/>
      <c r="I25" s="1188" t="str">
        <f>INDEX(TEMPLATE_NUMBER_POINT_FHD,B25,MATCH(TEMPLATE_SPHERE,TEMPLATE_SPHERE_LIST_FOR_NOTE,0))</f>
        <v>2.2</v>
      </c>
      <c r="J25" s="118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188">
        <f>INDEX(TEMPLATE_NOTE_POINT_FHD,B25,MATCH(TEMPLATE_SPHERE,TEMPLATE_SPHERE_LIST_FOR_NOTE,0))</f>
        <v>0</v>
      </c>
      <c r="L25" s="1017" t="str">
        <f>IF(I25=0,"",I25)</f>
        <v>2.2</v>
      </c>
      <c r="M25" s="1017" t="str">
        <f>IF(J25=0,"",J25)</f>
        <v>Расходы на приобретаемую электрическую энергию (мощность), используемую в технологическом процессе</v>
      </c>
      <c r="N25" s="1017" t="str">
        <f>IF(K25=0,"",K25)</f>
        <v/>
      </c>
      <c r="O25" s="1140" t="s">
        <v>310</v>
      </c>
      <c r="P25" s="1140" t="s">
        <v>307</v>
      </c>
      <c r="Q25" s="1140" t="s">
        <v>523</v>
      </c>
      <c r="R25" s="1140" t="s">
        <v>307</v>
      </c>
      <c r="S25" s="1140"/>
      <c r="T25" s="1147" t="s">
        <v>524</v>
      </c>
      <c r="U25" s="1019" t="s">
        <v>524</v>
      </c>
      <c r="V25" s="1019" t="s">
        <v>524</v>
      </c>
      <c r="W25" s="1019" t="s">
        <v>524</v>
      </c>
      <c r="X25" s="1016"/>
      <c r="Y25" s="1183"/>
      <c r="Z25" s="1019"/>
      <c r="AA25" s="1022"/>
      <c r="AB25" s="1019"/>
      <c r="AC25" s="1019"/>
      <c r="AD25" s="1019"/>
    </row>
    <row customHeight="1" ht="18">
      <c r="A26" s="1018"/>
      <c r="B26" s="1078">
        <v>9</v>
      </c>
      <c r="C26" s="1016" t="s">
        <v>525</v>
      </c>
      <c r="D26" s="1150"/>
      <c r="E26" s="1016"/>
      <c r="F26" s="1016"/>
      <c r="G26" s="1068"/>
      <c r="H26" s="1141"/>
      <c r="I26" s="1188" t="str">
        <f>INDEX(TEMPLATE_NUMBER_POINT_FHD,B26,MATCH(TEMPLATE_SPHERE,TEMPLATE_SPHERE_LIST_FOR_NOTE,0))</f>
        <v>2.2.1</v>
      </c>
      <c r="J26" s="1188" t="str">
        <f>INDEX(TEMPLATE_DATA_POINT_FHD,B26,MATCH(TEMPLATE_SPHERE,TEMPLATE_SPHERE_LIST_FOR_NOTE,0))</f>
        <v>Средневзвешенная стоимость 1 кВт.ч (с учетом мощности)</v>
      </c>
      <c r="K26" s="1188">
        <f>INDEX(TEMPLATE_NOTE_POINT_FHD,B26,MATCH(TEMPLATE_SPHERE,TEMPLATE_SPHERE_LIST_FOR_NOTE,0))</f>
        <v>0</v>
      </c>
      <c r="L26" s="1017" t="str">
        <f>IF(I26=0,"",I26)</f>
        <v>2.2.1</v>
      </c>
      <c r="M26" s="1017" t="str">
        <f>IF(J26=0,"",J26)</f>
        <v>Средневзвешенная стоимость 1 кВт.ч (с учетом мощности)</v>
      </c>
      <c r="N26" s="1017" t="str">
        <f>IF(K26=0,"",K26)</f>
        <v/>
      </c>
      <c r="O26" s="1140" t="s">
        <v>526</v>
      </c>
      <c r="P26" s="1140" t="s">
        <v>527</v>
      </c>
      <c r="Q26" s="1140" t="s">
        <v>528</v>
      </c>
      <c r="R26" s="1140" t="s">
        <v>527</v>
      </c>
      <c r="S26" s="1140"/>
      <c r="T26" s="1147" t="s">
        <v>529</v>
      </c>
      <c r="U26" s="1147" t="s">
        <v>529</v>
      </c>
      <c r="V26" s="1147" t="s">
        <v>529</v>
      </c>
      <c r="W26" s="1147" t="s">
        <v>529</v>
      </c>
      <c r="X26" s="1016"/>
      <c r="Y26" s="1183"/>
      <c r="Z26" s="1019"/>
      <c r="AA26" s="1022"/>
      <c r="AB26" s="1019"/>
      <c r="AC26" s="1019"/>
      <c r="AD26" s="1019"/>
    </row>
    <row customHeight="1" ht="18">
      <c r="A27" s="1018"/>
      <c r="B27" s="1078">
        <v>10</v>
      </c>
      <c r="C27" s="1016" t="s">
        <v>530</v>
      </c>
      <c r="D27" s="1150"/>
      <c r="E27" s="1016"/>
      <c r="F27" s="1016"/>
      <c r="G27" s="1068"/>
      <c r="H27" s="1141"/>
      <c r="I27" s="1188" t="str">
        <f>INDEX(TEMPLATE_NUMBER_POINT_FHD,B27,MATCH(TEMPLATE_SPHERE,TEMPLATE_SPHERE_LIST_FOR_NOTE,0))</f>
        <v>2.2.2</v>
      </c>
      <c r="J27" s="1188" t="str">
        <f>INDEX(TEMPLATE_DATA_POINT_FHD,B27,MATCH(TEMPLATE_SPHERE,TEMPLATE_SPHERE_LIST_FOR_NOTE,0))</f>
        <v>Объём приобретения электрической энергии</v>
      </c>
      <c r="K27" s="1188">
        <f>INDEX(TEMPLATE_NOTE_POINT_FHD,B27,MATCH(TEMPLATE_SPHERE,TEMPLATE_SPHERE_LIST_FOR_NOTE,0))</f>
        <v>0</v>
      </c>
      <c r="L27" s="1017" t="str">
        <f>IF(I27=0,"",I27)</f>
        <v>2.2.2</v>
      </c>
      <c r="M27" s="1017" t="str">
        <f>IF(J27=0,"",J27)</f>
        <v>Объём приобретения электрической энергии</v>
      </c>
      <c r="N27" s="1017" t="str">
        <f>IF(K27=0,"",K27)</f>
        <v/>
      </c>
      <c r="O27" s="1140" t="s">
        <v>531</v>
      </c>
      <c r="P27" s="1140" t="s">
        <v>532</v>
      </c>
      <c r="Q27" s="1140" t="s">
        <v>533</v>
      </c>
      <c r="R27" s="1140" t="s">
        <v>532</v>
      </c>
      <c r="S27" s="1140"/>
      <c r="T27" s="1147" t="s">
        <v>534</v>
      </c>
      <c r="U27" s="1147" t="s">
        <v>534</v>
      </c>
      <c r="V27" s="1147" t="s">
        <v>534</v>
      </c>
      <c r="W27" s="1147" t="s">
        <v>534</v>
      </c>
      <c r="X27" s="1016"/>
      <c r="Y27" s="1183"/>
      <c r="Z27" s="1019"/>
      <c r="AA27" s="1022"/>
      <c r="AB27" s="1019"/>
      <c r="AC27" s="1019"/>
      <c r="AD27" s="1019"/>
    </row>
    <row customHeight="1" ht="27">
      <c r="A28" s="1018"/>
      <c r="B28" s="1078">
        <v>11</v>
      </c>
      <c r="C28" s="1016">
        <v>7</v>
      </c>
      <c r="D28" s="1150"/>
      <c r="E28" s="1016"/>
      <c r="F28" s="1016"/>
      <c r="G28" s="1068"/>
      <c r="H28" s="1141"/>
      <c r="I28" s="1188">
        <f>INDEX(TEMPLATE_NUMBER_POINT_FHD,B28,MATCH(TEMPLATE_SPHERE,TEMPLATE_SPHERE_LIST_FOR_NOTE,0))</f>
        <v>0</v>
      </c>
      <c r="J28" s="1188">
        <f>INDEX(TEMPLATE_DATA_POINT_FHD,B28,MATCH(TEMPLATE_SPHERE,TEMPLATE_SPHERE_LIST_FOR_NOTE,0))</f>
        <v>0</v>
      </c>
      <c r="K28" s="1188">
        <f>INDEX(TEMPLATE_NOTE_POINT_FHD,B28,MATCH(TEMPLATE_SPHERE,TEMPLATE_SPHERE_LIST_FOR_NOTE,0))</f>
        <v>0</v>
      </c>
      <c r="L28" s="1017" t="str">
        <f>IF(I28=0,"",I28)</f>
        <v/>
      </c>
      <c r="M28" s="1017" t="str">
        <f>IF(J28=0,"",J28)</f>
        <v/>
      </c>
      <c r="N28" s="1017" t="str">
        <f>IF(K28=0,"",K28)</f>
        <v/>
      </c>
      <c r="O28" s="1140" t="s">
        <v>521</v>
      </c>
      <c r="P28" s="1140"/>
      <c r="Q28" s="1140"/>
      <c r="R28" s="1140"/>
      <c r="S28" s="1140"/>
      <c r="T28" s="1147" t="s">
        <v>535</v>
      </c>
      <c r="U28" s="1019"/>
      <c r="V28" s="1019"/>
      <c r="W28" s="1019"/>
      <c r="X28" s="1016"/>
      <c r="Y28" s="1183"/>
      <c r="Z28" s="1019"/>
      <c r="AA28" s="1022"/>
      <c r="AB28" s="1019"/>
      <c r="AC28" s="1019"/>
      <c r="AD28" s="1019"/>
    </row>
    <row customHeight="1" ht="27">
      <c r="A29" s="1018"/>
      <c r="B29" s="1078">
        <v>12</v>
      </c>
      <c r="C29" s="1016">
        <v>8</v>
      </c>
      <c r="D29" s="1150"/>
      <c r="E29" s="1016"/>
      <c r="F29" s="1016"/>
      <c r="G29" s="1068"/>
      <c r="H29" s="1141"/>
      <c r="I29" s="1188" t="str">
        <f>INDEX(TEMPLATE_NUMBER_POINT_FHD,B29,MATCH(TEMPLATE_SPHERE,TEMPLATE_SPHERE_LIST_FOR_NOTE,0))</f>
        <v>2.3</v>
      </c>
      <c r="J29" s="1188" t="str">
        <f>INDEX(TEMPLATE_DATA_POINT_FHD,B29,MATCH(TEMPLATE_SPHERE,TEMPLATE_SPHERE_LIST_FOR_NOTE,0))</f>
        <v>Расходы на химические реагенты, используемые в технологическом процессе</v>
      </c>
      <c r="K29" s="1188">
        <f>INDEX(TEMPLATE_NOTE_POINT_FHD,B29,MATCH(TEMPLATE_SPHERE,TEMPLATE_SPHERE_LIST_FOR_NOTE,0))</f>
        <v>0</v>
      </c>
      <c r="L29" s="1017" t="str">
        <f>IF(I29=0,"",I29)</f>
        <v>2.3</v>
      </c>
      <c r="M29" s="1017" t="str">
        <f>IF(J29=0,"",J29)</f>
        <v>Расходы на химические реагенты, используемые в технологическом процессе</v>
      </c>
      <c r="N29" s="1017" t="str">
        <f>IF(K29=0,"",K29)</f>
        <v/>
      </c>
      <c r="O29" s="1140" t="s">
        <v>523</v>
      </c>
      <c r="P29" s="1140" t="s">
        <v>310</v>
      </c>
      <c r="Q29" s="1140"/>
      <c r="R29" s="1140" t="s">
        <v>310</v>
      </c>
      <c r="S29" s="1140"/>
      <c r="T29" s="1147" t="s">
        <v>536</v>
      </c>
      <c r="U29" s="1019" t="s">
        <v>536</v>
      </c>
      <c r="V29" s="1019"/>
      <c r="W29" s="1019" t="s">
        <v>536</v>
      </c>
      <c r="X29" s="1016"/>
      <c r="Y29" s="1183"/>
      <c r="Z29" s="1019"/>
      <c r="AA29" s="1022"/>
      <c r="AB29" s="1019"/>
      <c r="AC29" s="1019"/>
      <c r="AD29" s="1019"/>
    </row>
    <row customHeight="1" ht="54">
      <c r="A30" s="1018"/>
      <c r="B30" s="1078">
        <v>13</v>
      </c>
      <c r="C30" s="1016">
        <v>9</v>
      </c>
      <c r="D30" s="1150"/>
      <c r="E30" s="1016"/>
      <c r="F30" s="1016"/>
      <c r="G30" s="1068"/>
      <c r="H30" s="1141"/>
      <c r="I30" s="1188" t="str">
        <f>INDEX(TEMPLATE_NUMBER_POINT_FHD,B30,MATCH(TEMPLATE_SPHERE,TEMPLATE_SPHERE_LIST_FOR_NOTE,0))</f>
        <v>2.4</v>
      </c>
      <c r="J30" s="118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18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1017" t="str">
        <f>IF(I30=0,"",I30)</f>
        <v>2.4</v>
      </c>
      <c r="M30" s="1017"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1017" t="str">
        <f>IF(K30=0,"",K30)</f>
        <v>Указывается общая сумма расходов на оплату труда и отчислений на социальные нужды основного производственного персонала.</v>
      </c>
      <c r="O30" s="1140" t="s">
        <v>537</v>
      </c>
      <c r="P30" s="1140" t="s">
        <v>521</v>
      </c>
      <c r="Q30" s="1140" t="s">
        <v>537</v>
      </c>
      <c r="R30" s="1140" t="s">
        <v>521</v>
      </c>
      <c r="S30" s="1140"/>
      <c r="T30" s="1147" t="s">
        <v>538</v>
      </c>
      <c r="U30" s="1019" t="s">
        <v>538</v>
      </c>
      <c r="V30" s="1019" t="s">
        <v>538</v>
      </c>
      <c r="W30" s="1019" t="s">
        <v>538</v>
      </c>
      <c r="X30" s="1016"/>
      <c r="Y30" s="1183"/>
      <c r="Z30" s="1019"/>
      <c r="AA30" s="1022" t="s">
        <v>539</v>
      </c>
      <c r="AB30" s="1022" t="s">
        <v>539</v>
      </c>
      <c r="AC30" s="1022" t="s">
        <v>539</v>
      </c>
      <c r="AD30" s="1019"/>
    </row>
    <row customHeight="1" ht="18">
      <c r="A31" s="1018"/>
      <c r="B31" s="1078">
        <v>14</v>
      </c>
      <c r="C31" s="1016" t="s">
        <v>540</v>
      </c>
      <c r="D31" s="1150"/>
      <c r="E31" s="1016"/>
      <c r="F31" s="1016"/>
      <c r="G31" s="1068"/>
      <c r="H31" s="1141"/>
      <c r="I31" s="1188" t="str">
        <f>INDEX(TEMPLATE_NUMBER_POINT_FHD,B31,MATCH(TEMPLATE_SPHERE,TEMPLATE_SPHERE_LIST_FOR_NOTE,0))</f>
        <v>2.4.1</v>
      </c>
      <c r="J31" s="1188" t="str">
        <f>INDEX(TEMPLATE_DATA_POINT_FHD,B31,MATCH(TEMPLATE_SPHERE,TEMPLATE_SPHERE_LIST_FOR_NOTE,0))</f>
        <v>Расходы на оплату труда основного производственного персонала</v>
      </c>
      <c r="K31" s="1188">
        <f>INDEX(TEMPLATE_NOTE_POINT_FHD,B31,MATCH(TEMPLATE_SPHERE,TEMPLATE_SPHERE_LIST_FOR_NOTE,0))</f>
        <v>0</v>
      </c>
      <c r="L31" s="1017" t="str">
        <f>IF(I31=0,"",I31)</f>
        <v>2.4.1</v>
      </c>
      <c r="M31" s="1017" t="str">
        <f>IF(J31=0,"",J31)</f>
        <v>Расходы на оплату труда основного производственного персонала</v>
      </c>
      <c r="N31" s="1017" t="str">
        <f>IF(K31=0,"",K31)</f>
        <v/>
      </c>
      <c r="O31" s="1140" t="s">
        <v>541</v>
      </c>
      <c r="P31" s="1140" t="s">
        <v>542</v>
      </c>
      <c r="Q31" s="1140" t="s">
        <v>541</v>
      </c>
      <c r="R31" s="1140" t="s">
        <v>542</v>
      </c>
      <c r="S31" s="1140"/>
      <c r="T31" s="1148" t="s">
        <v>543</v>
      </c>
      <c r="U31" s="1019" t="s">
        <v>543</v>
      </c>
      <c r="V31" s="1019" t="s">
        <v>543</v>
      </c>
      <c r="W31" s="1019" t="s">
        <v>543</v>
      </c>
      <c r="X31" s="1016"/>
      <c r="Y31" s="1183"/>
      <c r="Z31" s="1019"/>
      <c r="AA31" s="1022"/>
      <c r="AB31" s="1022"/>
      <c r="AC31" s="1022"/>
      <c r="AD31" s="1019"/>
    </row>
    <row customHeight="1" ht="36">
      <c r="A32" s="1018"/>
      <c r="B32" s="1078">
        <v>15</v>
      </c>
      <c r="C32" s="1016" t="s">
        <v>544</v>
      </c>
      <c r="D32" s="1150"/>
      <c r="E32" s="1016"/>
      <c r="F32" s="1016"/>
      <c r="G32" s="1068"/>
      <c r="H32" s="1141"/>
      <c r="I32" s="1188" t="str">
        <f>INDEX(TEMPLATE_NUMBER_POINT_FHD,B32,MATCH(TEMPLATE_SPHERE,TEMPLATE_SPHERE_LIST_FOR_NOTE,0))</f>
        <v>2.4.2</v>
      </c>
      <c r="J32" s="118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188">
        <f>INDEX(TEMPLATE_NOTE_POINT_FHD,B32,MATCH(TEMPLATE_SPHERE,TEMPLATE_SPHERE_LIST_FOR_NOTE,0))</f>
        <v>0</v>
      </c>
      <c r="L32" s="1017" t="str">
        <f>IF(I32=0,"",I32)</f>
        <v>2.4.2</v>
      </c>
      <c r="M32" s="1017" t="str">
        <f>IF(J32=0,"",J32)</f>
        <v>Страховые взносы на обязательное социальное страхование, выплачиваемые из фонда оплаты труда основного производственного персонала</v>
      </c>
      <c r="N32" s="1017" t="str">
        <f>IF(K32=0,"",K32)</f>
        <v/>
      </c>
      <c r="O32" s="1140" t="s">
        <v>545</v>
      </c>
      <c r="P32" s="1140" t="s">
        <v>546</v>
      </c>
      <c r="Q32" s="1140" t="s">
        <v>545</v>
      </c>
      <c r="R32" s="1140" t="s">
        <v>546</v>
      </c>
      <c r="S32" s="1140"/>
      <c r="T32" s="1149" t="s">
        <v>547</v>
      </c>
      <c r="U32" s="1019" t="s">
        <v>547</v>
      </c>
      <c r="V32" s="1019" t="s">
        <v>547</v>
      </c>
      <c r="W32" s="1019" t="s">
        <v>547</v>
      </c>
      <c r="X32" s="1016"/>
      <c r="Y32" s="1183"/>
      <c r="Z32" s="1019"/>
      <c r="AA32" s="1022"/>
      <c r="AB32" s="1022"/>
      <c r="AC32" s="1022"/>
      <c r="AD32" s="1019"/>
    </row>
    <row customHeight="1" ht="45">
      <c r="A33" s="1018"/>
      <c r="B33" s="1078">
        <v>16</v>
      </c>
      <c r="C33" s="1016">
        <v>10</v>
      </c>
      <c r="D33" s="1150"/>
      <c r="E33" s="1016"/>
      <c r="F33" s="1016"/>
      <c r="G33" s="1068"/>
      <c r="H33" s="1141"/>
      <c r="I33" s="1188" t="str">
        <f>INDEX(TEMPLATE_NUMBER_POINT_FHD,B33,MATCH(TEMPLATE_SPHERE,TEMPLATE_SPHERE_LIST_FOR_NOTE,0))</f>
        <v>2.5</v>
      </c>
      <c r="J33" s="118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18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1017" t="str">
        <f>IF(I33=0,"",I33)</f>
        <v>2.5</v>
      </c>
      <c r="M33" s="1017"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1017" t="str">
        <f>IF(K33=0,"",K33)</f>
        <v>Указывается общая сумма расходов на оплату труда и отчислений на социальные нужды административно-управленческого персонала.</v>
      </c>
      <c r="O33" s="1140" t="s">
        <v>548</v>
      </c>
      <c r="P33" s="1140" t="s">
        <v>523</v>
      </c>
      <c r="Q33" s="1140" t="s">
        <v>548</v>
      </c>
      <c r="R33" s="1140" t="s">
        <v>523</v>
      </c>
      <c r="S33" s="1140"/>
      <c r="T33" s="1148" t="s">
        <v>549</v>
      </c>
      <c r="U33" s="1019" t="s">
        <v>549</v>
      </c>
      <c r="V33" s="1019" t="s">
        <v>549</v>
      </c>
      <c r="W33" s="1019" t="s">
        <v>550</v>
      </c>
      <c r="X33" s="1016"/>
      <c r="Y33" s="1183"/>
      <c r="Z33" s="1019"/>
      <c r="AA33" s="1022" t="s">
        <v>551</v>
      </c>
      <c r="AB33" s="1022" t="s">
        <v>551</v>
      </c>
      <c r="AC33" s="1022" t="s">
        <v>551</v>
      </c>
      <c r="AD33" s="1019"/>
    </row>
    <row customHeight="1" ht="27">
      <c r="A34" s="1018"/>
      <c r="B34" s="1078">
        <v>17</v>
      </c>
      <c r="C34" s="1016" t="s">
        <v>552</v>
      </c>
      <c r="D34" s="1150"/>
      <c r="E34" s="1016"/>
      <c r="F34" s="1016"/>
      <c r="G34" s="1068"/>
      <c r="H34" s="1141"/>
      <c r="I34" s="1188" t="str">
        <f>INDEX(TEMPLATE_NUMBER_POINT_FHD,B34,MATCH(TEMPLATE_SPHERE,TEMPLATE_SPHERE_LIST_FOR_NOTE,0))</f>
        <v>2.5.1</v>
      </c>
      <c r="J34" s="1188" t="str">
        <f>INDEX(TEMPLATE_DATA_POINT_FHD,B34,MATCH(TEMPLATE_SPHERE,TEMPLATE_SPHERE_LIST_FOR_NOTE,0))</f>
        <v>Расходы на оплату труда административно-управленческого персонала, в том числе:</v>
      </c>
      <c r="K34" s="1188">
        <f>INDEX(TEMPLATE_NOTE_POINT_FHD,B34,MATCH(TEMPLATE_SPHERE,TEMPLATE_SPHERE_LIST_FOR_NOTE,0))</f>
        <v>0</v>
      </c>
      <c r="L34" s="1017" t="str">
        <f>IF(I34=0,"",I34)</f>
        <v>2.5.1</v>
      </c>
      <c r="M34" s="1017" t="str">
        <f>IF(J34=0,"",J34)</f>
        <v>Расходы на оплату труда административно-управленческого персонала, в том числе:</v>
      </c>
      <c r="N34" s="1017" t="str">
        <f>IF(K34=0,"",K34)</f>
        <v/>
      </c>
      <c r="O34" s="1140" t="s">
        <v>553</v>
      </c>
      <c r="P34" s="1140" t="s">
        <v>528</v>
      </c>
      <c r="Q34" s="1140" t="s">
        <v>553</v>
      </c>
      <c r="R34" s="1140" t="s">
        <v>528</v>
      </c>
      <c r="S34" s="1140"/>
      <c r="T34" s="1149" t="s">
        <v>554</v>
      </c>
      <c r="U34" s="1019" t="s">
        <v>554</v>
      </c>
      <c r="V34" s="1019" t="s">
        <v>554</v>
      </c>
      <c r="W34" s="1019" t="s">
        <v>555</v>
      </c>
      <c r="X34" s="1016"/>
      <c r="Y34" s="1183"/>
      <c r="Z34" s="1019"/>
      <c r="AA34" s="1022"/>
      <c r="AB34" s="1019"/>
      <c r="AC34" s="1019"/>
      <c r="AD34" s="1019"/>
    </row>
    <row customHeight="1" ht="45">
      <c r="A35" s="1018"/>
      <c r="B35" s="1078">
        <v>18</v>
      </c>
      <c r="C35" s="1016" t="s">
        <v>556</v>
      </c>
      <c r="D35" s="1150"/>
      <c r="E35" s="1016"/>
      <c r="F35" s="1016"/>
      <c r="G35" s="1068"/>
      <c r="H35" s="1141"/>
      <c r="I35" s="1188" t="str">
        <f>INDEX(TEMPLATE_NUMBER_POINT_FHD,B35,MATCH(TEMPLATE_SPHERE,TEMPLATE_SPHERE_LIST_FOR_NOTE,0))</f>
        <v>2.5.2</v>
      </c>
      <c r="J35" s="118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188">
        <f>INDEX(TEMPLATE_NOTE_POINT_FHD,B35,MATCH(TEMPLATE_SPHERE,TEMPLATE_SPHERE_LIST_FOR_NOTE,0))</f>
        <v>0</v>
      </c>
      <c r="L35" s="1017" t="str">
        <f>IF(I35=0,"",I35)</f>
        <v>2.5.2</v>
      </c>
      <c r="M35" s="1017"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1017" t="str">
        <f>IF(K35=0,"",K35)</f>
        <v/>
      </c>
      <c r="O35" s="1140" t="s">
        <v>557</v>
      </c>
      <c r="P35" s="1140" t="s">
        <v>533</v>
      </c>
      <c r="Q35" s="1140" t="s">
        <v>557</v>
      </c>
      <c r="R35" s="1140" t="s">
        <v>533</v>
      </c>
      <c r="S35" s="1140"/>
      <c r="T35" s="1147" t="s">
        <v>558</v>
      </c>
      <c r="U35" s="1019" t="s">
        <v>558</v>
      </c>
      <c r="V35" s="1019" t="s">
        <v>558</v>
      </c>
      <c r="W35" s="1019" t="s">
        <v>558</v>
      </c>
      <c r="X35" s="1016"/>
      <c r="Y35" s="1183"/>
      <c r="Z35" s="1019"/>
      <c r="AA35" s="1022"/>
      <c r="AB35" s="1019"/>
      <c r="AC35" s="1019"/>
      <c r="AD35" s="1019"/>
    </row>
    <row customHeight="1" ht="18">
      <c r="A36" s="1018"/>
      <c r="B36" s="1078">
        <v>19</v>
      </c>
      <c r="C36" s="1016">
        <v>11</v>
      </c>
      <c r="D36" s="1150"/>
      <c r="E36" s="1016"/>
      <c r="F36" s="1016"/>
      <c r="G36" s="1068"/>
      <c r="H36" s="1141"/>
      <c r="I36" s="1188" t="str">
        <f>INDEX(TEMPLATE_NUMBER_POINT_FHD,B36,MATCH(TEMPLATE_SPHERE,TEMPLATE_SPHERE_LIST_FOR_NOTE,0))</f>
        <v>2.6</v>
      </c>
      <c r="J36" s="1188" t="str">
        <f>INDEX(TEMPLATE_DATA_POINT_FHD,B36,MATCH(TEMPLATE_SPHERE,TEMPLATE_SPHERE_LIST_FOR_NOTE,0))</f>
        <v>Расходы на амортизацию основных средств и нематериальных активов</v>
      </c>
      <c r="K36" s="1188">
        <f>INDEX(TEMPLATE_NOTE_POINT_FHD,B36,MATCH(TEMPLATE_SPHERE,TEMPLATE_SPHERE_LIST_FOR_NOTE,0))</f>
        <v>0</v>
      </c>
      <c r="L36" s="1017" t="str">
        <f>IF(I36=0,"",I36)</f>
        <v>2.6</v>
      </c>
      <c r="M36" s="1017" t="str">
        <f>IF(J36=0,"",J36)</f>
        <v>Расходы на амортизацию основных средств и нематериальных активов</v>
      </c>
      <c r="N36" s="1017" t="str">
        <f>IF(K36=0,"",K36)</f>
        <v/>
      </c>
      <c r="O36" s="1140" t="s">
        <v>559</v>
      </c>
      <c r="P36" s="1140" t="s">
        <v>537</v>
      </c>
      <c r="Q36" s="1140" t="s">
        <v>559</v>
      </c>
      <c r="R36" s="1140" t="s">
        <v>537</v>
      </c>
      <c r="S36" s="1140"/>
      <c r="T36" s="1147" t="s">
        <v>560</v>
      </c>
      <c r="U36" s="1019" t="s">
        <v>560</v>
      </c>
      <c r="V36" s="1019" t="s">
        <v>560</v>
      </c>
      <c r="W36" s="1019" t="s">
        <v>560</v>
      </c>
      <c r="X36" s="1016"/>
      <c r="Y36" s="1183"/>
      <c r="Z36" s="1019"/>
      <c r="AA36" s="1022"/>
      <c r="AB36" s="1019"/>
      <c r="AC36" s="1019"/>
      <c r="AD36" s="1019"/>
    </row>
    <row customHeight="1" ht="18">
      <c r="A37" s="1018"/>
      <c r="B37" s="1078">
        <v>20</v>
      </c>
      <c r="C37" s="1016" t="s">
        <v>561</v>
      </c>
      <c r="D37" s="1150"/>
      <c r="E37" s="1016"/>
      <c r="F37" s="1016"/>
      <c r="G37" s="1068"/>
      <c r="H37" s="1141"/>
      <c r="I37" s="1188" t="str">
        <f>INDEX(TEMPLATE_NUMBER_POINT_FHD,B37,MATCH(TEMPLATE_SPHERE,TEMPLATE_SPHERE_LIST_FOR_NOTE,0))</f>
        <v>2.6.1</v>
      </c>
      <c r="J37" s="1188" t="str">
        <f>INDEX(TEMPLATE_DATA_POINT_FHD,B37,MATCH(TEMPLATE_SPHERE,TEMPLATE_SPHERE_LIST_FOR_NOTE,0))</f>
        <v>Расходы на амортизацию основных средств</v>
      </c>
      <c r="K37" s="1188">
        <f>INDEX(TEMPLATE_NOTE_POINT_FHD,B37,MATCH(TEMPLATE_SPHERE,TEMPLATE_SPHERE_LIST_FOR_NOTE,0))</f>
        <v>0</v>
      </c>
      <c r="L37" s="1017" t="str">
        <f>IF(I37=0,"",I37)</f>
        <v>2.6.1</v>
      </c>
      <c r="M37" s="1017" t="str">
        <f>IF(J37=0,"",J37)</f>
        <v>Расходы на амортизацию основных средств</v>
      </c>
      <c r="N37" s="1017" t="str">
        <f>IF(K37=0,"",K37)</f>
        <v/>
      </c>
      <c r="O37" s="1140" t="s">
        <v>562</v>
      </c>
      <c r="P37" s="1140" t="s">
        <v>541</v>
      </c>
      <c r="Q37" s="1140" t="s">
        <v>562</v>
      </c>
      <c r="R37" s="1140" t="s">
        <v>541</v>
      </c>
      <c r="S37" s="1140"/>
      <c r="T37" s="1147" t="s">
        <v>563</v>
      </c>
      <c r="U37" s="1019" t="s">
        <v>563</v>
      </c>
      <c r="V37" s="1019" t="s">
        <v>563</v>
      </c>
      <c r="W37" s="1019" t="s">
        <v>563</v>
      </c>
      <c r="X37" s="1016"/>
      <c r="Y37" s="1183"/>
      <c r="Z37" s="1019"/>
      <c r="AA37" s="1022"/>
      <c r="AB37" s="1019"/>
      <c r="AC37" s="1019"/>
      <c r="AD37" s="1019"/>
    </row>
    <row customHeight="1" ht="18">
      <c r="A38" s="1018"/>
      <c r="B38" s="1078">
        <v>21</v>
      </c>
      <c r="C38" s="1016" t="s">
        <v>564</v>
      </c>
      <c r="D38" s="1150"/>
      <c r="E38" s="1016"/>
      <c r="F38" s="1016"/>
      <c r="G38" s="1068"/>
      <c r="H38" s="1141"/>
      <c r="I38" s="1188" t="str">
        <f>INDEX(TEMPLATE_NUMBER_POINT_FHD,B38,MATCH(TEMPLATE_SPHERE,TEMPLATE_SPHERE_LIST_FOR_NOTE,0))</f>
        <v>2.6.2</v>
      </c>
      <c r="J38" s="1188" t="str">
        <f>INDEX(TEMPLATE_DATA_POINT_FHD,B38,MATCH(TEMPLATE_SPHERE,TEMPLATE_SPHERE_LIST_FOR_NOTE,0))</f>
        <v>Расходы на амортизацию нематериальных активов</v>
      </c>
      <c r="K38" s="1188">
        <f>INDEX(TEMPLATE_NOTE_POINT_FHD,B38,MATCH(TEMPLATE_SPHERE,TEMPLATE_SPHERE_LIST_FOR_NOTE,0))</f>
        <v>0</v>
      </c>
      <c r="L38" s="1017" t="str">
        <f>IF(I38=0,"",I38)</f>
        <v>2.6.2</v>
      </c>
      <c r="M38" s="1017" t="str">
        <f>IF(J38=0,"",J38)</f>
        <v>Расходы на амортизацию нематериальных активов</v>
      </c>
      <c r="N38" s="1017" t="str">
        <f>IF(K38=0,"",K38)</f>
        <v/>
      </c>
      <c r="O38" s="1140" t="s">
        <v>565</v>
      </c>
      <c r="P38" s="1140" t="s">
        <v>545</v>
      </c>
      <c r="Q38" s="1140" t="s">
        <v>565</v>
      </c>
      <c r="R38" s="1140" t="s">
        <v>545</v>
      </c>
      <c r="S38" s="1140"/>
      <c r="T38" s="1147" t="s">
        <v>566</v>
      </c>
      <c r="U38" s="1019" t="s">
        <v>566</v>
      </c>
      <c r="V38" s="1019" t="s">
        <v>566</v>
      </c>
      <c r="W38" s="1019" t="s">
        <v>566</v>
      </c>
      <c r="X38" s="1016"/>
      <c r="Y38" s="1183"/>
      <c r="Z38" s="1019"/>
      <c r="AA38" s="1022"/>
      <c r="AB38" s="1019"/>
      <c r="AC38" s="1019"/>
      <c r="AD38" s="1019"/>
    </row>
    <row customHeight="1" ht="36">
      <c r="A39" s="1018"/>
      <c r="B39" s="1078">
        <v>22</v>
      </c>
      <c r="C39" s="1016">
        <v>12</v>
      </c>
      <c r="D39" s="1150"/>
      <c r="E39" s="1016"/>
      <c r="F39" s="1016"/>
      <c r="G39" s="1068"/>
      <c r="H39" s="1141"/>
      <c r="I39" s="1188" t="str">
        <f>INDEX(TEMPLATE_NUMBER_POINT_FHD,B39,MATCH(TEMPLATE_SPHERE,TEMPLATE_SPHERE_LIST_FOR_NOTE,0))</f>
        <v>2.7</v>
      </c>
      <c r="J39" s="118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188">
        <f>INDEX(TEMPLATE_NOTE_POINT_FHD,B39,MATCH(TEMPLATE_SPHERE,TEMPLATE_SPHERE_LIST_FOR_NOTE,0))</f>
        <v>0</v>
      </c>
      <c r="L39" s="1017" t="str">
        <f>IF(I39=0,"",I39)</f>
        <v>2.7</v>
      </c>
      <c r="M39" s="1017" t="str">
        <f>IF(J39=0,"",J39)</f>
        <v>Расходы на аренду имущества, используемого для осуществления регулируемых видов деятельности в сфере водоотведения</v>
      </c>
      <c r="N39" s="1017" t="str">
        <f>IF(K39=0,"",K39)</f>
        <v/>
      </c>
      <c r="O39" s="1140" t="s">
        <v>567</v>
      </c>
      <c r="P39" s="1140" t="s">
        <v>548</v>
      </c>
      <c r="Q39" s="1140" t="s">
        <v>567</v>
      </c>
      <c r="R39" s="1140" t="s">
        <v>548</v>
      </c>
      <c r="S39" s="1140"/>
      <c r="T39" s="1147" t="s">
        <v>568</v>
      </c>
      <c r="U39" s="1019" t="s">
        <v>569</v>
      </c>
      <c r="V39" s="1019" t="s">
        <v>570</v>
      </c>
      <c r="W39" s="1019" t="s">
        <v>571</v>
      </c>
      <c r="X39" s="1016"/>
      <c r="Y39" s="1183"/>
      <c r="Z39" s="1019"/>
      <c r="AA39" s="1022"/>
      <c r="AB39" s="1019"/>
      <c r="AC39" s="1019"/>
      <c r="AD39" s="1019"/>
    </row>
    <row customHeight="1" ht="18">
      <c r="A40" s="1018"/>
      <c r="B40" s="1078">
        <v>23</v>
      </c>
      <c r="C40" s="1016">
        <v>13</v>
      </c>
      <c r="D40" s="1150"/>
      <c r="E40" s="1016"/>
      <c r="F40" s="1016"/>
      <c r="G40" s="1016"/>
      <c r="H40" s="1071"/>
      <c r="I40" s="1188" t="str">
        <f>INDEX(TEMPLATE_NUMBER_POINT_FHD,B40,MATCH(TEMPLATE_SPHERE,TEMPLATE_SPHERE_LIST_FOR_NOTE,0))</f>
        <v>2.8</v>
      </c>
      <c r="J40" s="1188" t="str">
        <f>INDEX(TEMPLATE_DATA_POINT_FHD,B40,MATCH(TEMPLATE_SPHERE,TEMPLATE_SPHERE_LIST_FOR_NOTE,0))</f>
        <v>Общепроизводственные расходы, в том числе:</v>
      </c>
      <c r="K40" s="1188" t="str">
        <f>INDEX(TEMPLATE_NOTE_POINT_FHD,B40,MATCH(TEMPLATE_SPHERE,TEMPLATE_SPHERE_LIST_FOR_NOTE,0))</f>
        <v>Указывается общая сумма общепроизводственных расходов.</v>
      </c>
      <c r="L40" s="1017" t="str">
        <f>IF(I40=0,"",I40)</f>
        <v>2.8</v>
      </c>
      <c r="M40" s="1017" t="str">
        <f>IF(J40=0,"",J40)</f>
        <v>Общепроизводственные расходы, в том числе:</v>
      </c>
      <c r="N40" s="1017" t="str">
        <f>IF(K40=0,"",K40)</f>
        <v>Указывается общая сумма общепроизводственных расходов.</v>
      </c>
      <c r="O40" s="1140" t="s">
        <v>572</v>
      </c>
      <c r="P40" s="1140" t="s">
        <v>559</v>
      </c>
      <c r="Q40" s="1140" t="s">
        <v>572</v>
      </c>
      <c r="R40" s="1140" t="s">
        <v>559</v>
      </c>
      <c r="S40" s="1140"/>
      <c r="T40" s="1016" t="s">
        <v>573</v>
      </c>
      <c r="U40" s="1016" t="s">
        <v>573</v>
      </c>
      <c r="V40" s="1016" t="s">
        <v>573</v>
      </c>
      <c r="W40" s="1016" t="s">
        <v>573</v>
      </c>
      <c r="X40" s="1016"/>
      <c r="Y40" s="1183"/>
      <c r="Z40" s="1019" t="s">
        <v>574</v>
      </c>
      <c r="AA40" s="1022" t="s">
        <v>574</v>
      </c>
      <c r="AB40" s="1022" t="s">
        <v>574</v>
      </c>
      <c r="AC40" s="1022" t="s">
        <v>574</v>
      </c>
      <c r="AD40" s="1019"/>
    </row>
    <row customHeight="1" ht="27">
      <c r="A41" s="1018"/>
      <c r="B41" s="1078">
        <v>24</v>
      </c>
      <c r="C41" s="1016" t="s">
        <v>575</v>
      </c>
      <c r="D41" s="1150"/>
      <c r="E41" s="1016"/>
      <c r="F41" s="1016"/>
      <c r="G41" s="1016"/>
      <c r="H41" s="1068"/>
      <c r="I41" s="1188" t="str">
        <f>INDEX(TEMPLATE_NUMBER_POINT_FHD,B41,MATCH(TEMPLATE_SPHERE,TEMPLATE_SPHERE_LIST_FOR_NOTE,0))</f>
        <v>2.8.1</v>
      </c>
      <c r="J41" s="1188" t="str">
        <f>INDEX(TEMPLATE_DATA_POINT_FHD,B41,MATCH(TEMPLATE_SPHERE,TEMPLATE_SPHERE_LIST_FOR_NOTE,0))</f>
        <v>Расходы на текущий ремонт</v>
      </c>
      <c r="K41" s="1188" t="str">
        <f>INDEX(TEMPLATE_NOTE_POINT_FHD,B41,MATCH(TEMPLATE_SPHERE,TEMPLATE_SPHERE_LIST_FOR_NOTE,0))</f>
        <v>Указываются расходы на текущий ремонт, отнесенные к общепроизводственным расходам.</v>
      </c>
      <c r="L41" s="1017" t="str">
        <f>IF(I41=0,"",I41)</f>
        <v>2.8.1</v>
      </c>
      <c r="M41" s="1017" t="str">
        <f>IF(J41=0,"",J41)</f>
        <v>Расходы на текущий ремонт</v>
      </c>
      <c r="N41" s="1017" t="str">
        <f>IF(K41=0,"",K41)</f>
        <v>Указываются расходы на текущий ремонт, отнесенные к общепроизводственным расходам.</v>
      </c>
      <c r="O41" s="1140" t="s">
        <v>576</v>
      </c>
      <c r="P41" s="1140" t="s">
        <v>562</v>
      </c>
      <c r="Q41" s="1140" t="s">
        <v>576</v>
      </c>
      <c r="R41" s="1140" t="s">
        <v>562</v>
      </c>
      <c r="S41" s="1140"/>
      <c r="T41" s="1016" t="s">
        <v>577</v>
      </c>
      <c r="U41" s="1016" t="s">
        <v>577</v>
      </c>
      <c r="V41" s="1016" t="s">
        <v>577</v>
      </c>
      <c r="W41" s="1016" t="s">
        <v>577</v>
      </c>
      <c r="X41" s="1016"/>
      <c r="Y41" s="1183"/>
      <c r="Z41" s="1019" t="s">
        <v>578</v>
      </c>
      <c r="AA41" s="1019" t="s">
        <v>578</v>
      </c>
      <c r="AB41" s="1019" t="s">
        <v>578</v>
      </c>
      <c r="AC41" s="1019" t="s">
        <v>578</v>
      </c>
      <c r="AD41" s="1019"/>
    </row>
    <row customHeight="1" ht="27">
      <c r="A42" s="1018"/>
      <c r="B42" s="1078">
        <v>25</v>
      </c>
      <c r="C42" s="1016" t="s">
        <v>579</v>
      </c>
      <c r="D42" s="1150"/>
      <c r="E42" s="1016"/>
      <c r="F42" s="1016"/>
      <c r="G42" s="1016"/>
      <c r="H42" s="1068"/>
      <c r="I42" s="1188" t="str">
        <f>INDEX(TEMPLATE_NUMBER_POINT_FHD,B42,MATCH(TEMPLATE_SPHERE,TEMPLATE_SPHERE_LIST_FOR_NOTE,0))</f>
        <v>2.8.2</v>
      </c>
      <c r="J42" s="1188" t="str">
        <f>INDEX(TEMPLATE_DATA_POINT_FHD,B42,MATCH(TEMPLATE_SPHERE,TEMPLATE_SPHERE_LIST_FOR_NOTE,0))</f>
        <v>Расходы на капитальный ремонт</v>
      </c>
      <c r="K42" s="1188" t="str">
        <f>INDEX(TEMPLATE_NOTE_POINT_FHD,B42,MATCH(TEMPLATE_SPHERE,TEMPLATE_SPHERE_LIST_FOR_NOTE,0))</f>
        <v>Указываются расходы на капитальный ремонт, отнесенные к общепроизводственным расходам.</v>
      </c>
      <c r="L42" s="1017" t="str">
        <f>IF(I42=0,"",I42)</f>
        <v>2.8.2</v>
      </c>
      <c r="M42" s="1017" t="str">
        <f>IF(J42=0,"",J42)</f>
        <v>Расходы на капитальный ремонт</v>
      </c>
      <c r="N42" s="1017" t="str">
        <f>IF(K42=0,"",K42)</f>
        <v>Указываются расходы на капитальный ремонт, отнесенные к общепроизводственным расходам.</v>
      </c>
      <c r="O42" s="1140" t="s">
        <v>580</v>
      </c>
      <c r="P42" s="1140" t="s">
        <v>565</v>
      </c>
      <c r="Q42" s="1140" t="s">
        <v>580</v>
      </c>
      <c r="R42" s="1140" t="s">
        <v>565</v>
      </c>
      <c r="S42" s="1140"/>
      <c r="T42" s="1016" t="s">
        <v>581</v>
      </c>
      <c r="U42" s="1016" t="s">
        <v>581</v>
      </c>
      <c r="V42" s="1016" t="s">
        <v>581</v>
      </c>
      <c r="W42" s="1016" t="s">
        <v>581</v>
      </c>
      <c r="X42" s="1016"/>
      <c r="Y42" s="1183"/>
      <c r="Z42" s="1019" t="s">
        <v>582</v>
      </c>
      <c r="AA42" s="1019" t="s">
        <v>582</v>
      </c>
      <c r="AB42" s="1019" t="s">
        <v>582</v>
      </c>
      <c r="AC42" s="1019" t="s">
        <v>582</v>
      </c>
      <c r="AD42" s="1019"/>
    </row>
    <row customHeight="1" ht="18">
      <c r="A43" s="1018"/>
      <c r="B43" s="1078">
        <v>26</v>
      </c>
      <c r="C43" s="1016">
        <v>14</v>
      </c>
      <c r="D43" s="1150"/>
      <c r="E43" s="1016"/>
      <c r="F43" s="1016"/>
      <c r="G43" s="1016"/>
      <c r="H43" s="1068"/>
      <c r="I43" s="1188" t="str">
        <f>INDEX(TEMPLATE_NUMBER_POINT_FHD,B43,MATCH(TEMPLATE_SPHERE,TEMPLATE_SPHERE_LIST_FOR_NOTE,0))</f>
        <v>2.9</v>
      </c>
      <c r="J43" s="1188" t="str">
        <f>INDEX(TEMPLATE_DATA_POINT_FHD,B43,MATCH(TEMPLATE_SPHERE,TEMPLATE_SPHERE_LIST_FOR_NOTE,0))</f>
        <v>Общехозяйственные расходы, в том числе:</v>
      </c>
      <c r="K43" s="1188" t="str">
        <f>INDEX(TEMPLATE_NOTE_POINT_FHD,B43,MATCH(TEMPLATE_SPHERE,TEMPLATE_SPHERE_LIST_FOR_NOTE,0))</f>
        <v>Указывается общая сумма общехозяйственных расходов.</v>
      </c>
      <c r="L43" s="1017" t="str">
        <f>IF(I43=0,"",I43)</f>
        <v>2.9</v>
      </c>
      <c r="M43" s="1017" t="str">
        <f>IF(J43=0,"",J43)</f>
        <v>Общехозяйственные расходы, в том числе:</v>
      </c>
      <c r="N43" s="1017" t="str">
        <f>IF(K43=0,"",K43)</f>
        <v>Указывается общая сумма общехозяйственных расходов.</v>
      </c>
      <c r="O43" s="1140" t="s">
        <v>583</v>
      </c>
      <c r="P43" s="1140" t="s">
        <v>567</v>
      </c>
      <c r="Q43" s="1140" t="s">
        <v>583</v>
      </c>
      <c r="R43" s="1140" t="s">
        <v>567</v>
      </c>
      <c r="S43" s="1140"/>
      <c r="T43" s="1016" t="s">
        <v>584</v>
      </c>
      <c r="U43" s="1016" t="s">
        <v>584</v>
      </c>
      <c r="V43" s="1016" t="s">
        <v>584</v>
      </c>
      <c r="W43" s="1016" t="s">
        <v>584</v>
      </c>
      <c r="X43" s="1016"/>
      <c r="Y43" s="1183"/>
      <c r="Z43" s="1019" t="s">
        <v>585</v>
      </c>
      <c r="AA43" s="1019" t="s">
        <v>585</v>
      </c>
      <c r="AB43" s="1019" t="s">
        <v>585</v>
      </c>
      <c r="AC43" s="1019" t="s">
        <v>585</v>
      </c>
      <c r="AD43" s="1019"/>
    </row>
    <row customHeight="1" ht="27">
      <c r="A44" s="1018"/>
      <c r="B44" s="1078">
        <v>27</v>
      </c>
      <c r="C44" s="1016" t="s">
        <v>586</v>
      </c>
      <c r="D44" s="1150"/>
      <c r="E44" s="1016"/>
      <c r="F44" s="1016"/>
      <c r="G44" s="1016"/>
      <c r="H44" s="1068"/>
      <c r="I44" s="1188" t="str">
        <f>INDEX(TEMPLATE_NUMBER_POINT_FHD,B44,MATCH(TEMPLATE_SPHERE,TEMPLATE_SPHERE_LIST_FOR_NOTE,0))</f>
        <v>2.9.1</v>
      </c>
      <c r="J44" s="1188" t="str">
        <f>INDEX(TEMPLATE_DATA_POINT_FHD,B44,MATCH(TEMPLATE_SPHERE,TEMPLATE_SPHERE_LIST_FOR_NOTE,0))</f>
        <v>Расходы на текущий ремонт</v>
      </c>
      <c r="K44" s="1188" t="str">
        <f>INDEX(TEMPLATE_NOTE_POINT_FHD,B44,MATCH(TEMPLATE_SPHERE,TEMPLATE_SPHERE_LIST_FOR_NOTE,0))</f>
        <v>Указываются расходы на текущий ремонт, отнесенные к общехозяйственным расходам.</v>
      </c>
      <c r="L44" s="1017" t="str">
        <f>IF(I44=0,"",I44)</f>
        <v>2.9.1</v>
      </c>
      <c r="M44" s="1017" t="str">
        <f>IF(J44=0,"",J44)</f>
        <v>Расходы на текущий ремонт</v>
      </c>
      <c r="N44" s="1017" t="str">
        <f>IF(K44=0,"",K44)</f>
        <v>Указываются расходы на текущий ремонт, отнесенные к общехозяйственным расходам.</v>
      </c>
      <c r="O44" s="1140" t="s">
        <v>587</v>
      </c>
      <c r="P44" s="1140" t="s">
        <v>588</v>
      </c>
      <c r="Q44" s="1140" t="s">
        <v>587</v>
      </c>
      <c r="R44" s="1140" t="s">
        <v>588</v>
      </c>
      <c r="S44" s="1140"/>
      <c r="T44" s="1016" t="s">
        <v>577</v>
      </c>
      <c r="U44" s="1016" t="s">
        <v>577</v>
      </c>
      <c r="V44" s="1016" t="s">
        <v>577</v>
      </c>
      <c r="W44" s="1016" t="s">
        <v>577</v>
      </c>
      <c r="X44" s="1016"/>
      <c r="Y44" s="1183"/>
      <c r="Z44" s="1019" t="s">
        <v>589</v>
      </c>
      <c r="AA44" s="1019" t="s">
        <v>589</v>
      </c>
      <c r="AB44" s="1019" t="s">
        <v>589</v>
      </c>
      <c r="AC44" s="1019" t="s">
        <v>589</v>
      </c>
      <c r="AD44" s="1019"/>
    </row>
    <row customHeight="1" ht="27">
      <c r="A45" s="1018"/>
      <c r="B45" s="1078">
        <v>28</v>
      </c>
      <c r="C45" s="1016" t="s">
        <v>590</v>
      </c>
      <c r="D45" s="1150"/>
      <c r="E45" s="1016"/>
      <c r="F45" s="1016"/>
      <c r="G45" s="1016"/>
      <c r="H45" s="1068"/>
      <c r="I45" s="1188" t="str">
        <f>INDEX(TEMPLATE_NUMBER_POINT_FHD,B45,MATCH(TEMPLATE_SPHERE,TEMPLATE_SPHERE_LIST_FOR_NOTE,0))</f>
        <v>2.9.2</v>
      </c>
      <c r="J45" s="1188" t="str">
        <f>INDEX(TEMPLATE_DATA_POINT_FHD,B45,MATCH(TEMPLATE_SPHERE,TEMPLATE_SPHERE_LIST_FOR_NOTE,0))</f>
        <v>Расходы на капитальный ремонт</v>
      </c>
      <c r="K45" s="1188" t="str">
        <f>INDEX(TEMPLATE_NOTE_POINT_FHD,B45,MATCH(TEMPLATE_SPHERE,TEMPLATE_SPHERE_LIST_FOR_NOTE,0))</f>
        <v>Указываются расходы на капитальный ремонт, отнесенные к общехозяйственным расходам.</v>
      </c>
      <c r="L45" s="1017" t="str">
        <f>IF(I45=0,"",I45)</f>
        <v>2.9.2</v>
      </c>
      <c r="M45" s="1017" t="str">
        <f>IF(J45=0,"",J45)</f>
        <v>Расходы на капитальный ремонт</v>
      </c>
      <c r="N45" s="1017" t="str">
        <f>IF(K45=0,"",K45)</f>
        <v>Указываются расходы на капитальный ремонт, отнесенные к общехозяйственным расходам.</v>
      </c>
      <c r="O45" s="1140" t="s">
        <v>591</v>
      </c>
      <c r="P45" s="1140" t="s">
        <v>592</v>
      </c>
      <c r="Q45" s="1140" t="s">
        <v>591</v>
      </c>
      <c r="R45" s="1140" t="s">
        <v>592</v>
      </c>
      <c r="S45" s="1140"/>
      <c r="T45" s="1016" t="s">
        <v>581</v>
      </c>
      <c r="U45" s="1016" t="s">
        <v>581</v>
      </c>
      <c r="V45" s="1016" t="s">
        <v>581</v>
      </c>
      <c r="W45" s="1016" t="s">
        <v>581</v>
      </c>
      <c r="X45" s="1016"/>
      <c r="Y45" s="1183"/>
      <c r="Z45" s="1019" t="s">
        <v>593</v>
      </c>
      <c r="AA45" s="1019" t="s">
        <v>593</v>
      </c>
      <c r="AB45" s="1019" t="s">
        <v>593</v>
      </c>
      <c r="AC45" s="1019" t="s">
        <v>593</v>
      </c>
      <c r="AD45" s="1019"/>
    </row>
    <row customHeight="1" ht="54">
      <c r="A46" s="1018"/>
      <c r="B46" s="1078">
        <v>29</v>
      </c>
      <c r="C46" s="1016">
        <v>15</v>
      </c>
      <c r="D46" s="1150"/>
      <c r="E46" s="1016"/>
      <c r="F46" s="1016"/>
      <c r="G46" s="1016"/>
      <c r="H46" s="1068"/>
      <c r="I46" s="1188" t="str">
        <f>INDEX(TEMPLATE_NUMBER_POINT_FHD,B46,MATCH(TEMPLATE_SPHERE,TEMPLATE_SPHERE_LIST_FOR_NOTE,0))</f>
        <v>2.10</v>
      </c>
      <c r="J46" s="1188" t="str">
        <f>INDEX(TEMPLATE_DATA_POINT_FHD,B46,MATCH(TEMPLATE_SPHERE,TEMPLATE_SPHERE_LIST_FOR_NOTE,0))</f>
        <v>Расходы на капитальный и текущий ремонт основных средств</v>
      </c>
      <c r="K46" s="118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1017" t="str">
        <f>IF(I46=0,"",I46)</f>
        <v>2.10</v>
      </c>
      <c r="M46" s="1017" t="str">
        <f>IF(J46=0,"",J46)</f>
        <v>Расходы на капитальный и текущий ремонт основных средств</v>
      </c>
      <c r="N46" s="1017"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1140" t="s">
        <v>594</v>
      </c>
      <c r="P46" s="1140" t="s">
        <v>572</v>
      </c>
      <c r="Q46" s="1140" t="s">
        <v>594</v>
      </c>
      <c r="R46" s="1140" t="s">
        <v>572</v>
      </c>
      <c r="S46" s="1140"/>
      <c r="T46" s="1016" t="s">
        <v>595</v>
      </c>
      <c r="U46" s="1016" t="s">
        <v>595</v>
      </c>
      <c r="V46" s="1016" t="s">
        <v>595</v>
      </c>
      <c r="W46" s="1016" t="s">
        <v>595</v>
      </c>
      <c r="X46" s="1016"/>
      <c r="Y46" s="1183"/>
      <c r="Z46" s="1019" t="s">
        <v>596</v>
      </c>
      <c r="AA46" s="1019" t="s">
        <v>597</v>
      </c>
      <c r="AB46" s="1019" t="s">
        <v>597</v>
      </c>
      <c r="AC46" s="1019" t="s">
        <v>597</v>
      </c>
      <c r="AD46" s="1019"/>
    </row>
    <row customHeight="1" ht="54">
      <c r="A47" s="1018"/>
      <c r="B47" s="1078">
        <v>30</v>
      </c>
      <c r="C47" s="1016" t="s">
        <v>598</v>
      </c>
      <c r="D47" s="1150"/>
      <c r="E47" s="1016"/>
      <c r="F47" s="1016"/>
      <c r="G47" s="1016"/>
      <c r="H47" s="1068"/>
      <c r="I47" s="1188" t="str">
        <f>INDEX(TEMPLATE_NUMBER_POINT_FHD,B47,MATCH(TEMPLATE_SPHERE,TEMPLATE_SPHERE_LIST_FOR_NOTE,0))</f>
        <v>2.10.1</v>
      </c>
      <c r="J47" s="118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188">
        <f>INDEX(TEMPLATE_NOTE_POINT_FHD,B47,MATCH(TEMPLATE_SPHERE,TEMPLATE_SPHERE_LIST_FOR_NOTE,0))</f>
        <v>0</v>
      </c>
      <c r="L47" s="1017" t="str">
        <f>IF(I47=0,"",I47)</f>
        <v>2.10.1</v>
      </c>
      <c r="M47" s="1017"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1017" t="str">
        <f>IF(K47=0,"",K47)</f>
        <v/>
      </c>
      <c r="O47" s="1140" t="s">
        <v>599</v>
      </c>
      <c r="P47" s="1140" t="s">
        <v>576</v>
      </c>
      <c r="Q47" s="1140" t="s">
        <v>599</v>
      </c>
      <c r="R47" s="1140" t="s">
        <v>576</v>
      </c>
      <c r="S47" s="1140"/>
      <c r="T47" s="1016" t="s">
        <v>600</v>
      </c>
      <c r="U47" s="1016" t="s">
        <v>600</v>
      </c>
      <c r="V47" s="1016" t="s">
        <v>600</v>
      </c>
      <c r="W47" s="1016" t="s">
        <v>600</v>
      </c>
      <c r="X47" s="1016"/>
      <c r="Y47" s="1183"/>
      <c r="Z47" s="1019"/>
      <c r="AA47" s="1022"/>
      <c r="AB47" s="1022"/>
      <c r="AC47" s="1022"/>
      <c r="AD47" s="1019"/>
    </row>
    <row customHeight="1" ht="54">
      <c r="A48" s="1018"/>
      <c r="B48" s="1078">
        <v>31</v>
      </c>
      <c r="C48" s="1016">
        <v>16</v>
      </c>
      <c r="D48" s="1150"/>
      <c r="E48" s="1016"/>
      <c r="F48" s="1016"/>
      <c r="G48" s="1016"/>
      <c r="H48" s="1068"/>
      <c r="I48" s="1188" t="str">
        <f>INDEX(TEMPLATE_NUMBER_POINT_FHD,B48,MATCH(TEMPLATE_SPHERE,TEMPLATE_SPHERE_LIST_FOR_NOTE,0))</f>
        <v>2.11</v>
      </c>
      <c r="J48" s="118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18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1017" t="str">
        <f>IF(I48=0,"",I48)</f>
        <v>2.11</v>
      </c>
      <c r="M48" s="1017"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1017"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1140"/>
      <c r="P48" s="1140" t="s">
        <v>583</v>
      </c>
      <c r="Q48" s="1140" t="s">
        <v>601</v>
      </c>
      <c r="R48" s="1140" t="s">
        <v>583</v>
      </c>
      <c r="S48" s="1140"/>
      <c r="T48" s="1016"/>
      <c r="U48" s="1016" t="s">
        <v>602</v>
      </c>
      <c r="V48" s="1016" t="s">
        <v>603</v>
      </c>
      <c r="W48" s="1016" t="s">
        <v>603</v>
      </c>
      <c r="X48" s="1016"/>
      <c r="Y48" s="1183"/>
      <c r="Z48" s="1019"/>
      <c r="AA48" s="1022" t="s">
        <v>597</v>
      </c>
      <c r="AB48" s="1022" t="s">
        <v>597</v>
      </c>
      <c r="AC48" s="1022" t="s">
        <v>597</v>
      </c>
      <c r="AD48" s="1019"/>
    </row>
    <row customHeight="1" ht="54">
      <c r="A49" s="1018"/>
      <c r="B49" s="1078">
        <v>32</v>
      </c>
      <c r="C49" s="1016" t="s">
        <v>604</v>
      </c>
      <c r="D49" s="1150"/>
      <c r="E49" s="1016"/>
      <c r="F49" s="1016"/>
      <c r="G49" s="1016"/>
      <c r="H49" s="1068"/>
      <c r="I49" s="1188" t="str">
        <f>INDEX(TEMPLATE_NUMBER_POINT_FHD,B49,MATCH(TEMPLATE_SPHERE,TEMPLATE_SPHERE_LIST_FOR_NOTE,0))</f>
        <v>2.11.1</v>
      </c>
      <c r="J49" s="118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188">
        <f>INDEX(TEMPLATE_NOTE_POINT_FHD,B49,MATCH(TEMPLATE_SPHERE,TEMPLATE_SPHERE_LIST_FOR_NOTE,0))</f>
        <v>0</v>
      </c>
      <c r="L49" s="1017" t="str">
        <f>IF(I49=0,"",I49)</f>
        <v>2.11.1</v>
      </c>
      <c r="M49" s="1017"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1017" t="str">
        <f>IF(K49=0,"",K49)</f>
        <v/>
      </c>
      <c r="O49" s="1140"/>
      <c r="P49" s="1140" t="s">
        <v>587</v>
      </c>
      <c r="Q49" s="1140" t="s">
        <v>605</v>
      </c>
      <c r="R49" s="1140" t="s">
        <v>587</v>
      </c>
      <c r="S49" s="1140"/>
      <c r="T49" s="1016"/>
      <c r="U49" s="1016" t="s">
        <v>600</v>
      </c>
      <c r="V49" s="1016" t="s">
        <v>600</v>
      </c>
      <c r="W49" s="1016" t="s">
        <v>600</v>
      </c>
      <c r="X49" s="1016"/>
      <c r="Y49" s="1183"/>
      <c r="Z49" s="1019"/>
      <c r="AA49" s="1022"/>
      <c r="AB49" s="1022"/>
      <c r="AC49" s="1022"/>
      <c r="AD49" s="1019"/>
    </row>
    <row customHeight="1" ht="126">
      <c r="A50" s="1018"/>
      <c r="B50" s="1078">
        <v>33</v>
      </c>
      <c r="C50" s="1016">
        <v>17</v>
      </c>
      <c r="D50" s="1150"/>
      <c r="E50" s="1016"/>
      <c r="F50" s="1016"/>
      <c r="G50" s="1016"/>
      <c r="H50" s="1068"/>
      <c r="I50" s="1188" t="str">
        <f>INDEX(TEMPLATE_NUMBER_POINT_FHD,B50,MATCH(TEMPLATE_SPHERE,TEMPLATE_SPHERE_LIST_FOR_NOTE,0))</f>
        <v>2.12</v>
      </c>
      <c r="J50" s="1188"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18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1017" t="str">
        <f>IF(I50=0,"",I50)</f>
        <v>2.12</v>
      </c>
      <c r="M50" s="1017"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1017"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1140" t="s">
        <v>601</v>
      </c>
      <c r="P50" s="1140" t="s">
        <v>594</v>
      </c>
      <c r="Q50" s="1140" t="s">
        <v>606</v>
      </c>
      <c r="R50" s="1140" t="s">
        <v>594</v>
      </c>
      <c r="S50" s="1140"/>
      <c r="T50" s="1016" t="s">
        <v>607</v>
      </c>
      <c r="U50" s="1016" t="s">
        <v>608</v>
      </c>
      <c r="V50" s="1016" t="s">
        <v>609</v>
      </c>
      <c r="W50" s="1016" t="s">
        <v>610</v>
      </c>
      <c r="X50" s="1016"/>
      <c r="Y50" s="1183"/>
      <c r="Z50" s="1019" t="s">
        <v>611</v>
      </c>
      <c r="AA50" s="1022" t="s">
        <v>612</v>
      </c>
      <c r="AB50" s="1022" t="s">
        <v>612</v>
      </c>
      <c r="AC50" s="1022" t="s">
        <v>612</v>
      </c>
      <c r="AD50" s="1019"/>
    </row>
    <row customHeight="1" ht="27">
      <c r="A51" s="1018"/>
      <c r="B51" s="1078">
        <v>34</v>
      </c>
      <c r="C51" s="1016" t="s">
        <v>613</v>
      </c>
      <c r="D51" s="1150"/>
      <c r="E51" s="1016"/>
      <c r="F51" s="1016"/>
      <c r="G51" s="1016"/>
      <c r="H51" s="1068"/>
      <c r="I51" s="1188">
        <f>INDEX(TEMPLATE_NUMBER_POINT_FHD,B51,MATCH(TEMPLATE_SPHERE,TEMPLATE_SPHERE_LIST_FOR_NOTE,0))</f>
        <v>0</v>
      </c>
      <c r="J51" s="1188">
        <f>INDEX(TEMPLATE_DATA_POINT_FHD,B51,MATCH(TEMPLATE_SPHERE,TEMPLATE_SPHERE_LIST_FOR_NOTE,0))</f>
        <v>0</v>
      </c>
      <c r="K51" s="1188">
        <f>INDEX(TEMPLATE_NOTE_POINT_FHD,B51,MATCH(TEMPLATE_SPHERE,TEMPLATE_SPHERE_LIST_FOR_NOTE,0))</f>
        <v>0</v>
      </c>
      <c r="L51" s="1017" t="str">
        <f>IF(I51=0,"",I51)</f>
        <v/>
      </c>
      <c r="M51" s="1017" t="str">
        <f>IF(J51=0,"",J51)</f>
        <v/>
      </c>
      <c r="N51" s="1017" t="str">
        <f>IF(K51=0,"",K51)</f>
        <v/>
      </c>
      <c r="O51" s="1140" t="s">
        <v>89</v>
      </c>
      <c r="P51" s="1140"/>
      <c r="Q51" s="1140"/>
      <c r="R51" s="1140"/>
      <c r="S51" s="1140"/>
      <c r="T51" s="1016" t="s">
        <v>614</v>
      </c>
      <c r="U51" s="1016"/>
      <c r="V51" s="1016"/>
      <c r="W51" s="1016"/>
      <c r="X51" s="1016"/>
      <c r="Y51" s="1183"/>
      <c r="Z51" s="1019"/>
      <c r="AA51" s="1022"/>
      <c r="AB51" s="1022"/>
      <c r="AC51" s="1022"/>
      <c r="AD51" s="1019"/>
    </row>
    <row customHeight="1" ht="36">
      <c r="A52" s="1018"/>
      <c r="B52" s="1078">
        <v>35</v>
      </c>
      <c r="C52" s="1016" t="s">
        <v>491</v>
      </c>
      <c r="D52" s="1150" t="s">
        <v>491</v>
      </c>
      <c r="E52" s="1016" t="s">
        <v>491</v>
      </c>
      <c r="F52" s="1016" t="s">
        <v>491</v>
      </c>
      <c r="G52" s="1016"/>
      <c r="H52" s="1068"/>
      <c r="I52" s="1188" t="str">
        <f>INDEX(TEMPLATE_NUMBER_POINT_FHD,B52,MATCH(TEMPLATE_SPHERE,TEMPLATE_SPHERE_LIST_FOR_NOTE,0))</f>
        <v>3</v>
      </c>
      <c r="J52" s="1188"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188" t="str">
        <f>INDEX(TEMPLATE_NOTE_POINT_FHD,B52,MATCH(TEMPLATE_SPHERE,TEMPLATE_SPHERE_LIST_FOR_NOTE,0))</f>
        <v>Указывается общая сумма чистой прибыли, полученной от регулируемого вида деятельности.</v>
      </c>
      <c r="L52" s="1017" t="str">
        <f>IF(I52=0,"",I52)</f>
        <v>3</v>
      </c>
      <c r="M52" s="1017" t="str">
        <f>IF(J52=0,"",J52)</f>
        <v>Чистая прибыль, полученная от регулируемого вида деятельности в сфере водоотведения, в том числе:</v>
      </c>
      <c r="N52" s="1017" t="str">
        <f>IF(K52=0,"",K52)</f>
        <v>Указывается общая сумма чистой прибыли, полученной от регулируемого вида деятельности.</v>
      </c>
      <c r="O52" s="1140" t="s">
        <v>90</v>
      </c>
      <c r="P52" s="1140" t="s">
        <v>89</v>
      </c>
      <c r="Q52" s="1140" t="s">
        <v>89</v>
      </c>
      <c r="R52" s="1140" t="s">
        <v>89</v>
      </c>
      <c r="S52" s="1140"/>
      <c r="T52" s="1016" t="s">
        <v>615</v>
      </c>
      <c r="U52" s="1016" t="s">
        <v>616</v>
      </c>
      <c r="V52" s="1016" t="s">
        <v>617</v>
      </c>
      <c r="W52" s="1016" t="s">
        <v>618</v>
      </c>
      <c r="X52" s="1016"/>
      <c r="Y52" s="1183"/>
      <c r="Z52" s="1019" t="s">
        <v>619</v>
      </c>
      <c r="AA52" s="1022" t="s">
        <v>619</v>
      </c>
      <c r="AB52" s="1022" t="s">
        <v>619</v>
      </c>
      <c r="AC52" s="1022" t="s">
        <v>619</v>
      </c>
      <c r="AD52" s="1019"/>
    </row>
    <row customHeight="1" ht="36">
      <c r="A53" s="1018"/>
      <c r="B53" s="1078">
        <v>36</v>
      </c>
      <c r="C53" s="1016">
        <v>1</v>
      </c>
      <c r="D53" s="1150"/>
      <c r="E53" s="1016"/>
      <c r="F53" s="1016"/>
      <c r="G53" s="1016"/>
      <c r="H53" s="1068"/>
      <c r="I53" s="1188" t="str">
        <f>INDEX(TEMPLATE_NUMBER_POINT_FHD,B53,MATCH(TEMPLATE_SPHERE,TEMPLATE_SPHERE_LIST_FOR_NOTE,0))</f>
        <v>3.1</v>
      </c>
      <c r="J53" s="118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188">
        <f>INDEX(TEMPLATE_NOTE_POINT_FHD,B53,MATCH(TEMPLATE_SPHERE,TEMPLATE_SPHERE_LIST_FOR_NOTE,0))</f>
        <v>0</v>
      </c>
      <c r="L53" s="1017" t="str">
        <f>IF(I53=0,"",I53)</f>
        <v>3.1</v>
      </c>
      <c r="M53" s="1017"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1017" t="str">
        <f>IF(K53=0,"",K53)</f>
        <v/>
      </c>
      <c r="O53" s="1140" t="s">
        <v>620</v>
      </c>
      <c r="P53" s="1140" t="s">
        <v>326</v>
      </c>
      <c r="Q53" s="1140" t="s">
        <v>326</v>
      </c>
      <c r="R53" s="1140" t="s">
        <v>326</v>
      </c>
      <c r="S53" s="1140"/>
      <c r="T53" s="1016" t="s">
        <v>621</v>
      </c>
      <c r="U53" s="1016" t="s">
        <v>621</v>
      </c>
      <c r="V53" s="1016" t="s">
        <v>621</v>
      </c>
      <c r="W53" s="1016" t="s">
        <v>621</v>
      </c>
      <c r="X53" s="1016"/>
      <c r="Y53" s="1183"/>
      <c r="Z53" s="1019"/>
      <c r="AA53" s="1022"/>
      <c r="AB53" s="1019"/>
      <c r="AC53" s="1019"/>
      <c r="AD53" s="1019"/>
    </row>
    <row customHeight="1" ht="18">
      <c r="A54" s="1018"/>
      <c r="B54" s="1078">
        <v>37</v>
      </c>
      <c r="C54" s="1016" t="s">
        <v>497</v>
      </c>
      <c r="D54" s="1150" t="s">
        <v>497</v>
      </c>
      <c r="E54" s="1016" t="s">
        <v>497</v>
      </c>
      <c r="F54" s="1016" t="s">
        <v>497</v>
      </c>
      <c r="G54" s="1016"/>
      <c r="H54" s="1068"/>
      <c r="I54" s="1188" t="str">
        <f>INDEX(TEMPLATE_NUMBER_POINT_FHD,B54,MATCH(TEMPLATE_SPHERE,TEMPLATE_SPHERE_LIST_FOR_NOTE,0))</f>
        <v>4</v>
      </c>
      <c r="J54" s="1188" t="str">
        <f>INDEX(TEMPLATE_DATA_POINT_FHD,B54,MATCH(TEMPLATE_SPHERE,TEMPLATE_SPHERE_LIST_FOR_NOTE,0))</f>
        <v>Изменение стоимости основных фондов, в том числе:</v>
      </c>
      <c r="K54" s="1188" t="str">
        <f>INDEX(TEMPLATE_NOTE_POINT_FHD,B54,MATCH(TEMPLATE_SPHERE,TEMPLATE_SPHERE_LIST_FOR_NOTE,0))</f>
        <v>Указывается общее изменение стоимости основных фондов.</v>
      </c>
      <c r="L54" s="1017" t="str">
        <f>IF(I54=0,"",I54)</f>
        <v>4</v>
      </c>
      <c r="M54" s="1017" t="str">
        <f>IF(J54=0,"",J54)</f>
        <v>Изменение стоимости основных фондов, в том числе:</v>
      </c>
      <c r="N54" s="1017" t="str">
        <f>IF(K54=0,"",K54)</f>
        <v>Указывается общее изменение стоимости основных фондов.</v>
      </c>
      <c r="O54" s="1140" t="s">
        <v>119</v>
      </c>
      <c r="P54" s="1140" t="s">
        <v>90</v>
      </c>
      <c r="Q54" s="1140" t="s">
        <v>90</v>
      </c>
      <c r="R54" s="1140" t="s">
        <v>90</v>
      </c>
      <c r="S54" s="1140"/>
      <c r="T54" s="1016" t="s">
        <v>622</v>
      </c>
      <c r="U54" s="1016" t="s">
        <v>622</v>
      </c>
      <c r="V54" s="1016" t="s">
        <v>622</v>
      </c>
      <c r="W54" s="1016" t="s">
        <v>622</v>
      </c>
      <c r="X54" s="1016"/>
      <c r="Y54" s="1183"/>
      <c r="Z54" s="1019" t="s">
        <v>623</v>
      </c>
      <c r="AA54" s="1019" t="s">
        <v>623</v>
      </c>
      <c r="AB54" s="1019" t="s">
        <v>623</v>
      </c>
      <c r="AC54" s="1019" t="s">
        <v>623</v>
      </c>
      <c r="AD54" s="1019"/>
    </row>
    <row customHeight="1" ht="36">
      <c r="A55" s="1018"/>
      <c r="B55" s="1078">
        <v>38</v>
      </c>
      <c r="C55" s="1016">
        <v>1</v>
      </c>
      <c r="D55" s="1150"/>
      <c r="E55" s="1016"/>
      <c r="F55" s="1016"/>
      <c r="G55" s="1016"/>
      <c r="H55" s="1068"/>
      <c r="I55" s="1188" t="str">
        <f>INDEX(TEMPLATE_NUMBER_POINT_FHD,B55,MATCH(TEMPLATE_SPHERE,TEMPLATE_SPHERE_LIST_FOR_NOTE,0))</f>
        <v>4.1</v>
      </c>
      <c r="J55" s="1188" t="str">
        <f>INDEX(TEMPLATE_DATA_POINT_FHD,B55,MATCH(TEMPLATE_SPHERE,TEMPLATE_SPHERE_LIST_FOR_NOTE,0))</f>
        <v>Изменение стоимости основных фондов за счет их ввода в эксплуатацию (вывода из эксплуатации)</v>
      </c>
      <c r="K55" s="118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1017" t="str">
        <f>IF(I55=0,"",I55)</f>
        <v>4.1</v>
      </c>
      <c r="M55" s="1017" t="str">
        <f>IF(J55=0,"",J55)</f>
        <v>Изменение стоимости основных фондов за счет их ввода в эксплуатацию (вывода из эксплуатации)</v>
      </c>
      <c r="N55" s="1017" t="str">
        <f>IF(K55=0,"",K55)</f>
        <v>Указываются общее изменение стоимости основных фондов за счет их ввода в эксплуатацию и вывода из эксплуатации.</v>
      </c>
      <c r="O55" s="1140" t="s">
        <v>315</v>
      </c>
      <c r="P55" s="1140" t="s">
        <v>620</v>
      </c>
      <c r="Q55" s="1140" t="s">
        <v>620</v>
      </c>
      <c r="R55" s="1140" t="s">
        <v>620</v>
      </c>
      <c r="S55" s="1140"/>
      <c r="T55" s="1016" t="s">
        <v>624</v>
      </c>
      <c r="U55" s="1016" t="s">
        <v>625</v>
      </c>
      <c r="V55" s="1016" t="s">
        <v>625</v>
      </c>
      <c r="W55" s="1016" t="s">
        <v>625</v>
      </c>
      <c r="X55" s="1016"/>
      <c r="Y55" s="1183"/>
      <c r="Z55" s="1019" t="s">
        <v>626</v>
      </c>
      <c r="AA55" s="1019" t="s">
        <v>626</v>
      </c>
      <c r="AB55" s="1019" t="s">
        <v>626</v>
      </c>
      <c r="AC55" s="1019" t="s">
        <v>626</v>
      </c>
      <c r="AD55" s="1019"/>
    </row>
    <row customHeight="1" ht="27">
      <c r="A56" s="1018"/>
      <c r="B56" s="1078">
        <v>39</v>
      </c>
      <c r="C56" s="1016" t="s">
        <v>627</v>
      </c>
      <c r="D56" s="1150"/>
      <c r="E56" s="1016"/>
      <c r="F56" s="1016"/>
      <c r="G56" s="1016"/>
      <c r="H56" s="1068"/>
      <c r="I56" s="1188" t="str">
        <f>INDEX(TEMPLATE_NUMBER_POINT_FHD,B56,MATCH(TEMPLATE_SPHERE,TEMPLATE_SPHERE_LIST_FOR_NOTE,0))</f>
        <v>4.1.1</v>
      </c>
      <c r="J56" s="1188" t="str">
        <f>INDEX(TEMPLATE_DATA_POINT_FHD,B56,MATCH(TEMPLATE_SPHERE,TEMPLATE_SPHERE_LIST_FOR_NOTE,0))</f>
        <v>Изменение стоимости основных фондов за счет их ввода в эксплуатацию</v>
      </c>
      <c r="K56" s="1188" t="str">
        <f>INDEX(TEMPLATE_NOTE_POINT_FHD,B56,MATCH(TEMPLATE_SPHERE,TEMPLATE_SPHERE_LIST_FOR_NOTE,0))</f>
        <v>Указываются изменение стоимости основных фондов за счет их ввода в эксплуатацию.</v>
      </c>
      <c r="L56" s="1017" t="str">
        <f>IF(I56=0,"",I56)</f>
        <v>4.1.1</v>
      </c>
      <c r="M56" s="1017" t="str">
        <f>IF(J56=0,"",J56)</f>
        <v>Изменение стоимости основных фондов за счет их ввода в эксплуатацию</v>
      </c>
      <c r="N56" s="1017" t="str">
        <f>IF(K56=0,"",K56)</f>
        <v>Указываются изменение стоимости основных фондов за счет их ввода в эксплуатацию.</v>
      </c>
      <c r="O56" s="1140" t="s">
        <v>628</v>
      </c>
      <c r="P56" s="1140" t="s">
        <v>629</v>
      </c>
      <c r="Q56" s="1140" t="s">
        <v>629</v>
      </c>
      <c r="R56" s="1140" t="s">
        <v>629</v>
      </c>
      <c r="S56" s="1140"/>
      <c r="T56" s="1016" t="s">
        <v>630</v>
      </c>
      <c r="U56" s="1016" t="s">
        <v>631</v>
      </c>
      <c r="V56" s="1016" t="s">
        <v>631</v>
      </c>
      <c r="W56" s="1016" t="s">
        <v>631</v>
      </c>
      <c r="X56" s="1016"/>
      <c r="Y56" s="1183"/>
      <c r="Z56" s="1019" t="s">
        <v>632</v>
      </c>
      <c r="AA56" s="1019" t="s">
        <v>632</v>
      </c>
      <c r="AB56" s="1019" t="s">
        <v>632</v>
      </c>
      <c r="AC56" s="1019" t="s">
        <v>632</v>
      </c>
      <c r="AD56" s="1019"/>
    </row>
    <row customHeight="1" ht="27">
      <c r="A57" s="1018"/>
      <c r="B57" s="1078">
        <v>40</v>
      </c>
      <c r="C57" s="1016" t="s">
        <v>633</v>
      </c>
      <c r="D57" s="1150"/>
      <c r="E57" s="1016"/>
      <c r="F57" s="1016"/>
      <c r="G57" s="1016"/>
      <c r="H57" s="1068"/>
      <c r="I57" s="1188" t="str">
        <f>INDEX(TEMPLATE_NUMBER_POINT_FHD,B57,MATCH(TEMPLATE_SPHERE,TEMPLATE_SPHERE_LIST_FOR_NOTE,0))</f>
        <v>4.1.2</v>
      </c>
      <c r="J57" s="1188" t="str">
        <f>INDEX(TEMPLATE_DATA_POINT_FHD,B57,MATCH(TEMPLATE_SPHERE,TEMPLATE_SPHERE_LIST_FOR_NOTE,0))</f>
        <v>Изменение стоимости основных фондов за счет их вывода в эксплуатацию</v>
      </c>
      <c r="K57" s="1188" t="str">
        <f>INDEX(TEMPLATE_NOTE_POINT_FHD,B57,MATCH(TEMPLATE_SPHERE,TEMPLATE_SPHERE_LIST_FOR_NOTE,0))</f>
        <v>Указываются изменение стоимости основных фондов за счет их вывода из эксплуатации.</v>
      </c>
      <c r="L57" s="1017" t="str">
        <f>IF(I57=0,"",I57)</f>
        <v>4.1.2</v>
      </c>
      <c r="M57" s="1017" t="str">
        <f>IF(J57=0,"",J57)</f>
        <v>Изменение стоимости основных фондов за счет их вывода в эксплуатацию</v>
      </c>
      <c r="N57" s="1017" t="str">
        <f>IF(K57=0,"",K57)</f>
        <v>Указываются изменение стоимости основных фондов за счет их вывода из эксплуатации.</v>
      </c>
      <c r="O57" s="1140" t="s">
        <v>634</v>
      </c>
      <c r="P57" s="1140" t="s">
        <v>635</v>
      </c>
      <c r="Q57" s="1140" t="s">
        <v>635</v>
      </c>
      <c r="R57" s="1140" t="s">
        <v>635</v>
      </c>
      <c r="S57" s="1140"/>
      <c r="T57" s="1016" t="s">
        <v>636</v>
      </c>
      <c r="U57" s="1016" t="s">
        <v>637</v>
      </c>
      <c r="V57" s="1016" t="s">
        <v>637</v>
      </c>
      <c r="W57" s="1016" t="s">
        <v>637</v>
      </c>
      <c r="X57" s="1016"/>
      <c r="Y57" s="1183"/>
      <c r="Z57" s="1019" t="s">
        <v>638</v>
      </c>
      <c r="AA57" s="1019" t="s">
        <v>638</v>
      </c>
      <c r="AB57" s="1019" t="s">
        <v>638</v>
      </c>
      <c r="AC57" s="1019" t="s">
        <v>638</v>
      </c>
      <c r="AD57" s="1019"/>
    </row>
    <row customHeight="1" ht="18">
      <c r="A58" s="1018"/>
      <c r="B58" s="1078">
        <v>41</v>
      </c>
      <c r="C58" s="1016">
        <v>2</v>
      </c>
      <c r="D58" s="1150"/>
      <c r="E58" s="1016"/>
      <c r="F58" s="1016"/>
      <c r="G58" s="1016"/>
      <c r="H58" s="1068"/>
      <c r="I58" s="1188" t="str">
        <f>INDEX(TEMPLATE_NUMBER_POINT_FHD,B58,MATCH(TEMPLATE_SPHERE,TEMPLATE_SPHERE_LIST_FOR_NOTE,0))</f>
        <v>4.2</v>
      </c>
      <c r="J58" s="1188" t="str">
        <f>INDEX(TEMPLATE_DATA_POINT_FHD,B58,MATCH(TEMPLATE_SPHERE,TEMPLATE_SPHERE_LIST_FOR_NOTE,0))</f>
        <v>Изменение стоимости основных фондов за счет их переоценки</v>
      </c>
      <c r="K58" s="1188">
        <f>INDEX(TEMPLATE_NOTE_POINT_FHD,B58,MATCH(TEMPLATE_SPHERE,TEMPLATE_SPHERE_LIST_FOR_NOTE,0))</f>
        <v>0</v>
      </c>
      <c r="L58" s="1017" t="str">
        <f>IF(I58=0,"",I58)</f>
        <v>4.2</v>
      </c>
      <c r="M58" s="1017" t="str">
        <f>IF(J58=0,"",J58)</f>
        <v>Изменение стоимости основных фондов за счет их переоценки</v>
      </c>
      <c r="N58" s="1017" t="str">
        <f>IF(K58=0,"",K58)</f>
        <v/>
      </c>
      <c r="O58" s="1140" t="s">
        <v>317</v>
      </c>
      <c r="P58" s="1140" t="s">
        <v>639</v>
      </c>
      <c r="Q58" s="1140" t="s">
        <v>639</v>
      </c>
      <c r="R58" s="1140" t="s">
        <v>639</v>
      </c>
      <c r="S58" s="1140"/>
      <c r="T58" s="1016" t="s">
        <v>640</v>
      </c>
      <c r="U58" s="1016" t="s">
        <v>640</v>
      </c>
      <c r="V58" s="1016" t="s">
        <v>640</v>
      </c>
      <c r="W58" s="1016" t="s">
        <v>640</v>
      </c>
      <c r="X58" s="1016"/>
      <c r="Y58" s="1183"/>
      <c r="Z58" s="1019"/>
      <c r="AA58" s="1022"/>
      <c r="AB58" s="1019"/>
      <c r="AC58" s="1019"/>
      <c r="AD58" s="1019"/>
    </row>
    <row customHeight="1" ht="36">
      <c r="A59" s="1018"/>
      <c r="B59" s="1078">
        <v>42</v>
      </c>
      <c r="C59" s="1016">
        <v>3</v>
      </c>
      <c r="D59" s="1150" t="s">
        <v>613</v>
      </c>
      <c r="E59" s="1016" t="s">
        <v>613</v>
      </c>
      <c r="F59" s="1016" t="s">
        <v>613</v>
      </c>
      <c r="G59" s="1016"/>
      <c r="H59" s="1068"/>
      <c r="I59" s="1188" t="str">
        <f>INDEX(TEMPLATE_NUMBER_POINT_FHD,B59,MATCH(TEMPLATE_SPHERE,TEMPLATE_SPHERE_LIST_FOR_NOTE,0))</f>
        <v>5</v>
      </c>
      <c r="J59" s="1188"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188">
        <f>INDEX(TEMPLATE_NOTE_POINT_FHD,B59,MATCH(TEMPLATE_SPHERE,TEMPLATE_SPHERE_LIST_FOR_NOTE,0))</f>
        <v>0</v>
      </c>
      <c r="L59" s="1017" t="str">
        <f>IF(I59=0,"",I59)</f>
        <v>5</v>
      </c>
      <c r="M59" s="1017" t="str">
        <f>IF(J59=0,"",J59)</f>
        <v>Валовая прибыль (убытки) от продажи товаров и услуг по регулируемым видам деятельности в сфере водоотведения</v>
      </c>
      <c r="N59" s="1017" t="str">
        <f>IF(K59=0,"",K59)</f>
        <v/>
      </c>
      <c r="O59" s="1140"/>
      <c r="P59" s="1140" t="s">
        <v>119</v>
      </c>
      <c r="Q59" s="1140" t="s">
        <v>119</v>
      </c>
      <c r="R59" s="1140" t="s">
        <v>119</v>
      </c>
      <c r="S59" s="1140"/>
      <c r="T59" s="1016"/>
      <c r="U59" s="1016" t="s">
        <v>641</v>
      </c>
      <c r="V59" s="1016" t="s">
        <v>642</v>
      </c>
      <c r="W59" s="1016" t="s">
        <v>643</v>
      </c>
      <c r="X59" s="1016"/>
      <c r="Y59" s="1183"/>
      <c r="Z59" s="1019"/>
      <c r="AA59" s="1022"/>
      <c r="AB59" s="1019"/>
      <c r="AC59" s="1019"/>
      <c r="AD59" s="1019"/>
    </row>
    <row customHeight="1" ht="81">
      <c r="A60" s="1018"/>
      <c r="B60" s="1078">
        <v>43</v>
      </c>
      <c r="C60" s="1016" t="s">
        <v>644</v>
      </c>
      <c r="D60" s="1150" t="s">
        <v>644</v>
      </c>
      <c r="E60" s="1016" t="s">
        <v>644</v>
      </c>
      <c r="F60" s="1016" t="s">
        <v>644</v>
      </c>
      <c r="G60" s="1016"/>
      <c r="H60" s="1068"/>
      <c r="I60" s="1188" t="str">
        <f>INDEX(TEMPLATE_NUMBER_POINT_FHD,B60,MATCH(TEMPLATE_SPHERE,TEMPLATE_SPHERE_LIST_FOR_NOTE,0))</f>
        <v>6</v>
      </c>
      <c r="J60" s="1188" t="str">
        <f>INDEX(TEMPLATE_DATA_POINT_FHD,B60,MATCH(TEMPLATE_SPHERE,TEMPLATE_SPHERE_LIST_FOR_NOTE,0))</f>
        <v>Годовая бухгалтерская (финансовая) отчетность, включая бухгалтерский баланс и приложения к нему</v>
      </c>
      <c r="K60" s="118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1017" t="str">
        <f>IF(I60=0,"",I60)</f>
        <v>6</v>
      </c>
      <c r="M60" s="1017" t="str">
        <f>IF(J60=0,"",J60)</f>
        <v>Годовая бухгалтерская (финансовая) отчетность, включая бухгалтерский баланс и приложения к нему</v>
      </c>
      <c r="N60" s="1017"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1140" t="s">
        <v>91</v>
      </c>
      <c r="P60" s="1140" t="s">
        <v>91</v>
      </c>
      <c r="Q60" s="1140" t="s">
        <v>91</v>
      </c>
      <c r="R60" s="1140" t="s">
        <v>91</v>
      </c>
      <c r="S60" s="1140"/>
      <c r="T60" s="1016" t="s">
        <v>645</v>
      </c>
      <c r="U60" s="1016" t="s">
        <v>645</v>
      </c>
      <c r="V60" s="1016" t="s">
        <v>645</v>
      </c>
      <c r="W60" s="1016" t="s">
        <v>645</v>
      </c>
      <c r="X60" s="1016"/>
      <c r="Y60" s="1183"/>
      <c r="Z60" s="1019" t="s">
        <v>646</v>
      </c>
      <c r="AA60" s="1022" t="s">
        <v>647</v>
      </c>
      <c r="AB60" s="1019" t="s">
        <v>648</v>
      </c>
      <c r="AC60" s="1019" t="s">
        <v>647</v>
      </c>
      <c r="AD60" s="1019"/>
    </row>
    <row customHeight="1" ht="9">
      <c r="A61" s="1018"/>
      <c r="B61" s="1078">
        <v>44</v>
      </c>
      <c r="C61" s="1016"/>
      <c r="D61" s="1150" t="s">
        <v>649</v>
      </c>
      <c r="E61" s="1016"/>
      <c r="F61" s="1016"/>
      <c r="G61" s="1016"/>
      <c r="H61" s="1068"/>
      <c r="I61" s="1188">
        <f>INDEX(TEMPLATE_NUMBER_POINT_FHD,B61,MATCH(TEMPLATE_SPHERE,TEMPLATE_SPHERE_LIST_FOR_NOTE,0))</f>
        <v>0</v>
      </c>
      <c r="J61" s="1188">
        <f>INDEX(TEMPLATE_DATA_POINT_FHD,B61,MATCH(TEMPLATE_SPHERE,TEMPLATE_SPHERE_LIST_FOR_NOTE,0))</f>
        <v>0</v>
      </c>
      <c r="K61" s="1188">
        <f>INDEX(TEMPLATE_NOTE_POINT_FHD,B61,MATCH(TEMPLATE_SPHERE,TEMPLATE_SPHERE_LIST_FOR_NOTE,0))</f>
        <v>0</v>
      </c>
      <c r="L61" s="1017" t="str">
        <f>IF(I61=0,"",I61)</f>
        <v/>
      </c>
      <c r="M61" s="1017" t="str">
        <f>IF(J61=0,"",J61)</f>
        <v/>
      </c>
      <c r="N61" s="1017" t="str">
        <f>IF(K61=0,"",K61)</f>
        <v/>
      </c>
      <c r="O61" s="1140"/>
      <c r="P61" s="1140" t="s">
        <v>92</v>
      </c>
      <c r="Q61" s="1140"/>
      <c r="R61" s="1140"/>
      <c r="S61" s="1140"/>
      <c r="T61" s="1016"/>
      <c r="U61" s="1016" t="s">
        <v>650</v>
      </c>
      <c r="V61" s="1016"/>
      <c r="W61" s="1016"/>
      <c r="X61" s="1016"/>
      <c r="Y61" s="1183"/>
      <c r="Z61" s="1019"/>
      <c r="AA61" s="1022"/>
      <c r="AB61" s="1019"/>
      <c r="AC61" s="1019"/>
      <c r="AD61" s="1019"/>
    </row>
    <row customHeight="1" ht="9">
      <c r="A62" s="1018"/>
      <c r="B62" s="1078">
        <v>45</v>
      </c>
      <c r="C62" s="1016"/>
      <c r="D62" s="1150" t="s">
        <v>651</v>
      </c>
      <c r="E62" s="1016"/>
      <c r="F62" s="1016"/>
      <c r="G62" s="1016"/>
      <c r="H62" s="1068"/>
      <c r="I62" s="1188">
        <f>INDEX(TEMPLATE_NUMBER_POINT_FHD,B62,MATCH(TEMPLATE_SPHERE,TEMPLATE_SPHERE_LIST_FOR_NOTE,0))</f>
        <v>0</v>
      </c>
      <c r="J62" s="1188">
        <f>INDEX(TEMPLATE_DATA_POINT_FHD,B62,MATCH(TEMPLATE_SPHERE,TEMPLATE_SPHERE_LIST_FOR_NOTE,0))</f>
        <v>0</v>
      </c>
      <c r="K62" s="1188">
        <f>INDEX(TEMPLATE_NOTE_POINT_FHD,B62,MATCH(TEMPLATE_SPHERE,TEMPLATE_SPHERE_LIST_FOR_NOTE,0))</f>
        <v>0</v>
      </c>
      <c r="L62" s="1017" t="str">
        <f>IF(I62=0,"",I62)</f>
        <v/>
      </c>
      <c r="M62" s="1017" t="str">
        <f>IF(J62=0,"",J62)</f>
        <v/>
      </c>
      <c r="N62" s="1017" t="str">
        <f>IF(K62=0,"",K62)</f>
        <v/>
      </c>
      <c r="O62" s="1140"/>
      <c r="P62" s="1140" t="s">
        <v>120</v>
      </c>
      <c r="Q62" s="1140"/>
      <c r="R62" s="1140"/>
      <c r="S62" s="1140"/>
      <c r="T62" s="1016"/>
      <c r="U62" s="1016" t="s">
        <v>652</v>
      </c>
      <c r="V62" s="1016"/>
      <c r="W62" s="1016"/>
      <c r="X62" s="1016"/>
      <c r="Y62" s="1183"/>
      <c r="Z62" s="1019"/>
      <c r="AA62" s="1022"/>
      <c r="AB62" s="1019"/>
      <c r="AC62" s="1019"/>
      <c r="AD62" s="1019"/>
    </row>
    <row customHeight="1" ht="18">
      <c r="A63" s="1018"/>
      <c r="B63" s="1078">
        <v>46</v>
      </c>
      <c r="C63" s="1016"/>
      <c r="D63" s="1150" t="s">
        <v>653</v>
      </c>
      <c r="E63" s="1016"/>
      <c r="F63" s="1016"/>
      <c r="G63" s="1016"/>
      <c r="H63" s="1068"/>
      <c r="I63" s="1188">
        <f>INDEX(TEMPLATE_NUMBER_POINT_FHD,B63,MATCH(TEMPLATE_SPHERE,TEMPLATE_SPHERE_LIST_FOR_NOTE,0))</f>
        <v>0</v>
      </c>
      <c r="J63" s="1188">
        <f>INDEX(TEMPLATE_DATA_POINT_FHD,B63,MATCH(TEMPLATE_SPHERE,TEMPLATE_SPHERE_LIST_FOR_NOTE,0))</f>
        <v>0</v>
      </c>
      <c r="K63" s="1188">
        <f>INDEX(TEMPLATE_NOTE_POINT_FHD,B63,MATCH(TEMPLATE_SPHERE,TEMPLATE_SPHERE_LIST_FOR_NOTE,0))</f>
        <v>0</v>
      </c>
      <c r="L63" s="1017" t="str">
        <f>IF(I63=0,"",I63)</f>
        <v/>
      </c>
      <c r="M63" s="1017" t="str">
        <f>IF(J63=0,"",J63)</f>
        <v/>
      </c>
      <c r="N63" s="1017" t="str">
        <f>IF(K63=0,"",K63)</f>
        <v/>
      </c>
      <c r="O63" s="1140"/>
      <c r="P63" s="1140" t="s">
        <v>157</v>
      </c>
      <c r="Q63" s="1140"/>
      <c r="R63" s="1140"/>
      <c r="S63" s="1140"/>
      <c r="T63" s="1016"/>
      <c r="U63" s="1016" t="s">
        <v>654</v>
      </c>
      <c r="V63" s="1016"/>
      <c r="W63" s="1016"/>
      <c r="X63" s="1016"/>
      <c r="Y63" s="1183"/>
      <c r="Z63" s="1019"/>
      <c r="AA63" s="1022"/>
      <c r="AB63" s="1019"/>
      <c r="AC63" s="1019"/>
      <c r="AD63" s="1019"/>
    </row>
    <row customHeight="1" ht="18">
      <c r="A64" s="1018"/>
      <c r="B64" s="1078">
        <v>47</v>
      </c>
      <c r="C64" s="1016"/>
      <c r="D64" s="1150" t="s">
        <v>655</v>
      </c>
      <c r="E64" s="1016"/>
      <c r="F64" s="1016"/>
      <c r="G64" s="1016"/>
      <c r="H64" s="1068"/>
      <c r="I64" s="1188">
        <f>INDEX(TEMPLATE_NUMBER_POINT_FHD,B64,MATCH(TEMPLATE_SPHERE,TEMPLATE_SPHERE_LIST_FOR_NOTE,0))</f>
        <v>0</v>
      </c>
      <c r="J64" s="1188">
        <f>INDEX(TEMPLATE_DATA_POINT_FHD,B64,MATCH(TEMPLATE_SPHERE,TEMPLATE_SPHERE_LIST_FOR_NOTE,0))</f>
        <v>0</v>
      </c>
      <c r="K64" s="1188">
        <f>INDEX(TEMPLATE_NOTE_POINT_FHD,B64,MATCH(TEMPLATE_SPHERE,TEMPLATE_SPHERE_LIST_FOR_NOTE,0))</f>
        <v>0</v>
      </c>
      <c r="L64" s="1017" t="str">
        <f>IF(I64=0,"",I64)</f>
        <v/>
      </c>
      <c r="M64" s="1017" t="str">
        <f>IF(J64=0,"",J64)</f>
        <v/>
      </c>
      <c r="N64" s="1017" t="str">
        <f>IF(K64=0,"",K64)</f>
        <v/>
      </c>
      <c r="O64" s="1140"/>
      <c r="P64" s="1140" t="s">
        <v>158</v>
      </c>
      <c r="Q64" s="1140"/>
      <c r="R64" s="1140"/>
      <c r="S64" s="1140"/>
      <c r="T64" s="1016"/>
      <c r="U64" s="1016" t="s">
        <v>656</v>
      </c>
      <c r="V64" s="1016"/>
      <c r="W64" s="1016"/>
      <c r="X64" s="1016"/>
      <c r="Y64" s="1183"/>
      <c r="Z64" s="1019"/>
      <c r="AA64" s="1022" t="s">
        <v>657</v>
      </c>
      <c r="AB64" s="1019"/>
      <c r="AC64" s="1019"/>
      <c r="AD64" s="1019"/>
    </row>
    <row customHeight="1" ht="18">
      <c r="A65" s="1018"/>
      <c r="B65" s="1078">
        <v>48</v>
      </c>
      <c r="C65" s="1016"/>
      <c r="D65" s="1150"/>
      <c r="E65" s="1016"/>
      <c r="F65" s="1016"/>
      <c r="G65" s="1016"/>
      <c r="H65" s="1068"/>
      <c r="I65" s="1188">
        <f>INDEX(TEMPLATE_NUMBER_POINT_FHD,B65,MATCH(TEMPLATE_SPHERE,TEMPLATE_SPHERE_LIST_FOR_NOTE,0))</f>
        <v>0</v>
      </c>
      <c r="J65" s="1188">
        <f>INDEX(TEMPLATE_DATA_POINT_FHD,B65,MATCH(TEMPLATE_SPHERE,TEMPLATE_SPHERE_LIST_FOR_NOTE,0))</f>
        <v>0</v>
      </c>
      <c r="K65" s="1188">
        <f>INDEX(TEMPLATE_NOTE_POINT_FHD,B65,MATCH(TEMPLATE_SPHERE,TEMPLATE_SPHERE_LIST_FOR_NOTE,0))</f>
        <v>0</v>
      </c>
      <c r="L65" s="1017" t="str">
        <f>IF(I65=0,"",I65)</f>
        <v/>
      </c>
      <c r="M65" s="1017" t="str">
        <f>IF(J65=0,"",J65)</f>
        <v/>
      </c>
      <c r="N65" s="1017" t="str">
        <f>IF(K65=0,"",K65)</f>
        <v/>
      </c>
      <c r="O65" s="1140"/>
      <c r="P65" s="1140" t="s">
        <v>552</v>
      </c>
      <c r="Q65" s="1140"/>
      <c r="R65" s="1140"/>
      <c r="S65" s="1140"/>
      <c r="T65" s="1016"/>
      <c r="U65" s="1016" t="s">
        <v>658</v>
      </c>
      <c r="V65" s="1016"/>
      <c r="W65" s="1016"/>
      <c r="X65" s="1016"/>
      <c r="Y65" s="1183"/>
      <c r="Z65" s="1019"/>
      <c r="AA65" s="1022"/>
      <c r="AB65" s="1019"/>
      <c r="AC65" s="1019"/>
      <c r="AD65" s="1019"/>
    </row>
    <row customHeight="1" ht="18">
      <c r="A66" s="1018"/>
      <c r="B66" s="1078">
        <v>49</v>
      </c>
      <c r="C66" s="1016"/>
      <c r="D66" s="1150"/>
      <c r="E66" s="1016"/>
      <c r="F66" s="1016"/>
      <c r="G66" s="1016"/>
      <c r="H66" s="1068"/>
      <c r="I66" s="1188">
        <f>INDEX(TEMPLATE_NUMBER_POINT_FHD,B66,MATCH(TEMPLATE_SPHERE,TEMPLATE_SPHERE_LIST_FOR_NOTE,0))</f>
        <v>0</v>
      </c>
      <c r="J66" s="1188">
        <f>INDEX(TEMPLATE_DATA_POINT_FHD,B66,MATCH(TEMPLATE_SPHERE,TEMPLATE_SPHERE_LIST_FOR_NOTE,0))</f>
        <v>0</v>
      </c>
      <c r="K66" s="1188">
        <f>INDEX(TEMPLATE_NOTE_POINT_FHD,B66,MATCH(TEMPLATE_SPHERE,TEMPLATE_SPHERE_LIST_FOR_NOTE,0))</f>
        <v>0</v>
      </c>
      <c r="L66" s="1017" t="str">
        <f>IF(I66=0,"",I66)</f>
        <v/>
      </c>
      <c r="M66" s="1017" t="str">
        <f>IF(J66=0,"",J66)</f>
        <v/>
      </c>
      <c r="N66" s="1017" t="str">
        <f>IF(K66=0,"",K66)</f>
        <v/>
      </c>
      <c r="O66" s="1140"/>
      <c r="P66" s="1140" t="s">
        <v>556</v>
      </c>
      <c r="Q66" s="1140"/>
      <c r="R66" s="1140"/>
      <c r="S66" s="1140"/>
      <c r="T66" s="1016"/>
      <c r="U66" s="1016" t="s">
        <v>659</v>
      </c>
      <c r="V66" s="1016"/>
      <c r="W66" s="1016"/>
      <c r="X66" s="1016"/>
      <c r="Y66" s="1183"/>
      <c r="Z66" s="1019"/>
      <c r="AA66" s="1022"/>
      <c r="AB66" s="1019"/>
      <c r="AC66" s="1019"/>
      <c r="AD66" s="1019"/>
    </row>
    <row customHeight="1" ht="27">
      <c r="A67" s="1018"/>
      <c r="B67" s="1078">
        <v>50</v>
      </c>
      <c r="C67" s="1016"/>
      <c r="D67" s="1150"/>
      <c r="E67" s="1016"/>
      <c r="F67" s="1016"/>
      <c r="G67" s="1016"/>
      <c r="H67" s="1068"/>
      <c r="I67" s="1188">
        <f>INDEX(TEMPLATE_NUMBER_POINT_FHD,B67,MATCH(TEMPLATE_SPHERE,TEMPLATE_SPHERE_LIST_FOR_NOTE,0))</f>
        <v>0</v>
      </c>
      <c r="J67" s="1188">
        <f>INDEX(TEMPLATE_DATA_POINT_FHD,B67,MATCH(TEMPLATE_SPHERE,TEMPLATE_SPHERE_LIST_FOR_NOTE,0))</f>
        <v>0</v>
      </c>
      <c r="K67" s="1188">
        <f>INDEX(TEMPLATE_NOTE_POINT_FHD,B67,MATCH(TEMPLATE_SPHERE,TEMPLATE_SPHERE_LIST_FOR_NOTE,0))</f>
        <v>0</v>
      </c>
      <c r="L67" s="1017" t="str">
        <f>IF(I67=0,"",I67)</f>
        <v/>
      </c>
      <c r="M67" s="1017" t="str">
        <f>IF(J67=0,"",J67)</f>
        <v/>
      </c>
      <c r="N67" s="1017" t="str">
        <f>IF(K67=0,"",K67)</f>
        <v/>
      </c>
      <c r="O67" s="1140"/>
      <c r="P67" s="1140" t="s">
        <v>660</v>
      </c>
      <c r="Q67" s="1140"/>
      <c r="R67" s="1140"/>
      <c r="S67" s="1140"/>
      <c r="T67" s="1016"/>
      <c r="U67" s="1016" t="s">
        <v>661</v>
      </c>
      <c r="V67" s="1016"/>
      <c r="W67" s="1016"/>
      <c r="X67" s="1016"/>
      <c r="Y67" s="1183"/>
      <c r="Z67" s="1019"/>
      <c r="AA67" s="1022"/>
      <c r="AB67" s="1019"/>
      <c r="AC67" s="1019"/>
      <c r="AD67" s="1019"/>
    </row>
    <row customHeight="1" ht="27">
      <c r="A68" s="1018"/>
      <c r="B68" s="1078">
        <v>51</v>
      </c>
      <c r="C68" s="1016"/>
      <c r="D68" s="1150"/>
      <c r="E68" s="1016"/>
      <c r="F68" s="1016"/>
      <c r="G68" s="1016"/>
      <c r="H68" s="1068"/>
      <c r="I68" s="1188">
        <f>INDEX(TEMPLATE_NUMBER_POINT_FHD,B68,MATCH(TEMPLATE_SPHERE,TEMPLATE_SPHERE_LIST_FOR_NOTE,0))</f>
        <v>0</v>
      </c>
      <c r="J68" s="1188">
        <f>INDEX(TEMPLATE_DATA_POINT_FHD,B68,MATCH(TEMPLATE_SPHERE,TEMPLATE_SPHERE_LIST_FOR_NOTE,0))</f>
        <v>0</v>
      </c>
      <c r="K68" s="1188">
        <f>INDEX(TEMPLATE_NOTE_POINT_FHD,B68,MATCH(TEMPLATE_SPHERE,TEMPLATE_SPHERE_LIST_FOR_NOTE,0))</f>
        <v>0</v>
      </c>
      <c r="L68" s="1017" t="str">
        <f>IF(I68=0,"",I68)</f>
        <v/>
      </c>
      <c r="M68" s="1017" t="str">
        <f>IF(J68=0,"",J68)</f>
        <v/>
      </c>
      <c r="N68" s="1017" t="str">
        <f>IF(K68=0,"",K68)</f>
        <v/>
      </c>
      <c r="O68" s="1140"/>
      <c r="P68" s="1140" t="s">
        <v>662</v>
      </c>
      <c r="Q68" s="1140"/>
      <c r="R68" s="1140"/>
      <c r="S68" s="1140"/>
      <c r="T68" s="1016"/>
      <c r="U68" s="1016" t="s">
        <v>663</v>
      </c>
      <c r="V68" s="1016"/>
      <c r="W68" s="1016"/>
      <c r="X68" s="1016"/>
      <c r="Y68" s="1183"/>
      <c r="Z68" s="1019"/>
      <c r="AA68" s="1022"/>
      <c r="AB68" s="1019"/>
      <c r="AC68" s="1019"/>
      <c r="AD68" s="1019"/>
    </row>
    <row customHeight="1" ht="9">
      <c r="A69" s="1018"/>
      <c r="B69" s="1078">
        <v>52</v>
      </c>
      <c r="C69" s="1016"/>
      <c r="D69" s="1150" t="s">
        <v>664</v>
      </c>
      <c r="E69" s="1016"/>
      <c r="F69" s="1016"/>
      <c r="G69" s="1016"/>
      <c r="H69" s="1068"/>
      <c r="I69" s="1188">
        <f>INDEX(TEMPLATE_NUMBER_POINT_FHD,B69,MATCH(TEMPLATE_SPHERE,TEMPLATE_SPHERE_LIST_FOR_NOTE,0))</f>
        <v>0</v>
      </c>
      <c r="J69" s="1188">
        <f>INDEX(TEMPLATE_DATA_POINT_FHD,B69,MATCH(TEMPLATE_SPHERE,TEMPLATE_SPHERE_LIST_FOR_NOTE,0))</f>
        <v>0</v>
      </c>
      <c r="K69" s="1188">
        <f>INDEX(TEMPLATE_NOTE_POINT_FHD,B69,MATCH(TEMPLATE_SPHERE,TEMPLATE_SPHERE_LIST_FOR_NOTE,0))</f>
        <v>0</v>
      </c>
      <c r="L69" s="1017" t="str">
        <f>IF(I69=0,"",I69)</f>
        <v/>
      </c>
      <c r="M69" s="1017" t="str">
        <f>IF(J69=0,"",J69)</f>
        <v/>
      </c>
      <c r="N69" s="1017" t="str">
        <f>IF(K69=0,"",K69)</f>
        <v/>
      </c>
      <c r="O69" s="1140"/>
      <c r="P69" s="1140" t="s">
        <v>159</v>
      </c>
      <c r="Q69" s="1140"/>
      <c r="R69" s="1140"/>
      <c r="S69" s="1140"/>
      <c r="T69" s="1016"/>
      <c r="U69" s="1016" t="s">
        <v>665</v>
      </c>
      <c r="V69" s="1016"/>
      <c r="W69" s="1016"/>
      <c r="X69" s="1016"/>
      <c r="Y69" s="1183"/>
      <c r="Z69" s="1019"/>
      <c r="AA69" s="1022"/>
      <c r="AB69" s="1019"/>
      <c r="AC69" s="1019"/>
      <c r="AD69" s="1019"/>
    </row>
    <row customHeight="1" ht="27">
      <c r="A70" s="1018"/>
      <c r="B70" s="1078">
        <v>53</v>
      </c>
      <c r="C70" s="1016"/>
      <c r="D70" s="1150"/>
      <c r="E70" s="1016" t="s">
        <v>649</v>
      </c>
      <c r="F70" s="1016"/>
      <c r="G70" s="1016"/>
      <c r="H70" s="1068"/>
      <c r="I70" s="1188">
        <f>INDEX(TEMPLATE_NUMBER_POINT_FHD,B70,MATCH(TEMPLATE_SPHERE,TEMPLATE_SPHERE_LIST_FOR_NOTE,0))</f>
        <v>0</v>
      </c>
      <c r="J70" s="1188">
        <f>INDEX(TEMPLATE_DATA_POINT_FHD,B70,MATCH(TEMPLATE_SPHERE,TEMPLATE_SPHERE_LIST_FOR_NOTE,0))</f>
        <v>0</v>
      </c>
      <c r="K70" s="1188">
        <f>INDEX(TEMPLATE_NOTE_POINT_FHD,B70,MATCH(TEMPLATE_SPHERE,TEMPLATE_SPHERE_LIST_FOR_NOTE,0))</f>
        <v>0</v>
      </c>
      <c r="L70" s="1017" t="str">
        <f>IF(I70=0,"",I70)</f>
        <v/>
      </c>
      <c r="M70" s="1017" t="str">
        <f>IF(J70=0,"",J70)</f>
        <v/>
      </c>
      <c r="N70" s="1017" t="str">
        <f>IF(K70=0,"",K70)</f>
        <v/>
      </c>
      <c r="O70" s="1140"/>
      <c r="P70" s="1140"/>
      <c r="Q70" s="1140" t="s">
        <v>92</v>
      </c>
      <c r="R70" s="1140"/>
      <c r="S70" s="1140"/>
      <c r="T70" s="1016"/>
      <c r="U70" s="1016"/>
      <c r="V70" s="1016" t="s">
        <v>666</v>
      </c>
      <c r="W70" s="1016"/>
      <c r="X70" s="1016"/>
      <c r="Y70" s="1183"/>
      <c r="Z70" s="1019"/>
      <c r="AA70" s="1022"/>
      <c r="AB70" s="1019"/>
      <c r="AC70" s="1019"/>
      <c r="AD70" s="1019"/>
    </row>
    <row customHeight="1" ht="36">
      <c r="A71" s="1018"/>
      <c r="B71" s="1078">
        <v>54</v>
      </c>
      <c r="C71" s="1016"/>
      <c r="D71" s="1150"/>
      <c r="E71" s="1016" t="s">
        <v>651</v>
      </c>
      <c r="F71" s="1016"/>
      <c r="G71" s="1016"/>
      <c r="H71" s="1068"/>
      <c r="I71" s="1188">
        <f>INDEX(TEMPLATE_NUMBER_POINT_FHD,B71,MATCH(TEMPLATE_SPHERE,TEMPLATE_SPHERE_LIST_FOR_NOTE,0))</f>
        <v>0</v>
      </c>
      <c r="J71" s="1188">
        <f>INDEX(TEMPLATE_DATA_POINT_FHD,B71,MATCH(TEMPLATE_SPHERE,TEMPLATE_SPHERE_LIST_FOR_NOTE,0))</f>
        <v>0</v>
      </c>
      <c r="K71" s="1188">
        <f>INDEX(TEMPLATE_NOTE_POINT_FHD,B71,MATCH(TEMPLATE_SPHERE,TEMPLATE_SPHERE_LIST_FOR_NOTE,0))</f>
        <v>0</v>
      </c>
      <c r="L71" s="1017" t="str">
        <f>IF(I71=0,"",I71)</f>
        <v/>
      </c>
      <c r="M71" s="1017" t="str">
        <f>IF(J71=0,"",J71)</f>
        <v/>
      </c>
      <c r="N71" s="1017" t="str">
        <f>IF(K71=0,"",K71)</f>
        <v/>
      </c>
      <c r="O71" s="1140"/>
      <c r="P71" s="1140"/>
      <c r="Q71" s="1140" t="s">
        <v>120</v>
      </c>
      <c r="R71" s="1140"/>
      <c r="S71" s="1140"/>
      <c r="T71" s="1016"/>
      <c r="U71" s="1016"/>
      <c r="V71" s="1016" t="s">
        <v>667</v>
      </c>
      <c r="W71" s="1016"/>
      <c r="X71" s="1016"/>
      <c r="Y71" s="1183"/>
      <c r="Z71" s="1019"/>
      <c r="AA71" s="1022"/>
      <c r="AB71" s="1019"/>
      <c r="AC71" s="1019"/>
      <c r="AD71" s="1019"/>
    </row>
    <row customHeight="1" ht="27">
      <c r="A72" s="1018"/>
      <c r="B72" s="1078">
        <v>55</v>
      </c>
      <c r="C72" s="1016"/>
      <c r="D72" s="1150"/>
      <c r="E72" s="1016" t="s">
        <v>653</v>
      </c>
      <c r="F72" s="1016"/>
      <c r="G72" s="1016"/>
      <c r="H72" s="1068"/>
      <c r="I72" s="1188">
        <f>INDEX(TEMPLATE_NUMBER_POINT_FHD,B72,MATCH(TEMPLATE_SPHERE,TEMPLATE_SPHERE_LIST_FOR_NOTE,0))</f>
        <v>0</v>
      </c>
      <c r="J72" s="1188">
        <f>INDEX(TEMPLATE_DATA_POINT_FHD,B72,MATCH(TEMPLATE_SPHERE,TEMPLATE_SPHERE_LIST_FOR_NOTE,0))</f>
        <v>0</v>
      </c>
      <c r="K72" s="1188">
        <f>INDEX(TEMPLATE_NOTE_POINT_FHD,B72,MATCH(TEMPLATE_SPHERE,TEMPLATE_SPHERE_LIST_FOR_NOTE,0))</f>
        <v>0</v>
      </c>
      <c r="L72" s="1017" t="str">
        <f>IF(I72=0,"",I72)</f>
        <v/>
      </c>
      <c r="M72" s="1017" t="str">
        <f>IF(J72=0,"",J72)</f>
        <v/>
      </c>
      <c r="N72" s="1017" t="str">
        <f>IF(K72=0,"",K72)</f>
        <v/>
      </c>
      <c r="O72" s="1140"/>
      <c r="P72" s="1140"/>
      <c r="Q72" s="1140" t="s">
        <v>157</v>
      </c>
      <c r="R72" s="1140"/>
      <c r="S72" s="1140"/>
      <c r="T72" s="1016"/>
      <c r="U72" s="1016"/>
      <c r="V72" s="1016" t="s">
        <v>668</v>
      </c>
      <c r="W72" s="1016"/>
      <c r="X72" s="1016"/>
      <c r="Y72" s="1183"/>
      <c r="Z72" s="1019"/>
      <c r="AA72" s="1022"/>
      <c r="AB72" s="1019"/>
      <c r="AC72" s="1019"/>
      <c r="AD72" s="1019"/>
    </row>
    <row customHeight="1" ht="36">
      <c r="A73" s="1018"/>
      <c r="B73" s="1078">
        <v>56</v>
      </c>
      <c r="C73" s="1016"/>
      <c r="D73" s="1150"/>
      <c r="E73" s="1016" t="s">
        <v>655</v>
      </c>
      <c r="F73" s="1016"/>
      <c r="G73" s="1016"/>
      <c r="H73" s="1068"/>
      <c r="I73" s="1188">
        <f>INDEX(TEMPLATE_NUMBER_POINT_FHD,B73,MATCH(TEMPLATE_SPHERE,TEMPLATE_SPHERE_LIST_FOR_NOTE,0))</f>
        <v>0</v>
      </c>
      <c r="J73" s="1188">
        <f>INDEX(TEMPLATE_DATA_POINT_FHD,B73,MATCH(TEMPLATE_SPHERE,TEMPLATE_SPHERE_LIST_FOR_NOTE,0))</f>
        <v>0</v>
      </c>
      <c r="K73" s="1188">
        <f>INDEX(TEMPLATE_NOTE_POINT_FHD,B73,MATCH(TEMPLATE_SPHERE,TEMPLATE_SPHERE_LIST_FOR_NOTE,0))</f>
        <v>0</v>
      </c>
      <c r="L73" s="1017" t="str">
        <f>IF(I73=0,"",I73)</f>
        <v/>
      </c>
      <c r="M73" s="1017" t="str">
        <f>IF(J73=0,"",J73)</f>
        <v/>
      </c>
      <c r="N73" s="1017" t="str">
        <f>IF(K73=0,"",K73)</f>
        <v/>
      </c>
      <c r="O73" s="1140"/>
      <c r="P73" s="1140"/>
      <c r="Q73" s="1140" t="s">
        <v>158</v>
      </c>
      <c r="R73" s="1140"/>
      <c r="S73" s="1140"/>
      <c r="T73" s="1016"/>
      <c r="U73" s="1016"/>
      <c r="V73" s="1016" t="s">
        <v>669</v>
      </c>
      <c r="W73" s="1016"/>
      <c r="X73" s="1016"/>
      <c r="Y73" s="1183"/>
      <c r="Z73" s="1019"/>
      <c r="AA73" s="1022"/>
      <c r="AB73" s="1019"/>
      <c r="AC73" s="1019"/>
      <c r="AD73" s="1019"/>
    </row>
    <row customHeight="1" ht="18">
      <c r="A74" s="1018"/>
      <c r="B74" s="1078">
        <v>57</v>
      </c>
      <c r="C74" s="1016"/>
      <c r="D74" s="1150"/>
      <c r="E74" s="1016" t="s">
        <v>664</v>
      </c>
      <c r="F74" s="1016"/>
      <c r="G74" s="1016"/>
      <c r="H74" s="1068"/>
      <c r="I74" s="1188">
        <f>INDEX(TEMPLATE_NUMBER_POINT_FHD,B74,MATCH(TEMPLATE_SPHERE,TEMPLATE_SPHERE_LIST_FOR_NOTE,0))</f>
        <v>0</v>
      </c>
      <c r="J74" s="1188">
        <f>INDEX(TEMPLATE_DATA_POINT_FHD,B74,MATCH(TEMPLATE_SPHERE,TEMPLATE_SPHERE_LIST_FOR_NOTE,0))</f>
        <v>0</v>
      </c>
      <c r="K74" s="1188">
        <f>INDEX(TEMPLATE_NOTE_POINT_FHD,B74,MATCH(TEMPLATE_SPHERE,TEMPLATE_SPHERE_LIST_FOR_NOTE,0))</f>
        <v>0</v>
      </c>
      <c r="L74" s="1017" t="str">
        <f>IF(I74=0,"",I74)</f>
        <v/>
      </c>
      <c r="M74" s="1017" t="str">
        <f>IF(J74=0,"",J74)</f>
        <v/>
      </c>
      <c r="N74" s="1017" t="str">
        <f>IF(K74=0,"",K74)</f>
        <v/>
      </c>
      <c r="O74" s="1140"/>
      <c r="P74" s="1140"/>
      <c r="Q74" s="1140" t="s">
        <v>159</v>
      </c>
      <c r="R74" s="1140"/>
      <c r="S74" s="1140"/>
      <c r="T74" s="1016"/>
      <c r="U74" s="1016"/>
      <c r="V74" s="1016" t="s">
        <v>670</v>
      </c>
      <c r="W74" s="1016"/>
      <c r="X74" s="1016"/>
      <c r="Y74" s="1183"/>
      <c r="Z74" s="1019"/>
      <c r="AA74" s="1022"/>
      <c r="AB74" s="1019"/>
      <c r="AC74" s="1019"/>
      <c r="AD74" s="1019"/>
    </row>
    <row customHeight="1" ht="18">
      <c r="A75" s="1018"/>
      <c r="B75" s="1078">
        <v>58</v>
      </c>
      <c r="C75" s="1016"/>
      <c r="D75" s="1150"/>
      <c r="E75" s="1016"/>
      <c r="F75" s="1016" t="s">
        <v>649</v>
      </c>
      <c r="G75" s="1016"/>
      <c r="H75" s="1068"/>
      <c r="I75" s="1188" t="str">
        <f>INDEX(TEMPLATE_NUMBER_POINT_FHD,B75,MATCH(TEMPLATE_SPHERE,TEMPLATE_SPHERE_LIST_FOR_NOTE,0))</f>
        <v>7</v>
      </c>
      <c r="J75" s="1188" t="str">
        <f>INDEX(TEMPLATE_DATA_POINT_FHD,B75,MATCH(TEMPLATE_SPHERE,TEMPLATE_SPHERE_LIST_FOR_NOTE,0))</f>
        <v>Объём сточных вод, принятых от потребителей</v>
      </c>
      <c r="K75" s="1188">
        <f>INDEX(TEMPLATE_NOTE_POINT_FHD,B75,MATCH(TEMPLATE_SPHERE,TEMPLATE_SPHERE_LIST_FOR_NOTE,0))</f>
        <v>0</v>
      </c>
      <c r="L75" s="1017" t="str">
        <f>IF(I75=0,"",I75)</f>
        <v>7</v>
      </c>
      <c r="M75" s="1017" t="str">
        <f>IF(J75=0,"",J75)</f>
        <v>Объём сточных вод, принятых от потребителей</v>
      </c>
      <c r="N75" s="1017" t="str">
        <f>IF(K75=0,"",K75)</f>
        <v/>
      </c>
      <c r="O75" s="1140"/>
      <c r="P75" s="1140"/>
      <c r="Q75" s="1140"/>
      <c r="R75" s="1140" t="s">
        <v>92</v>
      </c>
      <c r="S75" s="1140"/>
      <c r="T75" s="1016"/>
      <c r="U75" s="1016"/>
      <c r="V75" s="1016"/>
      <c r="W75" s="1016" t="s">
        <v>671</v>
      </c>
      <c r="X75" s="1016"/>
      <c r="Y75" s="1183"/>
      <c r="Z75" s="1019"/>
      <c r="AA75" s="1022"/>
      <c r="AB75" s="1019"/>
      <c r="AC75" s="1019"/>
      <c r="AD75" s="1019"/>
    </row>
    <row customHeight="1" ht="36">
      <c r="A76" s="1018"/>
      <c r="B76" s="1078">
        <v>59</v>
      </c>
      <c r="C76" s="1016"/>
      <c r="D76" s="1150"/>
      <c r="E76" s="1016"/>
      <c r="F76" s="1016" t="s">
        <v>651</v>
      </c>
      <c r="G76" s="1016"/>
      <c r="H76" s="1068"/>
      <c r="I76" s="1188" t="str">
        <f>INDEX(TEMPLATE_NUMBER_POINT_FHD,B76,MATCH(TEMPLATE_SPHERE,TEMPLATE_SPHERE_LIST_FOR_NOTE,0))</f>
        <v>8</v>
      </c>
      <c r="J76" s="1188"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188">
        <f>INDEX(TEMPLATE_NOTE_POINT_FHD,B76,MATCH(TEMPLATE_SPHERE,TEMPLATE_SPHERE_LIST_FOR_NOTE,0))</f>
        <v>0</v>
      </c>
      <c r="L76" s="1017" t="str">
        <f>IF(I76=0,"",I76)</f>
        <v>8</v>
      </c>
      <c r="M76" s="1017" t="str">
        <f>IF(J76=0,"",J76)</f>
        <v>Объём сточных вод, принятых от других регулируемых организаций, осуществляющих водоотведение и (или) очистку сточных вод</v>
      </c>
      <c r="N76" s="1017" t="str">
        <f>IF(K76=0,"",K76)</f>
        <v/>
      </c>
      <c r="O76" s="1140"/>
      <c r="P76" s="1140"/>
      <c r="Q76" s="1140"/>
      <c r="R76" s="1140" t="s">
        <v>120</v>
      </c>
      <c r="S76" s="1140"/>
      <c r="T76" s="1016"/>
      <c r="U76" s="1016"/>
      <c r="V76" s="1016"/>
      <c r="W76" s="1016" t="s">
        <v>672</v>
      </c>
      <c r="X76" s="1016"/>
      <c r="Y76" s="1183"/>
      <c r="Z76" s="1019"/>
      <c r="AA76" s="1022"/>
      <c r="AB76" s="1019"/>
      <c r="AC76" s="1019"/>
      <c r="AD76" s="1019"/>
    </row>
    <row customHeight="1" ht="18">
      <c r="A77" s="1018"/>
      <c r="B77" s="1078">
        <v>60</v>
      </c>
      <c r="C77" s="1016"/>
      <c r="D77" s="1150"/>
      <c r="E77" s="1016"/>
      <c r="F77" s="1016" t="s">
        <v>653</v>
      </c>
      <c r="G77" s="1016"/>
      <c r="H77" s="1068"/>
      <c r="I77" s="1188" t="str">
        <f>INDEX(TEMPLATE_NUMBER_POINT_FHD,B77,MATCH(TEMPLATE_SPHERE,TEMPLATE_SPHERE_LIST_FOR_NOTE,0))</f>
        <v>9</v>
      </c>
      <c r="J77" s="1188" t="str">
        <f>INDEX(TEMPLATE_DATA_POINT_FHD,B77,MATCH(TEMPLATE_SPHERE,TEMPLATE_SPHERE_LIST_FOR_NOTE,0))</f>
        <v>Объём сточных вод, пропущенных через очистные сооружения</v>
      </c>
      <c r="K77" s="1188">
        <f>INDEX(TEMPLATE_NOTE_POINT_FHD,B77,MATCH(TEMPLATE_SPHERE,TEMPLATE_SPHERE_LIST_FOR_NOTE,0))</f>
        <v>0</v>
      </c>
      <c r="L77" s="1017" t="str">
        <f>IF(I77=0,"",I77)</f>
        <v>9</v>
      </c>
      <c r="M77" s="1017" t="str">
        <f>IF(J77=0,"",J77)</f>
        <v>Объём сточных вод, пропущенных через очистные сооружения</v>
      </c>
      <c r="N77" s="1017" t="str">
        <f>IF(K77=0,"",K77)</f>
        <v/>
      </c>
      <c r="O77" s="1140"/>
      <c r="P77" s="1140"/>
      <c r="Q77" s="1140"/>
      <c r="R77" s="1140" t="s">
        <v>157</v>
      </c>
      <c r="S77" s="1140"/>
      <c r="T77" s="1016"/>
      <c r="U77" s="1016"/>
      <c r="V77" s="1016"/>
      <c r="W77" s="1016" t="s">
        <v>673</v>
      </c>
      <c r="X77" s="1016"/>
      <c r="Y77" s="1183"/>
      <c r="Z77" s="1019"/>
      <c r="AA77" s="1022"/>
      <c r="AB77" s="1019"/>
      <c r="AC77" s="1019"/>
      <c r="AD77" s="1019"/>
    </row>
    <row customHeight="1" ht="72">
      <c r="A78" s="1018"/>
      <c r="B78" s="1078">
        <v>61</v>
      </c>
      <c r="C78" s="1016" t="s">
        <v>649</v>
      </c>
      <c r="D78" s="1150"/>
      <c r="E78" s="1016"/>
      <c r="F78" s="1016"/>
      <c r="G78" s="1016"/>
      <c r="H78" s="1068"/>
      <c r="I78" s="1188">
        <f>INDEX(TEMPLATE_NUMBER_POINT_FHD,B78,MATCH(TEMPLATE_SPHERE,TEMPLATE_SPHERE_LIST_FOR_NOTE,0))</f>
        <v>0</v>
      </c>
      <c r="J78" s="1188">
        <f>INDEX(TEMPLATE_DATA_POINT_FHD,B78,MATCH(TEMPLATE_SPHERE,TEMPLATE_SPHERE_LIST_FOR_NOTE,0))</f>
        <v>0</v>
      </c>
      <c r="K78" s="1188">
        <f>INDEX(TEMPLATE_NOTE_POINT_FHD,B78,MATCH(TEMPLATE_SPHERE,TEMPLATE_SPHERE_LIST_FOR_NOTE,0))</f>
        <v>0</v>
      </c>
      <c r="L78" s="1017" t="str">
        <f>IF(I78=0,"",I78)</f>
        <v/>
      </c>
      <c r="M78" s="1017" t="str">
        <f>IF(J78=0,"",J78)</f>
        <v/>
      </c>
      <c r="N78" s="1017" t="str">
        <f>IF(K78=0,"",K78)</f>
        <v/>
      </c>
      <c r="O78" s="1140" t="s">
        <v>92</v>
      </c>
      <c r="P78" s="1140"/>
      <c r="Q78" s="1140"/>
      <c r="R78" s="1140"/>
      <c r="S78" s="1140"/>
      <c r="T78" s="1016" t="s">
        <v>674</v>
      </c>
      <c r="U78" s="1016"/>
      <c r="V78" s="1016"/>
      <c r="W78" s="1016"/>
      <c r="X78" s="1016"/>
      <c r="Y78" s="1183"/>
      <c r="Z78" s="1019" t="s">
        <v>675</v>
      </c>
      <c r="AA78" s="1022"/>
      <c r="AB78" s="1019"/>
      <c r="AC78" s="1019"/>
      <c r="AD78" s="1019"/>
    </row>
    <row customHeight="1" ht="36">
      <c r="A79" s="1018"/>
      <c r="B79" s="1078">
        <v>62</v>
      </c>
      <c r="C79" s="1016" t="s">
        <v>651</v>
      </c>
      <c r="D79" s="1150"/>
      <c r="E79" s="1016"/>
      <c r="F79" s="1016"/>
      <c r="G79" s="1016"/>
      <c r="H79" s="1068"/>
      <c r="I79" s="1188">
        <f>INDEX(TEMPLATE_NUMBER_POINT_FHD,B79,MATCH(TEMPLATE_SPHERE,TEMPLATE_SPHERE_LIST_FOR_NOTE,0))</f>
        <v>0</v>
      </c>
      <c r="J79" s="1188">
        <f>INDEX(TEMPLATE_DATA_POINT_FHD,B79,MATCH(TEMPLATE_SPHERE,TEMPLATE_SPHERE_LIST_FOR_NOTE,0))</f>
        <v>0</v>
      </c>
      <c r="K79" s="1188">
        <f>INDEX(TEMPLATE_NOTE_POINT_FHD,B79,MATCH(TEMPLATE_SPHERE,TEMPLATE_SPHERE_LIST_FOR_NOTE,0))</f>
        <v>0</v>
      </c>
      <c r="L79" s="1017" t="str">
        <f>IF(I79=0,"",I79)</f>
        <v/>
      </c>
      <c r="M79" s="1017" t="str">
        <f>IF(J79=0,"",J79)</f>
        <v/>
      </c>
      <c r="N79" s="1017" t="str">
        <f>IF(K79=0,"",K79)</f>
        <v/>
      </c>
      <c r="O79" s="1140" t="s">
        <v>120</v>
      </c>
      <c r="P79" s="1140"/>
      <c r="Q79" s="1140"/>
      <c r="R79" s="1140"/>
      <c r="S79" s="1140"/>
      <c r="T79" s="1016" t="s">
        <v>676</v>
      </c>
      <c r="U79" s="1016"/>
      <c r="V79" s="1016"/>
      <c r="W79" s="1016"/>
      <c r="X79" s="1016"/>
      <c r="Y79" s="1183"/>
      <c r="Z79" s="1019" t="s">
        <v>677</v>
      </c>
      <c r="AA79" s="1022"/>
      <c r="AB79" s="1019"/>
      <c r="AC79" s="1019"/>
      <c r="AD79" s="1019"/>
    </row>
    <row customHeight="1" ht="45">
      <c r="A80" s="1018"/>
      <c r="B80" s="1078">
        <v>63</v>
      </c>
      <c r="C80" s="1016" t="s">
        <v>653</v>
      </c>
      <c r="D80" s="1150"/>
      <c r="E80" s="1016"/>
      <c r="F80" s="1016"/>
      <c r="G80" s="1016"/>
      <c r="H80" s="1068"/>
      <c r="I80" s="1188">
        <f>INDEX(TEMPLATE_NUMBER_POINT_FHD,B80,MATCH(TEMPLATE_SPHERE,TEMPLATE_SPHERE_LIST_FOR_NOTE,0))</f>
        <v>0</v>
      </c>
      <c r="J80" s="1188">
        <f>INDEX(TEMPLATE_DATA_POINT_FHD,B80,MATCH(TEMPLATE_SPHERE,TEMPLATE_SPHERE_LIST_FOR_NOTE,0))</f>
        <v>0</v>
      </c>
      <c r="K80" s="1188">
        <f>INDEX(TEMPLATE_NOTE_POINT_FHD,B80,MATCH(TEMPLATE_SPHERE,TEMPLATE_SPHERE_LIST_FOR_NOTE,0))</f>
        <v>0</v>
      </c>
      <c r="L80" s="1017" t="str">
        <f>IF(I80=0,"",I80)</f>
        <v/>
      </c>
      <c r="M80" s="1017" t="str">
        <f>IF(J80=0,"",J80)</f>
        <v/>
      </c>
      <c r="N80" s="1017" t="str">
        <f>IF(K80=0,"",K80)</f>
        <v/>
      </c>
      <c r="O80" s="1140" t="s">
        <v>157</v>
      </c>
      <c r="P80" s="1140"/>
      <c r="Q80" s="1140"/>
      <c r="R80" s="1140"/>
      <c r="S80" s="1140"/>
      <c r="T80" s="1016" t="s">
        <v>678</v>
      </c>
      <c r="U80" s="1016"/>
      <c r="V80" s="1016"/>
      <c r="W80" s="1016"/>
      <c r="X80" s="1016"/>
      <c r="Y80" s="1183"/>
      <c r="Z80" s="1019" t="s">
        <v>679</v>
      </c>
      <c r="AA80" s="1022"/>
      <c r="AB80" s="1019"/>
      <c r="AC80" s="1019"/>
      <c r="AD80" s="1019"/>
    </row>
    <row customHeight="1" ht="36">
      <c r="A81" s="1018"/>
      <c r="B81" s="1078">
        <v>64</v>
      </c>
      <c r="C81" s="1016" t="s">
        <v>655</v>
      </c>
      <c r="D81" s="1150"/>
      <c r="E81" s="1016"/>
      <c r="F81" s="1016"/>
      <c r="G81" s="1016"/>
      <c r="H81" s="1068"/>
      <c r="I81" s="1188">
        <f>INDEX(TEMPLATE_NUMBER_POINT_FHD,B81,MATCH(TEMPLATE_SPHERE,TEMPLATE_SPHERE_LIST_FOR_NOTE,0))</f>
        <v>0</v>
      </c>
      <c r="J81" s="1188">
        <f>INDEX(TEMPLATE_DATA_POINT_FHD,B81,MATCH(TEMPLATE_SPHERE,TEMPLATE_SPHERE_LIST_FOR_NOTE,0))</f>
        <v>0</v>
      </c>
      <c r="K81" s="1188">
        <f>INDEX(TEMPLATE_NOTE_POINT_FHD,B81,MATCH(TEMPLATE_SPHERE,TEMPLATE_SPHERE_LIST_FOR_NOTE,0))</f>
        <v>0</v>
      </c>
      <c r="L81" s="1017" t="str">
        <f>IF(I81=0,"",I81)</f>
        <v/>
      </c>
      <c r="M81" s="1017" t="str">
        <f>IF(J81=0,"",J81)</f>
        <v/>
      </c>
      <c r="N81" s="1017" t="str">
        <f>IF(K81=0,"",K81)</f>
        <v/>
      </c>
      <c r="O81" s="1140" t="s">
        <v>540</v>
      </c>
      <c r="P81" s="1140"/>
      <c r="Q81" s="1140"/>
      <c r="R81" s="1140"/>
      <c r="S81" s="1140"/>
      <c r="T81" s="1016" t="s">
        <v>680</v>
      </c>
      <c r="U81" s="1016"/>
      <c r="V81" s="1016"/>
      <c r="W81" s="1016"/>
      <c r="X81" s="1016"/>
      <c r="Y81" s="1183"/>
      <c r="Z81" s="1019" t="s">
        <v>681</v>
      </c>
      <c r="AA81" s="1022"/>
      <c r="AB81" s="1019"/>
      <c r="AC81" s="1019"/>
      <c r="AD81" s="1019"/>
    </row>
    <row customHeight="1" ht="90">
      <c r="A82" s="1018"/>
      <c r="B82" s="1078">
        <v>65</v>
      </c>
      <c r="C82" s="1016" t="s">
        <v>664</v>
      </c>
      <c r="D82" s="1150"/>
      <c r="E82" s="1016"/>
      <c r="F82" s="1016"/>
      <c r="G82" s="1016"/>
      <c r="H82" s="1068"/>
      <c r="I82" s="1188">
        <f>INDEX(TEMPLATE_NUMBER_POINT_FHD,B82,MATCH(TEMPLATE_SPHERE,TEMPLATE_SPHERE_LIST_FOR_NOTE,0))</f>
        <v>0</v>
      </c>
      <c r="J82" s="1188">
        <f>INDEX(TEMPLATE_DATA_POINT_FHD,B82,MATCH(TEMPLATE_SPHERE,TEMPLATE_SPHERE_LIST_FOR_NOTE,0))</f>
        <v>0</v>
      </c>
      <c r="K82" s="1188">
        <f>INDEX(TEMPLATE_NOTE_POINT_FHD,B82,MATCH(TEMPLATE_SPHERE,TEMPLATE_SPHERE_LIST_FOR_NOTE,0))</f>
        <v>0</v>
      </c>
      <c r="L82" s="1017" t="str">
        <f>IF(I82=0,"",I82)</f>
        <v/>
      </c>
      <c r="M82" s="1017" t="str">
        <f>IF(J82=0,"",J82)</f>
        <v/>
      </c>
      <c r="N82" s="1017" t="str">
        <f>IF(K82=0,"",K82)</f>
        <v/>
      </c>
      <c r="O82" s="1140" t="s">
        <v>158</v>
      </c>
      <c r="P82" s="1140"/>
      <c r="Q82" s="1140"/>
      <c r="R82" s="1140"/>
      <c r="S82" s="1140"/>
      <c r="T82" s="1016" t="s">
        <v>682</v>
      </c>
      <c r="U82" s="1016"/>
      <c r="V82" s="1016"/>
      <c r="W82" s="1016"/>
      <c r="X82" s="1016"/>
      <c r="Y82" s="1183"/>
      <c r="Z82" s="1019" t="s">
        <v>683</v>
      </c>
      <c r="AA82" s="1022"/>
      <c r="AB82" s="1019"/>
      <c r="AC82" s="1019"/>
      <c r="AD82" s="1019"/>
    </row>
    <row customHeight="1" ht="9">
      <c r="A83" s="1018"/>
      <c r="B83" s="1078">
        <v>66</v>
      </c>
      <c r="C83" s="1016"/>
      <c r="D83" s="1150"/>
      <c r="E83" s="1016"/>
      <c r="F83" s="1016"/>
      <c r="G83" s="1016"/>
      <c r="H83" s="1068"/>
      <c r="I83" s="1188">
        <f>INDEX(TEMPLATE_NUMBER_POINT_FHD,B83,MATCH(TEMPLATE_SPHERE,TEMPLATE_SPHERE_LIST_FOR_NOTE,0))</f>
        <v>0</v>
      </c>
      <c r="J83" s="1188">
        <f>INDEX(TEMPLATE_DATA_POINT_FHD,B83,MATCH(TEMPLATE_SPHERE,TEMPLATE_SPHERE_LIST_FOR_NOTE,0))</f>
        <v>0</v>
      </c>
      <c r="K83" s="1188">
        <f>INDEX(TEMPLATE_NOTE_POINT_FHD,B83,MATCH(TEMPLATE_SPHERE,TEMPLATE_SPHERE_LIST_FOR_NOTE,0))</f>
        <v>0</v>
      </c>
      <c r="L83" s="1017" t="str">
        <f>IF(I83=0,"",I83)</f>
        <v/>
      </c>
      <c r="M83" s="1017" t="str">
        <f>IF(J83=0,"",J83)</f>
        <v/>
      </c>
      <c r="N83" s="1017" t="str">
        <f>IF(K83=0,"",K83)</f>
        <v/>
      </c>
      <c r="O83" s="1140" t="s">
        <v>552</v>
      </c>
      <c r="P83" s="1140"/>
      <c r="Q83" s="1140"/>
      <c r="R83" s="1140"/>
      <c r="S83" s="1140"/>
      <c r="T83" s="1016" t="s">
        <v>684</v>
      </c>
      <c r="U83" s="1016"/>
      <c r="V83" s="1016"/>
      <c r="W83" s="1016"/>
      <c r="X83" s="1016"/>
      <c r="Y83" s="1183"/>
      <c r="Z83" s="1019"/>
      <c r="AA83" s="1022"/>
      <c r="AB83" s="1019"/>
      <c r="AC83" s="1019"/>
      <c r="AD83" s="1019"/>
    </row>
    <row customHeight="1" ht="54">
      <c r="A84" s="1018"/>
      <c r="B84" s="1078">
        <v>67</v>
      </c>
      <c r="C84" s="1016"/>
      <c r="D84" s="1150"/>
      <c r="E84" s="1016"/>
      <c r="F84" s="1016"/>
      <c r="G84" s="1016"/>
      <c r="H84" s="1068"/>
      <c r="I84" s="1188">
        <f>INDEX(TEMPLATE_NUMBER_POINT_FHD,B84,MATCH(TEMPLATE_SPHERE,TEMPLATE_SPHERE_LIST_FOR_NOTE,0))</f>
        <v>0</v>
      </c>
      <c r="J84" s="1188">
        <f>INDEX(TEMPLATE_DATA_POINT_FHD,B84,MATCH(TEMPLATE_SPHERE,TEMPLATE_SPHERE_LIST_FOR_NOTE,0))</f>
        <v>0</v>
      </c>
      <c r="K84" s="1188">
        <f>INDEX(TEMPLATE_NOTE_POINT_FHD,B84,MATCH(TEMPLATE_SPHERE,TEMPLATE_SPHERE_LIST_FOR_NOTE,0))</f>
        <v>0</v>
      </c>
      <c r="L84" s="1017" t="str">
        <f>IF(I84=0,"",I84)</f>
        <v/>
      </c>
      <c r="M84" s="1017" t="str">
        <f>IF(J84=0,"",J84)</f>
        <v/>
      </c>
      <c r="N84" s="1017" t="str">
        <f>IF(K84=0,"",K84)</f>
        <v/>
      </c>
      <c r="O84" s="1140" t="s">
        <v>685</v>
      </c>
      <c r="P84" s="1140"/>
      <c r="Q84" s="1140"/>
      <c r="R84" s="1140"/>
      <c r="S84" s="1140"/>
      <c r="T84" s="1016" t="s">
        <v>686</v>
      </c>
      <c r="U84" s="1016"/>
      <c r="V84" s="1016"/>
      <c r="W84" s="1016"/>
      <c r="X84" s="1016"/>
      <c r="Y84" s="1183"/>
      <c r="Z84" s="1019"/>
      <c r="AA84" s="1022"/>
      <c r="AB84" s="1019"/>
      <c r="AC84" s="1019"/>
      <c r="AD84" s="1019"/>
    </row>
    <row customHeight="1" ht="9">
      <c r="A85" s="1018"/>
      <c r="B85" s="1078">
        <v>68</v>
      </c>
      <c r="C85" s="1016"/>
      <c r="D85" s="1150"/>
      <c r="E85" s="1016"/>
      <c r="F85" s="1016"/>
      <c r="G85" s="1016"/>
      <c r="H85" s="1068"/>
      <c r="I85" s="1188">
        <f>INDEX(TEMPLATE_NUMBER_POINT_FHD,B85,MATCH(TEMPLATE_SPHERE,TEMPLATE_SPHERE_LIST_FOR_NOTE,0))</f>
        <v>0</v>
      </c>
      <c r="J85" s="1188">
        <f>INDEX(TEMPLATE_DATA_POINT_FHD,B85,MATCH(TEMPLATE_SPHERE,TEMPLATE_SPHERE_LIST_FOR_NOTE,0))</f>
        <v>0</v>
      </c>
      <c r="K85" s="1188">
        <f>INDEX(TEMPLATE_NOTE_POINT_FHD,B85,MATCH(TEMPLATE_SPHERE,TEMPLATE_SPHERE_LIST_FOR_NOTE,0))</f>
        <v>0</v>
      </c>
      <c r="L85" s="1017" t="str">
        <f>IF(I85=0,"",I85)</f>
        <v/>
      </c>
      <c r="M85" s="1017" t="str">
        <f>IF(J85=0,"",J85)</f>
        <v/>
      </c>
      <c r="N85" s="1017" t="str">
        <f>IF(K85=0,"",K85)</f>
        <v/>
      </c>
      <c r="O85" s="1140" t="s">
        <v>556</v>
      </c>
      <c r="P85" s="1140"/>
      <c r="Q85" s="1140"/>
      <c r="R85" s="1140"/>
      <c r="S85" s="1140"/>
      <c r="T85" s="1016" t="s">
        <v>687</v>
      </c>
      <c r="U85" s="1016"/>
      <c r="V85" s="1016"/>
      <c r="W85" s="1016"/>
      <c r="X85" s="1016"/>
      <c r="Y85" s="1183"/>
      <c r="Z85" s="1019"/>
      <c r="AA85" s="1022"/>
      <c r="AB85" s="1019"/>
      <c r="AC85" s="1019"/>
      <c r="AD85" s="1019"/>
    </row>
    <row customHeight="1" ht="27">
      <c r="A86" s="1018"/>
      <c r="B86" s="1078">
        <v>69</v>
      </c>
      <c r="C86" s="1016"/>
      <c r="D86" s="1150"/>
      <c r="E86" s="1016"/>
      <c r="F86" s="1016"/>
      <c r="G86" s="1016"/>
      <c r="H86" s="1068"/>
      <c r="I86" s="1188">
        <f>INDEX(TEMPLATE_NUMBER_POINT_FHD,B86,MATCH(TEMPLATE_SPHERE,TEMPLATE_SPHERE_LIST_FOR_NOTE,0))</f>
        <v>0</v>
      </c>
      <c r="J86" s="1188">
        <f>INDEX(TEMPLATE_DATA_POINT_FHD,B86,MATCH(TEMPLATE_SPHERE,TEMPLATE_SPHERE_LIST_FOR_NOTE,0))</f>
        <v>0</v>
      </c>
      <c r="K86" s="1188">
        <f>INDEX(TEMPLATE_NOTE_POINT_FHD,B86,MATCH(TEMPLATE_SPHERE,TEMPLATE_SPHERE_LIST_FOR_NOTE,0))</f>
        <v>0</v>
      </c>
      <c r="L86" s="1017" t="str">
        <f>IF(I86=0,"",I86)</f>
        <v/>
      </c>
      <c r="M86" s="1017" t="str">
        <f>IF(J86=0,"",J86)</f>
        <v/>
      </c>
      <c r="N86" s="1017" t="str">
        <f>IF(K86=0,"",K86)</f>
        <v/>
      </c>
      <c r="O86" s="1140" t="s">
        <v>688</v>
      </c>
      <c r="P86" s="1140"/>
      <c r="Q86" s="1140"/>
      <c r="R86" s="1140"/>
      <c r="S86" s="1140"/>
      <c r="T86" s="1016" t="s">
        <v>689</v>
      </c>
      <c r="U86" s="1016"/>
      <c r="V86" s="1016"/>
      <c r="W86" s="1016"/>
      <c r="X86" s="1016"/>
      <c r="Y86" s="1183"/>
      <c r="Z86" s="1019"/>
      <c r="AA86" s="1022"/>
      <c r="AB86" s="1019"/>
      <c r="AC86" s="1019"/>
      <c r="AD86" s="1019"/>
    </row>
    <row customHeight="1" ht="36">
      <c r="A87" s="1018"/>
      <c r="B87" s="1078">
        <v>70</v>
      </c>
      <c r="C87" s="1016" t="s">
        <v>690</v>
      </c>
      <c r="D87" s="1150"/>
      <c r="E87" s="1016"/>
      <c r="F87" s="1016"/>
      <c r="G87" s="1016"/>
      <c r="H87" s="1068"/>
      <c r="I87" s="1188">
        <f>INDEX(TEMPLATE_NUMBER_POINT_FHD,B87,MATCH(TEMPLATE_SPHERE,TEMPLATE_SPHERE_LIST_FOR_NOTE,0))</f>
        <v>0</v>
      </c>
      <c r="J87" s="1188">
        <f>INDEX(TEMPLATE_DATA_POINT_FHD,B87,MATCH(TEMPLATE_SPHERE,TEMPLATE_SPHERE_LIST_FOR_NOTE,0))</f>
        <v>0</v>
      </c>
      <c r="K87" s="1188">
        <f>INDEX(TEMPLATE_NOTE_POINT_FHD,B87,MATCH(TEMPLATE_SPHERE,TEMPLATE_SPHERE_LIST_FOR_NOTE,0))</f>
        <v>0</v>
      </c>
      <c r="L87" s="1017" t="str">
        <f>IF(I87=0,"",I87)</f>
        <v/>
      </c>
      <c r="M87" s="1017" t="str">
        <f>IF(J87=0,"",J87)</f>
        <v/>
      </c>
      <c r="N87" s="1017" t="str">
        <f>IF(K87=0,"",K87)</f>
        <v/>
      </c>
      <c r="O87" s="1140" t="s">
        <v>159</v>
      </c>
      <c r="P87" s="1140"/>
      <c r="Q87" s="1140"/>
      <c r="R87" s="1140"/>
      <c r="S87" s="1140"/>
      <c r="T87" s="1016" t="s">
        <v>691</v>
      </c>
      <c r="U87" s="1016"/>
      <c r="V87" s="1016"/>
      <c r="W87" s="1016"/>
      <c r="X87" s="1016"/>
      <c r="Y87" s="1183"/>
      <c r="Z87" s="1019"/>
      <c r="AA87" s="1022"/>
      <c r="AB87" s="1019"/>
      <c r="AC87" s="1019"/>
      <c r="AD87" s="1019"/>
    </row>
    <row customHeight="1" ht="18">
      <c r="A88" s="1018"/>
      <c r="B88" s="1078">
        <v>71</v>
      </c>
      <c r="C88" s="1016" t="s">
        <v>692</v>
      </c>
      <c r="D88" s="1150"/>
      <c r="E88" s="1016"/>
      <c r="F88" s="1016"/>
      <c r="G88" s="1016"/>
      <c r="H88" s="1068"/>
      <c r="I88" s="1188">
        <f>INDEX(TEMPLATE_NUMBER_POINT_FHD,B88,MATCH(TEMPLATE_SPHERE,TEMPLATE_SPHERE_LIST_FOR_NOTE,0))</f>
        <v>0</v>
      </c>
      <c r="J88" s="1188">
        <f>INDEX(TEMPLATE_DATA_POINT_FHD,B88,MATCH(TEMPLATE_SPHERE,TEMPLATE_SPHERE_LIST_FOR_NOTE,0))</f>
        <v>0</v>
      </c>
      <c r="K88" s="1188">
        <f>INDEX(TEMPLATE_NOTE_POINT_FHD,B88,MATCH(TEMPLATE_SPHERE,TEMPLATE_SPHERE_LIST_FOR_NOTE,0))</f>
        <v>0</v>
      </c>
      <c r="L88" s="1017" t="str">
        <f>IF(I88=0,"",I88)</f>
        <v/>
      </c>
      <c r="M88" s="1017" t="str">
        <f>IF(J88=0,"",J88)</f>
        <v/>
      </c>
      <c r="N88" s="1017" t="str">
        <f>IF(K88=0,"",K88)</f>
        <v/>
      </c>
      <c r="O88" s="1140" t="s">
        <v>160</v>
      </c>
      <c r="P88" s="1140"/>
      <c r="Q88" s="1140"/>
      <c r="R88" s="1140"/>
      <c r="S88" s="1140"/>
      <c r="T88" s="1016" t="s">
        <v>693</v>
      </c>
      <c r="U88" s="1016"/>
      <c r="V88" s="1016"/>
      <c r="W88" s="1016"/>
      <c r="X88" s="1016"/>
      <c r="Y88" s="1183"/>
      <c r="Z88" s="1019"/>
      <c r="AA88" s="1022"/>
      <c r="AB88" s="1019"/>
      <c r="AC88" s="1019"/>
      <c r="AD88" s="1019"/>
    </row>
    <row customHeight="1" ht="18">
      <c r="A89" s="1018"/>
      <c r="B89" s="1078">
        <v>72</v>
      </c>
      <c r="C89" s="1016" t="s">
        <v>694</v>
      </c>
      <c r="D89" s="1150" t="s">
        <v>690</v>
      </c>
      <c r="E89" s="1016" t="s">
        <v>690</v>
      </c>
      <c r="F89" s="1016" t="s">
        <v>655</v>
      </c>
      <c r="G89" s="1016"/>
      <c r="H89" s="1068"/>
      <c r="I89" s="1188" t="str">
        <f>INDEX(TEMPLATE_NUMBER_POINT_FHD,B89,MATCH(TEMPLATE_SPHERE,TEMPLATE_SPHERE_LIST_FOR_NOTE,0))</f>
        <v>10</v>
      </c>
      <c r="J89" s="1188" t="str">
        <f>INDEX(TEMPLATE_DATA_POINT_FHD,B89,MATCH(TEMPLATE_SPHERE,TEMPLATE_SPHERE_LIST_FOR_NOTE,0))</f>
        <v>Среднесписочная численность основного производственного персонала</v>
      </c>
      <c r="K89" s="1188">
        <f>INDEX(TEMPLATE_NOTE_POINT_FHD,B89,MATCH(TEMPLATE_SPHERE,TEMPLATE_SPHERE_LIST_FOR_NOTE,0))</f>
        <v>0</v>
      </c>
      <c r="L89" s="1017" t="str">
        <f>IF(I89=0,"",I89)</f>
        <v>10</v>
      </c>
      <c r="M89" s="1017" t="str">
        <f>IF(J89=0,"",J89)</f>
        <v>Среднесписочная численность основного производственного персонала</v>
      </c>
      <c r="N89" s="1017" t="str">
        <f>IF(K89=0,"",K89)</f>
        <v/>
      </c>
      <c r="O89" s="1140" t="s">
        <v>161</v>
      </c>
      <c r="P89" s="1140" t="s">
        <v>160</v>
      </c>
      <c r="Q89" s="1140" t="s">
        <v>160</v>
      </c>
      <c r="R89" s="1140" t="s">
        <v>158</v>
      </c>
      <c r="S89" s="1140"/>
      <c r="T89" s="1016" t="s">
        <v>695</v>
      </c>
      <c r="U89" s="1016" t="s">
        <v>695</v>
      </c>
      <c r="V89" s="1016" t="s">
        <v>695</v>
      </c>
      <c r="W89" s="1016" t="s">
        <v>695</v>
      </c>
      <c r="X89" s="1016"/>
      <c r="Y89" s="1183"/>
      <c r="Z89" s="1019"/>
      <c r="AA89" s="1022"/>
      <c r="AB89" s="1019"/>
      <c r="AC89" s="1019"/>
      <c r="AD89" s="1019"/>
    </row>
    <row customHeight="1" ht="27">
      <c r="A90" s="1018"/>
      <c r="B90" s="1078">
        <v>73</v>
      </c>
      <c r="C90" s="1016" t="s">
        <v>696</v>
      </c>
      <c r="D90" s="1150"/>
      <c r="E90" s="1016"/>
      <c r="F90" s="1016"/>
      <c r="G90" s="1016"/>
      <c r="H90" s="1068"/>
      <c r="I90" s="1188">
        <f>INDEX(TEMPLATE_NUMBER_POINT_FHD,B90,MATCH(TEMPLATE_SPHERE,TEMPLATE_SPHERE_LIST_FOR_NOTE,0))</f>
        <v>0</v>
      </c>
      <c r="J90" s="1188">
        <f>INDEX(TEMPLATE_DATA_POINT_FHD,B90,MATCH(TEMPLATE_SPHERE,TEMPLATE_SPHERE_LIST_FOR_NOTE,0))</f>
        <v>0</v>
      </c>
      <c r="K90" s="1188">
        <f>INDEX(TEMPLATE_NOTE_POINT_FHD,B90,MATCH(TEMPLATE_SPHERE,TEMPLATE_SPHERE_LIST_FOR_NOTE,0))</f>
        <v>0</v>
      </c>
      <c r="L90" s="1017" t="str">
        <f>IF(I90=0,"",I90)</f>
        <v/>
      </c>
      <c r="M90" s="1017" t="str">
        <f>IF(J90=0,"",J90)</f>
        <v/>
      </c>
      <c r="N90" s="1017" t="str">
        <f>IF(K90=0,"",K90)</f>
        <v/>
      </c>
      <c r="O90" s="1140" t="s">
        <v>162</v>
      </c>
      <c r="P90" s="1140"/>
      <c r="Q90" s="1140"/>
      <c r="R90" s="1140"/>
      <c r="S90" s="1140"/>
      <c r="T90" s="1016" t="s">
        <v>697</v>
      </c>
      <c r="U90" s="1016"/>
      <c r="V90" s="1016"/>
      <c r="W90" s="1016"/>
      <c r="X90" s="1016"/>
      <c r="Y90" s="1183"/>
      <c r="Z90" s="1019"/>
      <c r="AA90" s="1022"/>
      <c r="AB90" s="1019"/>
      <c r="AC90" s="1019"/>
      <c r="AD90" s="1019"/>
    </row>
    <row customHeight="1" ht="18">
      <c r="A91" s="1018"/>
      <c r="B91" s="1078">
        <v>74</v>
      </c>
      <c r="C91" s="1016"/>
      <c r="D91" s="1150" t="s">
        <v>692</v>
      </c>
      <c r="E91" s="1016" t="s">
        <v>692</v>
      </c>
      <c r="F91" s="1016"/>
      <c r="G91" s="1016"/>
      <c r="H91" s="1068"/>
      <c r="I91" s="1188">
        <f>INDEX(TEMPLATE_NUMBER_POINT_FHD,B91,MATCH(TEMPLATE_SPHERE,TEMPLATE_SPHERE_LIST_FOR_NOTE,0))</f>
        <v>0</v>
      </c>
      <c r="J91" s="1188">
        <f>INDEX(TEMPLATE_DATA_POINT_FHD,B91,MATCH(TEMPLATE_SPHERE,TEMPLATE_SPHERE_LIST_FOR_NOTE,0))</f>
        <v>0</v>
      </c>
      <c r="K91" s="1188">
        <f>INDEX(TEMPLATE_NOTE_POINT_FHD,B91,MATCH(TEMPLATE_SPHERE,TEMPLATE_SPHERE_LIST_FOR_NOTE,0))</f>
        <v>0</v>
      </c>
      <c r="L91" s="1017" t="str">
        <f>IF(I91=0,"",I91)</f>
        <v/>
      </c>
      <c r="M91" s="1017" t="str">
        <f>IF(J91=0,"",J91)</f>
        <v/>
      </c>
      <c r="N91" s="1017" t="str">
        <f>IF(K91=0,"",K91)</f>
        <v/>
      </c>
      <c r="O91" s="1140"/>
      <c r="P91" s="1140" t="s">
        <v>161</v>
      </c>
      <c r="Q91" s="1140" t="s">
        <v>161</v>
      </c>
      <c r="R91" s="1140"/>
      <c r="S91" s="1140"/>
      <c r="T91" s="1016"/>
      <c r="U91" s="1016" t="s">
        <v>698</v>
      </c>
      <c r="V91" s="1016" t="s">
        <v>698</v>
      </c>
      <c r="W91" s="1016"/>
      <c r="X91" s="1016"/>
      <c r="Y91" s="1183"/>
      <c r="Z91" s="1019"/>
      <c r="AA91" s="1022"/>
      <c r="AB91" s="1019"/>
      <c r="AC91" s="1019"/>
      <c r="AD91" s="1019"/>
    </row>
    <row customHeight="1" ht="27">
      <c r="A92" s="1018"/>
      <c r="B92" s="1078">
        <v>75</v>
      </c>
      <c r="C92" s="1016"/>
      <c r="D92" s="1150" t="s">
        <v>694</v>
      </c>
      <c r="E92" s="1016"/>
      <c r="F92" s="1016"/>
      <c r="G92" s="1016"/>
      <c r="H92" s="1068"/>
      <c r="I92" s="1188">
        <f>INDEX(TEMPLATE_NUMBER_POINT_FHD,B92,MATCH(TEMPLATE_SPHERE,TEMPLATE_SPHERE_LIST_FOR_NOTE,0))</f>
        <v>0</v>
      </c>
      <c r="J92" s="1188">
        <f>INDEX(TEMPLATE_DATA_POINT_FHD,B92,MATCH(TEMPLATE_SPHERE,TEMPLATE_SPHERE_LIST_FOR_NOTE,0))</f>
        <v>0</v>
      </c>
      <c r="K92" s="1188">
        <f>INDEX(TEMPLATE_NOTE_POINT_FHD,B92,MATCH(TEMPLATE_SPHERE,TEMPLATE_SPHERE_LIST_FOR_NOTE,0))</f>
        <v>0</v>
      </c>
      <c r="L92" s="1017" t="str">
        <f>IF(I92=0,"",I92)</f>
        <v/>
      </c>
      <c r="M92" s="1017" t="str">
        <f>IF(J92=0,"",J92)</f>
        <v/>
      </c>
      <c r="N92" s="1017" t="str">
        <f>IF(K92=0,"",K92)</f>
        <v/>
      </c>
      <c r="O92" s="1140"/>
      <c r="P92" s="1140" t="s">
        <v>162</v>
      </c>
      <c r="Q92" s="1140"/>
      <c r="R92" s="1140"/>
      <c r="S92" s="1140"/>
      <c r="T92" s="1016"/>
      <c r="U92" s="1016" t="s">
        <v>699</v>
      </c>
      <c r="V92" s="1016"/>
      <c r="W92" s="1016"/>
      <c r="X92" s="1016"/>
      <c r="Y92" s="1183"/>
      <c r="Z92" s="1019"/>
      <c r="AA92" s="1022" t="s">
        <v>700</v>
      </c>
      <c r="AB92" s="1019"/>
      <c r="AC92" s="1019"/>
      <c r="AD92" s="1019"/>
    </row>
    <row customHeight="1" ht="27">
      <c r="A93" s="1018"/>
      <c r="B93" s="1078">
        <v>76</v>
      </c>
      <c r="C93" s="1016"/>
      <c r="D93" s="1150"/>
      <c r="E93" s="1016"/>
      <c r="F93" s="1016"/>
      <c r="G93" s="1016"/>
      <c r="H93" s="1068"/>
      <c r="I93" s="1188">
        <f>INDEX(TEMPLATE_NUMBER_POINT_FHD,B93,MATCH(TEMPLATE_SPHERE,TEMPLATE_SPHERE_LIST_FOR_NOTE,0))</f>
        <v>0</v>
      </c>
      <c r="J93" s="1188">
        <f>INDEX(TEMPLATE_DATA_POINT_FHD,B93,MATCH(TEMPLATE_SPHERE,TEMPLATE_SPHERE_LIST_FOR_NOTE,0))</f>
        <v>0</v>
      </c>
      <c r="K93" s="1188">
        <f>INDEX(TEMPLATE_NOTE_POINT_FHD,B93,MATCH(TEMPLATE_SPHERE,TEMPLATE_SPHERE_LIST_FOR_NOTE,0))</f>
        <v>0</v>
      </c>
      <c r="L93" s="1017" t="str">
        <f>IF(I93=0,"",I93)</f>
        <v/>
      </c>
      <c r="M93" s="1017" t="str">
        <f>IF(J93=0,"",J93)</f>
        <v/>
      </c>
      <c r="N93" s="1017" t="str">
        <f>IF(K93=0,"",K93)</f>
        <v/>
      </c>
      <c r="O93" s="1140"/>
      <c r="P93" s="1140" t="s">
        <v>586</v>
      </c>
      <c r="Q93" s="1140"/>
      <c r="R93" s="1140"/>
      <c r="S93" s="1140"/>
      <c r="T93" s="1016"/>
      <c r="U93" s="1016" t="s">
        <v>701</v>
      </c>
      <c r="V93" s="1016"/>
      <c r="W93" s="1016"/>
      <c r="X93" s="1016"/>
      <c r="Y93" s="1183"/>
      <c r="Z93" s="1019"/>
      <c r="AA93" s="1022" t="s">
        <v>702</v>
      </c>
      <c r="AB93" s="1019"/>
      <c r="AC93" s="1019"/>
      <c r="AD93" s="1019"/>
    </row>
    <row customHeight="1" ht="45">
      <c r="A94" s="1018"/>
      <c r="B94" s="1078">
        <v>77</v>
      </c>
      <c r="C94" s="1016"/>
      <c r="D94" s="1150" t="s">
        <v>696</v>
      </c>
      <c r="E94" s="1016"/>
      <c r="F94" s="1016"/>
      <c r="G94" s="1016"/>
      <c r="H94" s="1068"/>
      <c r="I94" s="1188">
        <f>INDEX(TEMPLATE_NUMBER_POINT_FHD,B94,MATCH(TEMPLATE_SPHERE,TEMPLATE_SPHERE_LIST_FOR_NOTE,0))</f>
        <v>0</v>
      </c>
      <c r="J94" s="1188">
        <f>INDEX(TEMPLATE_DATA_POINT_FHD,B94,MATCH(TEMPLATE_SPHERE,TEMPLATE_SPHERE_LIST_FOR_NOTE,0))</f>
        <v>0</v>
      </c>
      <c r="K94" s="1188">
        <f>INDEX(TEMPLATE_NOTE_POINT_FHD,B94,MATCH(TEMPLATE_SPHERE,TEMPLATE_SPHERE_LIST_FOR_NOTE,0))</f>
        <v>0</v>
      </c>
      <c r="L94" s="1017" t="str">
        <f>IF(I94=0,"",I94)</f>
        <v/>
      </c>
      <c r="M94" s="1017" t="str">
        <f>IF(J94=0,"",J94)</f>
        <v/>
      </c>
      <c r="N94" s="1017" t="str">
        <f>IF(K94=0,"",K94)</f>
        <v/>
      </c>
      <c r="O94" s="1140"/>
      <c r="P94" s="1140" t="s">
        <v>703</v>
      </c>
      <c r="Q94" s="1140"/>
      <c r="R94" s="1140"/>
      <c r="S94" s="1140"/>
      <c r="T94" s="1016"/>
      <c r="U94" s="1016" t="s">
        <v>704</v>
      </c>
      <c r="V94" s="1016"/>
      <c r="W94" s="1016"/>
      <c r="X94" s="1016"/>
      <c r="Y94" s="1183"/>
      <c r="Z94" s="1019"/>
      <c r="AA94" s="1022" t="s">
        <v>705</v>
      </c>
      <c r="AB94" s="1019"/>
      <c r="AC94" s="1019"/>
      <c r="AD94" s="1019"/>
    </row>
    <row customHeight="1" ht="99">
      <c r="A95" s="1018"/>
      <c r="B95" s="1078">
        <v>78</v>
      </c>
      <c r="C95" s="1016" t="s">
        <v>706</v>
      </c>
      <c r="D95" s="1150"/>
      <c r="E95" s="1016"/>
      <c r="F95" s="1016"/>
      <c r="G95" s="1016"/>
      <c r="H95" s="1068"/>
      <c r="I95" s="1188">
        <f>INDEX(TEMPLATE_NUMBER_POINT_FHD,B95,MATCH(TEMPLATE_SPHERE,TEMPLATE_SPHERE_LIST_FOR_NOTE,0))</f>
        <v>0</v>
      </c>
      <c r="J95" s="1188">
        <f>INDEX(TEMPLATE_DATA_POINT_FHD,B95,MATCH(TEMPLATE_SPHERE,TEMPLATE_SPHERE_LIST_FOR_NOTE,0))</f>
        <v>0</v>
      </c>
      <c r="K95" s="1188">
        <f>INDEX(TEMPLATE_NOTE_POINT_FHD,B95,MATCH(TEMPLATE_SPHERE,TEMPLATE_SPHERE_LIST_FOR_NOTE,0))</f>
        <v>0</v>
      </c>
      <c r="L95" s="1017" t="str">
        <f>IF(I95=0,"",I95)</f>
        <v/>
      </c>
      <c r="M95" s="1017" t="str">
        <f>IF(J95=0,"",J95)</f>
        <v/>
      </c>
      <c r="N95" s="1017" t="str">
        <f>IF(K95=0,"",K95)</f>
        <v/>
      </c>
      <c r="O95" s="1140" t="s">
        <v>703</v>
      </c>
      <c r="P95" s="1140"/>
      <c r="Q95" s="1140"/>
      <c r="R95" s="1140"/>
      <c r="S95" s="1140"/>
      <c r="T95" s="1016" t="s">
        <v>707</v>
      </c>
      <c r="U95" s="1016"/>
      <c r="V95" s="1016"/>
      <c r="W95" s="1016"/>
      <c r="X95" s="1016"/>
      <c r="Y95" s="1183"/>
      <c r="Z95" s="1019"/>
      <c r="AA95" s="1022"/>
      <c r="AB95" s="1019"/>
      <c r="AC95" s="1019"/>
      <c r="AD95" s="1019"/>
    </row>
    <row customHeight="1" ht="99">
      <c r="A96" s="1018"/>
      <c r="B96" s="1078">
        <v>79</v>
      </c>
      <c r="C96" s="1016" t="s">
        <v>708</v>
      </c>
      <c r="D96" s="1150"/>
      <c r="E96" s="1016"/>
      <c r="F96" s="1016"/>
      <c r="G96" s="1016"/>
      <c r="H96" s="1068"/>
      <c r="I96" s="1188">
        <f>INDEX(TEMPLATE_NUMBER_POINT_FHD,B96,MATCH(TEMPLATE_SPHERE,TEMPLATE_SPHERE_LIST_FOR_NOTE,0))</f>
        <v>0</v>
      </c>
      <c r="J96" s="1188">
        <f>INDEX(TEMPLATE_DATA_POINT_FHD,B96,MATCH(TEMPLATE_SPHERE,TEMPLATE_SPHERE_LIST_FOR_NOTE,0))</f>
        <v>0</v>
      </c>
      <c r="K96" s="1188">
        <f>INDEX(TEMPLATE_NOTE_POINT_FHD,B96,MATCH(TEMPLATE_SPHERE,TEMPLATE_SPHERE_LIST_FOR_NOTE,0))</f>
        <v>0</v>
      </c>
      <c r="L96" s="1017" t="str">
        <f>IF(I96=0,"",I96)</f>
        <v/>
      </c>
      <c r="M96" s="1017" t="str">
        <f>IF(J96=0,"",J96)</f>
        <v/>
      </c>
      <c r="N96" s="1017" t="str">
        <f>IF(K96=0,"",K96)</f>
        <v/>
      </c>
      <c r="O96" s="1140" t="s">
        <v>406</v>
      </c>
      <c r="P96" s="1140"/>
      <c r="Q96" s="1140"/>
      <c r="R96" s="1140"/>
      <c r="S96" s="1140"/>
      <c r="T96" s="1016" t="s">
        <v>709</v>
      </c>
      <c r="U96" s="1016"/>
      <c r="V96" s="1016"/>
      <c r="W96" s="1016"/>
      <c r="X96" s="1016"/>
      <c r="Y96" s="1183"/>
      <c r="Z96" s="1019" t="s">
        <v>710</v>
      </c>
      <c r="AA96" s="1022"/>
      <c r="AB96" s="1019"/>
      <c r="AC96" s="1019"/>
      <c r="AD96" s="1019"/>
    </row>
    <row customHeight="1" ht="63">
      <c r="A97" s="1018"/>
      <c r="B97" s="1078">
        <v>80</v>
      </c>
      <c r="C97" s="1016" t="s">
        <v>711</v>
      </c>
      <c r="D97" s="1150"/>
      <c r="E97" s="1016"/>
      <c r="F97" s="1016"/>
      <c r="G97" s="1016"/>
      <c r="H97" s="1068"/>
      <c r="I97" s="1188">
        <f>INDEX(TEMPLATE_NUMBER_POINT_FHD,B97,MATCH(TEMPLATE_SPHERE,TEMPLATE_SPHERE_LIST_FOR_NOTE,0))</f>
        <v>0</v>
      </c>
      <c r="J97" s="1188">
        <f>INDEX(TEMPLATE_DATA_POINT_FHD,B97,MATCH(TEMPLATE_SPHERE,TEMPLATE_SPHERE_LIST_FOR_NOTE,0))</f>
        <v>0</v>
      </c>
      <c r="K97" s="1188">
        <f>INDEX(TEMPLATE_NOTE_POINT_FHD,B97,MATCH(TEMPLATE_SPHERE,TEMPLATE_SPHERE_LIST_FOR_NOTE,0))</f>
        <v>0</v>
      </c>
      <c r="L97" s="1017" t="str">
        <f>IF(I97=0,"",I97)</f>
        <v/>
      </c>
      <c r="M97" s="1017" t="str">
        <f>IF(J97=0,"",J97)</f>
        <v/>
      </c>
      <c r="N97" s="1017" t="str">
        <f>IF(K97=0,"",K97)</f>
        <v/>
      </c>
      <c r="O97" s="1140" t="s">
        <v>712</v>
      </c>
      <c r="P97" s="1140"/>
      <c r="Q97" s="1140"/>
      <c r="R97" s="1140"/>
      <c r="S97" s="1140"/>
      <c r="T97" s="1016" t="s">
        <v>713</v>
      </c>
      <c r="U97" s="1016"/>
      <c r="V97" s="1016"/>
      <c r="W97" s="1016"/>
      <c r="X97" s="1016"/>
      <c r="Y97" s="1183"/>
      <c r="Z97" s="1019" t="s">
        <v>714</v>
      </c>
      <c r="AA97" s="1022"/>
      <c r="AB97" s="1019"/>
      <c r="AC97" s="1019"/>
      <c r="AD97" s="1019"/>
    </row>
    <row customHeight="1" ht="63">
      <c r="A98" s="1018"/>
      <c r="B98" s="1078">
        <v>81</v>
      </c>
      <c r="C98" s="1016" t="s">
        <v>715</v>
      </c>
      <c r="D98" s="1150"/>
      <c r="E98" s="1016"/>
      <c r="F98" s="1016"/>
      <c r="G98" s="1016"/>
      <c r="H98" s="1068"/>
      <c r="I98" s="1188">
        <f>INDEX(TEMPLATE_NUMBER_POINT_FHD,B98,MATCH(TEMPLATE_SPHERE,TEMPLATE_SPHERE_LIST_FOR_NOTE,0))</f>
        <v>0</v>
      </c>
      <c r="J98" s="1188">
        <f>INDEX(TEMPLATE_DATA_POINT_FHD,B98,MATCH(TEMPLATE_SPHERE,TEMPLATE_SPHERE_LIST_FOR_NOTE,0))</f>
        <v>0</v>
      </c>
      <c r="K98" s="1188">
        <f>INDEX(TEMPLATE_NOTE_POINT_FHD,B98,MATCH(TEMPLATE_SPHERE,TEMPLATE_SPHERE_LIST_FOR_NOTE,0))</f>
        <v>0</v>
      </c>
      <c r="L98" s="1017" t="str">
        <f>IF(I98=0,"",I98)</f>
        <v/>
      </c>
      <c r="M98" s="1017" t="str">
        <f>IF(J98=0,"",J98)</f>
        <v/>
      </c>
      <c r="N98" s="1017" t="str">
        <f>IF(K98=0,"",K98)</f>
        <v/>
      </c>
      <c r="O98" s="1140" t="s">
        <v>716</v>
      </c>
      <c r="P98" s="1140"/>
      <c r="Q98" s="1140"/>
      <c r="R98" s="1140"/>
      <c r="S98" s="1140"/>
      <c r="T98" s="1016" t="s">
        <v>717</v>
      </c>
      <c r="U98" s="1016"/>
      <c r="V98" s="1016"/>
      <c r="W98" s="1016"/>
      <c r="X98" s="1016"/>
      <c r="Y98" s="1183"/>
      <c r="Z98" s="1019" t="s">
        <v>714</v>
      </c>
      <c r="AA98" s="1022"/>
      <c r="AB98" s="1019"/>
      <c r="AC98" s="1019"/>
      <c r="AD98" s="1019"/>
    </row>
    <row customHeight="1" ht="90">
      <c r="A99" s="1018"/>
      <c r="B99" s="1078">
        <v>82</v>
      </c>
      <c r="C99" s="1016" t="s">
        <v>718</v>
      </c>
      <c r="D99" s="1150"/>
      <c r="E99" s="1016"/>
      <c r="F99" s="1016"/>
      <c r="G99" s="1016"/>
      <c r="H99" s="1068"/>
      <c r="I99" s="1188">
        <f>INDEX(TEMPLATE_NUMBER_POINT_FHD,B99,MATCH(TEMPLATE_SPHERE,TEMPLATE_SPHERE_LIST_FOR_NOTE,0))</f>
        <v>0</v>
      </c>
      <c r="J99" s="1188">
        <f>INDEX(TEMPLATE_DATA_POINT_FHD,B99,MATCH(TEMPLATE_SPHERE,TEMPLATE_SPHERE_LIST_FOR_NOTE,0))</f>
        <v>0</v>
      </c>
      <c r="K99" s="1188">
        <f>INDEX(TEMPLATE_NOTE_POINT_FHD,B99,MATCH(TEMPLATE_SPHERE,TEMPLATE_SPHERE_LIST_FOR_NOTE,0))</f>
        <v>0</v>
      </c>
      <c r="L99" s="1017" t="str">
        <f>IF(I99=0,"",I99)</f>
        <v/>
      </c>
      <c r="M99" s="1017" t="str">
        <f>IF(J99=0,"",J99)</f>
        <v/>
      </c>
      <c r="N99" s="1017" t="str">
        <f>IF(K99=0,"",K99)</f>
        <v/>
      </c>
      <c r="O99" s="1140" t="s">
        <v>468</v>
      </c>
      <c r="P99" s="1140"/>
      <c r="Q99" s="1140"/>
      <c r="R99" s="1140"/>
      <c r="S99" s="1140"/>
      <c r="T99" s="1016" t="s">
        <v>719</v>
      </c>
      <c r="U99" s="1016"/>
      <c r="V99" s="1016"/>
      <c r="W99" s="1016"/>
      <c r="X99" s="1016"/>
      <c r="Y99" s="1183"/>
      <c r="Z99" s="1019" t="s">
        <v>720</v>
      </c>
      <c r="AA99" s="1022"/>
      <c r="AB99" s="1019"/>
      <c r="AC99" s="1019"/>
      <c r="AD99" s="1019"/>
    </row>
    <row customHeight="1" ht="27">
      <c r="A100" s="1018"/>
      <c r="B100" s="1078">
        <v>83</v>
      </c>
      <c r="C100" s="1016"/>
      <c r="D100" s="1150"/>
      <c r="E100" s="1016"/>
      <c r="F100" s="1016"/>
      <c r="G100" s="1016"/>
      <c r="H100" s="1068"/>
      <c r="I100" s="1188">
        <f>INDEX(TEMPLATE_NUMBER_POINT_FHD,B100,MATCH(TEMPLATE_SPHERE,TEMPLATE_SPHERE_LIST_FOR_NOTE,0))</f>
        <v>0</v>
      </c>
      <c r="J100" s="1188">
        <f>INDEX(TEMPLATE_DATA_POINT_FHD,B100,MATCH(TEMPLATE_SPHERE,TEMPLATE_SPHERE_LIST_FOR_NOTE,0))</f>
        <v>0</v>
      </c>
      <c r="K100" s="1188">
        <f>INDEX(TEMPLATE_NOTE_POINT_FHD,B100,MATCH(TEMPLATE_SPHERE,TEMPLATE_SPHERE_LIST_FOR_NOTE,0))</f>
        <v>0</v>
      </c>
      <c r="L100" s="1017" t="str">
        <f>IF(I100=0,"",I100)</f>
        <v/>
      </c>
      <c r="M100" s="1017" t="str">
        <f>IF(J100=0,"",J100)</f>
        <v/>
      </c>
      <c r="N100" s="1017" t="str">
        <f>IF(K100=0,"",K100)</f>
        <v/>
      </c>
      <c r="O100" s="1140" t="s">
        <v>721</v>
      </c>
      <c r="P100" s="1140"/>
      <c r="Q100" s="1140"/>
      <c r="R100" s="1140"/>
      <c r="S100" s="1140"/>
      <c r="T100" s="1016" t="s">
        <v>722</v>
      </c>
      <c r="U100" s="1016"/>
      <c r="V100" s="1016"/>
      <c r="W100" s="1016"/>
      <c r="X100" s="1016"/>
      <c r="Y100" s="1183"/>
      <c r="Z100" s="1019" t="s">
        <v>720</v>
      </c>
      <c r="AA100" s="1022"/>
      <c r="AB100" s="1019"/>
      <c r="AC100" s="1019"/>
      <c r="AD100" s="1019"/>
    </row>
    <row customHeight="1" ht="27">
      <c r="A101" s="1018"/>
      <c r="B101" s="1078">
        <v>84</v>
      </c>
      <c r="C101" s="1016"/>
      <c r="D101" s="1150"/>
      <c r="E101" s="1016"/>
      <c r="F101" s="1016"/>
      <c r="G101" s="1016"/>
      <c r="H101" s="1068"/>
      <c r="I101" s="1188">
        <f>INDEX(TEMPLATE_NUMBER_POINT_FHD,B101,MATCH(TEMPLATE_SPHERE,TEMPLATE_SPHERE_LIST_FOR_NOTE,0))</f>
        <v>0</v>
      </c>
      <c r="J101" s="1188">
        <f>INDEX(TEMPLATE_DATA_POINT_FHD,B101,MATCH(TEMPLATE_SPHERE,TEMPLATE_SPHERE_LIST_FOR_NOTE,0))</f>
        <v>0</v>
      </c>
      <c r="K101" s="1188">
        <f>INDEX(TEMPLATE_NOTE_POINT_FHD,B101,MATCH(TEMPLATE_SPHERE,TEMPLATE_SPHERE_LIST_FOR_NOTE,0))</f>
        <v>0</v>
      </c>
      <c r="L101" s="1017" t="str">
        <f>IF(I101=0,"",I101)</f>
        <v/>
      </c>
      <c r="M101" s="1017" t="str">
        <f>IF(J101=0,"",J101)</f>
        <v/>
      </c>
      <c r="N101" s="1017" t="str">
        <f>IF(K101=0,"",K101)</f>
        <v/>
      </c>
      <c r="O101" s="1140" t="s">
        <v>723</v>
      </c>
      <c r="P101" s="1140"/>
      <c r="Q101" s="1140"/>
      <c r="R101" s="1140"/>
      <c r="S101" s="1140"/>
      <c r="T101" s="1016" t="s">
        <v>724</v>
      </c>
      <c r="U101" s="1016"/>
      <c r="V101" s="1016"/>
      <c r="W101" s="1016"/>
      <c r="X101" s="1016"/>
      <c r="Y101" s="1183"/>
      <c r="Z101" s="1019" t="s">
        <v>720</v>
      </c>
      <c r="AA101" s="1022"/>
      <c r="AB101" s="1019"/>
      <c r="AC101" s="1019"/>
      <c r="AD101" s="1019"/>
    </row>
    <row customHeight="1" ht="9">
      <c r="A102" s="1018"/>
      <c r="B102" s="1018"/>
      <c r="C102" s="1016"/>
      <c r="D102" s="1016"/>
      <c r="E102" s="1016"/>
      <c r="F102" s="1016"/>
      <c r="G102" s="1016"/>
      <c r="H102" s="1068"/>
      <c r="I102" s="1068"/>
      <c r="J102" s="1068"/>
      <c r="K102" s="1068"/>
      <c r="L102" s="1068"/>
      <c r="M102" s="1016"/>
      <c r="N102" s="1067"/>
      <c r="O102" s="1140"/>
      <c r="P102" s="1140"/>
      <c r="Q102" s="1140"/>
      <c r="R102" s="1140"/>
      <c r="S102" s="1016"/>
      <c r="T102" s="1016"/>
      <c r="U102" s="1016"/>
      <c r="V102" s="1016"/>
      <c r="W102" s="1016"/>
      <c r="X102" s="1016"/>
      <c r="Y102" s="1183"/>
      <c r="Z102" s="1019"/>
      <c r="AA102" s="1022"/>
      <c r="AB102" s="1019"/>
      <c r="AC102" s="1019"/>
      <c r="AD102" s="1019"/>
    </row>
    <row customHeight="1" ht="9">
      <c r="A103" s="1018"/>
      <c r="B103" s="1018"/>
      <c r="C103" s="1016"/>
      <c r="D103" s="1016"/>
      <c r="E103" s="1016"/>
      <c r="F103" s="1016"/>
      <c r="G103" s="1016"/>
      <c r="H103" s="1068"/>
      <c r="I103" s="1068"/>
      <c r="J103" s="1068"/>
      <c r="K103" s="1068"/>
      <c r="L103" s="1068"/>
      <c r="M103" s="1016"/>
      <c r="N103" s="1067"/>
      <c r="O103" s="1140"/>
      <c r="P103" s="1140"/>
      <c r="Q103" s="1140"/>
      <c r="R103" s="1140"/>
      <c r="S103" s="1016"/>
      <c r="T103" s="1016"/>
      <c r="U103" s="1016"/>
      <c r="V103" s="1016"/>
      <c r="W103" s="1016"/>
      <c r="X103" s="1016"/>
      <c r="Y103" s="1183"/>
      <c r="Z103" s="1019"/>
      <c r="AA103" s="1022"/>
      <c r="AB103" s="1019"/>
      <c r="AC103" s="1019"/>
      <c r="AD103" s="1019"/>
    </row>
    <row customHeight="1" ht="9">
      <c r="A104" s="1018"/>
      <c r="B104" s="1018"/>
      <c r="C104" s="1016"/>
      <c r="D104" s="1016"/>
      <c r="E104" s="1016"/>
      <c r="F104" s="1016"/>
      <c r="G104" s="1016"/>
      <c r="H104" s="1068"/>
      <c r="I104" s="1068"/>
      <c r="J104" s="1068"/>
      <c r="K104" s="1068"/>
      <c r="L104" s="1068"/>
      <c r="M104" s="1016"/>
      <c r="N104" s="1067"/>
      <c r="O104" s="1140"/>
      <c r="P104" s="1140"/>
      <c r="Q104" s="1140"/>
      <c r="R104" s="1140"/>
      <c r="S104" s="1016"/>
      <c r="T104" s="1016"/>
      <c r="U104" s="1016"/>
      <c r="V104" s="1016"/>
      <c r="W104" s="1016"/>
      <c r="X104" s="1016"/>
      <c r="Y104" s="1183"/>
      <c r="Z104" s="1019"/>
      <c r="AA104" s="1022"/>
      <c r="AB104" s="1019"/>
      <c r="AC104" s="1019"/>
      <c r="AD104" s="1019"/>
    </row>
    <row customHeight="1" ht="9">
      <c r="A105" s="1018"/>
      <c r="B105" s="1018"/>
      <c r="C105" s="1016"/>
      <c r="D105" s="1016"/>
      <c r="E105" s="1016"/>
      <c r="F105" s="1016"/>
      <c r="G105" s="1016"/>
      <c r="H105" s="1068"/>
      <c r="I105" s="1068"/>
      <c r="J105" s="1068"/>
      <c r="K105" s="1068"/>
      <c r="L105" s="1068"/>
      <c r="M105" s="1016"/>
      <c r="N105" s="1067"/>
      <c r="O105" s="1140"/>
      <c r="P105" s="1140"/>
      <c r="Q105" s="1140"/>
      <c r="R105" s="1140"/>
      <c r="S105" s="1016"/>
      <c r="T105" s="1016"/>
      <c r="U105" s="1016"/>
      <c r="V105" s="1016"/>
      <c r="W105" s="1016"/>
      <c r="X105" s="1016"/>
      <c r="Y105" s="1183"/>
      <c r="Z105" s="1019"/>
      <c r="AA105" s="1022"/>
      <c r="AB105" s="1019"/>
      <c r="AC105" s="1019"/>
      <c r="AD105" s="1019"/>
    </row>
    <row customHeight="1" ht="9">
      <c r="A106" s="1018"/>
      <c r="B106" s="1018"/>
      <c r="C106" s="1016"/>
      <c r="D106" s="1016"/>
      <c r="E106" s="1016"/>
      <c r="F106" s="1016"/>
      <c r="G106" s="1016"/>
      <c r="H106" s="1068"/>
      <c r="I106" s="1068"/>
      <c r="J106" s="1068"/>
      <c r="K106" s="1068"/>
      <c r="L106" s="1068"/>
      <c r="M106" s="1016"/>
      <c r="N106" s="1067"/>
      <c r="O106" s="1140"/>
      <c r="P106" s="1140"/>
      <c r="Q106" s="1140"/>
      <c r="R106" s="1140"/>
      <c r="S106" s="1016"/>
      <c r="T106" s="1016"/>
      <c r="U106" s="1016"/>
      <c r="V106" s="1016"/>
      <c r="W106" s="1016"/>
      <c r="X106" s="1016"/>
      <c r="Y106" s="1183"/>
      <c r="Z106" s="1019"/>
      <c r="AA106" s="1022"/>
      <c r="AB106" s="1019"/>
      <c r="AC106" s="1019"/>
      <c r="AD106" s="1019"/>
    </row>
    <row customHeight="1" ht="9">
      <c r="A107" s="1018"/>
      <c r="B107" s="1018"/>
      <c r="C107" s="1016"/>
      <c r="D107" s="1016"/>
      <c r="E107" s="1016"/>
      <c r="F107" s="1016"/>
      <c r="G107" s="1016"/>
      <c r="H107" s="1068"/>
      <c r="I107" s="1068"/>
      <c r="J107" s="1068"/>
      <c r="K107" s="1068"/>
      <c r="L107" s="1068"/>
      <c r="M107" s="1016"/>
      <c r="N107" s="1067"/>
      <c r="O107" s="1140"/>
      <c r="P107" s="1140"/>
      <c r="Q107" s="1140"/>
      <c r="R107" s="1140"/>
      <c r="S107" s="1016"/>
      <c r="T107" s="1016"/>
      <c r="U107" s="1016"/>
      <c r="V107" s="1016"/>
      <c r="W107" s="1016"/>
      <c r="X107" s="1016"/>
      <c r="Y107" s="1183"/>
      <c r="Z107" s="1019"/>
      <c r="AA107" s="1022"/>
      <c r="AB107" s="1019"/>
      <c r="AC107" s="1019"/>
      <c r="AD107" s="1019"/>
    </row>
    <row customHeight="1" ht="9">
      <c r="A108" s="1018"/>
      <c r="B108" s="1018"/>
      <c r="C108" s="1016"/>
      <c r="D108" s="1016"/>
      <c r="E108" s="1016"/>
      <c r="F108" s="1016"/>
      <c r="G108" s="1016"/>
      <c r="H108" s="1068"/>
      <c r="I108" s="1068"/>
      <c r="J108" s="1068"/>
      <c r="K108" s="1068"/>
      <c r="L108" s="1068"/>
      <c r="M108" s="1016"/>
      <c r="N108" s="1067"/>
      <c r="O108" s="1140"/>
      <c r="P108" s="1140"/>
      <c r="Q108" s="1140"/>
      <c r="R108" s="1140"/>
      <c r="S108" s="1016"/>
      <c r="T108" s="1016"/>
      <c r="U108" s="1016"/>
      <c r="V108" s="1016"/>
      <c r="W108" s="1016"/>
      <c r="X108" s="1016"/>
      <c r="Y108" s="1183"/>
      <c r="Z108" s="1019"/>
      <c r="AA108" s="1022"/>
      <c r="AB108" s="1019"/>
      <c r="AC108" s="1019"/>
      <c r="AD108" s="1019"/>
    </row>
    <row customHeight="1" ht="9">
      <c r="A109" s="1018"/>
      <c r="B109" s="1018"/>
      <c r="C109" s="1016"/>
      <c r="D109" s="1016"/>
      <c r="E109" s="1016"/>
      <c r="F109" s="1016"/>
      <c r="G109" s="1016"/>
      <c r="H109" s="1068"/>
      <c r="I109" s="1068"/>
      <c r="J109" s="1068"/>
      <c r="K109" s="1068"/>
      <c r="L109" s="1068"/>
      <c r="M109" s="1016"/>
      <c r="N109" s="1067"/>
      <c r="O109" s="1140"/>
      <c r="P109" s="1140"/>
      <c r="Q109" s="1140"/>
      <c r="R109" s="1140"/>
      <c r="S109" s="1016"/>
      <c r="T109" s="1016"/>
      <c r="U109" s="1016"/>
      <c r="V109" s="1016"/>
      <c r="W109" s="1016"/>
      <c r="X109" s="1016"/>
      <c r="Y109" s="1183"/>
      <c r="Z109" s="1019"/>
      <c r="AA109" s="1022"/>
      <c r="AB109" s="1019"/>
      <c r="AC109" s="1019"/>
      <c r="AD109" s="1019"/>
    </row>
    <row customHeight="1" ht="9">
      <c r="A110" s="1018"/>
      <c r="B110" s="1018"/>
      <c r="C110" s="1016"/>
      <c r="D110" s="1016"/>
      <c r="E110" s="1016"/>
      <c r="F110" s="1016"/>
      <c r="G110" s="1016"/>
      <c r="H110" s="1068"/>
      <c r="I110" s="1068"/>
      <c r="J110" s="1068"/>
      <c r="K110" s="1068"/>
      <c r="L110" s="1068"/>
      <c r="M110" s="1016"/>
      <c r="N110" s="1067"/>
      <c r="O110" s="1140"/>
      <c r="P110" s="1140"/>
      <c r="Q110" s="1140"/>
      <c r="R110" s="1140"/>
      <c r="S110" s="1016"/>
      <c r="T110" s="1016"/>
      <c r="U110" s="1016"/>
      <c r="V110" s="1016"/>
      <c r="W110" s="1016"/>
      <c r="X110" s="1016"/>
      <c r="Y110" s="1183"/>
      <c r="Z110" s="1019"/>
      <c r="AA110" s="1022"/>
      <c r="AB110" s="1019"/>
      <c r="AC110" s="1019"/>
      <c r="AD110" s="1019"/>
    </row>
    <row customHeight="1" ht="9">
      <c r="A111" s="1018"/>
      <c r="B111" s="1018"/>
      <c r="C111" s="1016"/>
      <c r="D111" s="1016"/>
      <c r="E111" s="1016"/>
      <c r="F111" s="1016"/>
      <c r="G111" s="1016"/>
      <c r="H111" s="1068"/>
      <c r="I111" s="1068"/>
      <c r="J111" s="1068"/>
      <c r="K111" s="1068"/>
      <c r="L111" s="1068"/>
      <c r="M111" s="1016"/>
      <c r="N111" s="1067"/>
      <c r="O111" s="1140"/>
      <c r="P111" s="1140"/>
      <c r="Q111" s="1140"/>
      <c r="R111" s="1140"/>
      <c r="S111" s="1016"/>
      <c r="T111" s="1016"/>
      <c r="U111" s="1016"/>
      <c r="V111" s="1016"/>
      <c r="W111" s="1016"/>
      <c r="X111" s="1016"/>
      <c r="Y111" s="1183"/>
      <c r="Z111" s="1019"/>
      <c r="AA111" s="1022"/>
      <c r="AB111" s="1019"/>
      <c r="AC111" s="1019"/>
      <c r="AD111" s="1019"/>
    </row>
    <row customHeight="1" ht="9">
      <c r="A112" s="1018"/>
      <c r="B112" s="1018"/>
      <c r="C112" s="1016"/>
      <c r="D112" s="1016"/>
      <c r="E112" s="1016"/>
      <c r="F112" s="1016"/>
      <c r="G112" s="1016"/>
      <c r="H112" s="1068"/>
      <c r="I112" s="1068"/>
      <c r="J112" s="1068"/>
      <c r="K112" s="1068"/>
      <c r="L112" s="1068"/>
      <c r="M112" s="1016"/>
      <c r="N112" s="1067"/>
      <c r="O112" s="1140"/>
      <c r="P112" s="1140"/>
      <c r="Q112" s="1140"/>
      <c r="R112" s="1140"/>
      <c r="S112" s="1016"/>
      <c r="T112" s="1016"/>
      <c r="U112" s="1016"/>
      <c r="V112" s="1016"/>
      <c r="W112" s="1016"/>
      <c r="X112" s="1016"/>
      <c r="Y112" s="1183"/>
      <c r="Z112" s="1019"/>
      <c r="AA112" s="1022"/>
      <c r="AB112" s="1019"/>
      <c r="AC112" s="1019"/>
      <c r="AD112" s="1019"/>
    </row>
    <row customHeight="1" ht="9">
      <c r="A113" s="1018"/>
      <c r="B113" s="1018"/>
      <c r="C113" s="1016"/>
      <c r="D113" s="1016"/>
      <c r="E113" s="1016"/>
      <c r="F113" s="1016"/>
      <c r="G113" s="1016"/>
      <c r="H113" s="1068"/>
      <c r="I113" s="1068"/>
      <c r="J113" s="1068"/>
      <c r="K113" s="1068"/>
      <c r="L113" s="1068"/>
      <c r="M113" s="1016"/>
      <c r="N113" s="1067"/>
      <c r="O113" s="1140"/>
      <c r="P113" s="1140"/>
      <c r="Q113" s="1140"/>
      <c r="R113" s="1140"/>
      <c r="S113" s="1016"/>
      <c r="T113" s="1016"/>
      <c r="U113" s="1016"/>
      <c r="V113" s="1016"/>
      <c r="W113" s="1016"/>
      <c r="X113" s="1016"/>
      <c r="Y113" s="1183"/>
      <c r="Z113" s="1019"/>
      <c r="AA113" s="1022"/>
      <c r="AB113" s="1019"/>
      <c r="AC113" s="1019"/>
      <c r="AD113" s="1019"/>
    </row>
    <row customHeight="1" ht="9">
      <c r="A114" s="1018"/>
      <c r="B114" s="1018"/>
      <c r="C114" s="1016"/>
      <c r="D114" s="1016"/>
      <c r="E114" s="1016"/>
      <c r="F114" s="1016"/>
      <c r="G114" s="1016"/>
      <c r="H114" s="1068"/>
      <c r="I114" s="1068"/>
      <c r="J114" s="1068"/>
      <c r="K114" s="1068"/>
      <c r="L114" s="1068"/>
      <c r="M114" s="1016"/>
      <c r="N114" s="1067"/>
      <c r="O114" s="1140"/>
      <c r="P114" s="1140"/>
      <c r="Q114" s="1140"/>
      <c r="R114" s="1140"/>
      <c r="S114" s="1016"/>
      <c r="T114" s="1016"/>
      <c r="U114" s="1016"/>
      <c r="V114" s="1016"/>
      <c r="W114" s="1016"/>
      <c r="X114" s="1016"/>
      <c r="Y114" s="1183"/>
      <c r="Z114" s="1019"/>
      <c r="AA114" s="1022"/>
      <c r="AB114" s="1019"/>
      <c r="AC114" s="1019"/>
      <c r="AD114" s="1019"/>
    </row>
    <row customHeight="1" ht="9">
      <c r="A115" s="1018"/>
      <c r="B115" s="1018"/>
      <c r="C115" s="1016"/>
      <c r="D115" s="1016"/>
      <c r="E115" s="1016"/>
      <c r="F115" s="1016"/>
      <c r="G115" s="1016"/>
      <c r="H115" s="1068"/>
      <c r="I115" s="1068"/>
      <c r="J115" s="1068"/>
      <c r="K115" s="1068"/>
      <c r="L115" s="1068"/>
      <c r="M115" s="1016"/>
      <c r="N115" s="1067"/>
      <c r="O115" s="1140"/>
      <c r="P115" s="1140"/>
      <c r="Q115" s="1140"/>
      <c r="R115" s="1140"/>
      <c r="S115" s="1016"/>
      <c r="T115" s="1016"/>
      <c r="U115" s="1016"/>
      <c r="V115" s="1016"/>
      <c r="W115" s="1016"/>
      <c r="X115" s="1016"/>
      <c r="Y115" s="1183"/>
      <c r="Z115" s="1019"/>
      <c r="AA115" s="1022"/>
      <c r="AB115" s="1019"/>
      <c r="AC115" s="1019"/>
      <c r="AD115" s="1019"/>
    </row>
    <row customHeight="1" ht="9">
      <c r="A116" s="1018"/>
      <c r="B116" s="1018"/>
      <c r="C116" s="1016"/>
      <c r="D116" s="1016"/>
      <c r="E116" s="1016"/>
      <c r="F116" s="1016"/>
      <c r="G116" s="1016"/>
      <c r="H116" s="1068"/>
      <c r="I116" s="1068"/>
      <c r="J116" s="1068"/>
      <c r="K116" s="1068"/>
      <c r="L116" s="1068"/>
      <c r="M116" s="1016"/>
      <c r="N116" s="1067"/>
      <c r="O116" s="1140"/>
      <c r="P116" s="1140"/>
      <c r="Q116" s="1140"/>
      <c r="R116" s="1140"/>
      <c r="S116" s="1016"/>
      <c r="T116" s="1016"/>
      <c r="U116" s="1016"/>
      <c r="V116" s="1016"/>
      <c r="W116" s="1016"/>
      <c r="X116" s="1016"/>
      <c r="Y116" s="1183"/>
      <c r="Z116" s="1019"/>
      <c r="AA116" s="1022"/>
      <c r="AB116" s="1019"/>
      <c r="AC116" s="1019"/>
      <c r="AD116" s="1019"/>
    </row>
    <row customHeight="1" ht="9">
      <c r="A117" s="1018"/>
      <c r="B117" s="1018"/>
      <c r="C117" s="1016"/>
      <c r="D117" s="1016"/>
      <c r="E117" s="1016"/>
      <c r="F117" s="1016"/>
      <c r="G117" s="1016"/>
      <c r="H117" s="1068"/>
      <c r="I117" s="1068"/>
      <c r="J117" s="1068"/>
      <c r="K117" s="1068"/>
      <c r="L117" s="1068"/>
      <c r="M117" s="1016"/>
      <c r="N117" s="1067"/>
      <c r="O117" s="1140"/>
      <c r="P117" s="1140"/>
      <c r="Q117" s="1140"/>
      <c r="R117" s="1140"/>
      <c r="S117" s="1016"/>
      <c r="T117" s="1016"/>
      <c r="U117" s="1016"/>
      <c r="V117" s="1016"/>
      <c r="W117" s="1016"/>
      <c r="X117" s="1016"/>
      <c r="Y117" s="1183"/>
      <c r="Z117" s="1019"/>
      <c r="AA117" s="1022"/>
      <c r="AB117" s="1019"/>
      <c r="AC117" s="1019"/>
      <c r="AD117" s="1019"/>
    </row>
    <row customHeight="1" ht="9">
      <c r="A118" s="1018"/>
      <c r="B118" s="1018"/>
      <c r="C118" s="1016"/>
      <c r="D118" s="1016"/>
      <c r="E118" s="1016"/>
      <c r="F118" s="1016"/>
      <c r="G118" s="1016"/>
      <c r="H118" s="1068"/>
      <c r="I118" s="1068"/>
      <c r="J118" s="1068"/>
      <c r="K118" s="1068"/>
      <c r="L118" s="1068"/>
      <c r="M118" s="1016"/>
      <c r="N118" s="1067"/>
      <c r="O118" s="1140"/>
      <c r="P118" s="1140"/>
      <c r="Q118" s="1140"/>
      <c r="R118" s="1140"/>
      <c r="S118" s="1016"/>
      <c r="T118" s="1016"/>
      <c r="U118" s="1016"/>
      <c r="V118" s="1016"/>
      <c r="W118" s="1016"/>
      <c r="X118" s="1016"/>
      <c r="Y118" s="1183"/>
      <c r="Z118" s="1019"/>
      <c r="AA118" s="1022"/>
      <c r="AB118" s="1019"/>
      <c r="AC118" s="1019"/>
      <c r="AD118" s="1019"/>
    </row>
    <row customHeight="1" ht="9">
      <c r="A119" s="1018"/>
      <c r="B119" s="1018"/>
      <c r="C119" s="1016"/>
      <c r="D119" s="1016"/>
      <c r="E119" s="1016"/>
      <c r="F119" s="1016"/>
      <c r="G119" s="1016"/>
      <c r="H119" s="1068"/>
      <c r="I119" s="1068"/>
      <c r="J119" s="1068"/>
      <c r="K119" s="1068"/>
      <c r="L119" s="1068"/>
      <c r="M119" s="1016"/>
      <c r="N119" s="1067"/>
      <c r="O119" s="1140"/>
      <c r="P119" s="1140"/>
      <c r="Q119" s="1140"/>
      <c r="R119" s="1140"/>
      <c r="S119" s="1016"/>
      <c r="T119" s="1016"/>
      <c r="U119" s="1016"/>
      <c r="V119" s="1016"/>
      <c r="W119" s="1016"/>
      <c r="X119" s="1016"/>
      <c r="Y119" s="1183"/>
      <c r="Z119" s="1019"/>
      <c r="AA119" s="1022"/>
      <c r="AB119" s="1019"/>
      <c r="AC119" s="1019"/>
      <c r="AD119" s="1019"/>
    </row>
    <row customHeight="1" ht="9">
      <c r="A120" s="1018"/>
      <c r="B120" s="1018"/>
      <c r="C120" s="1016"/>
      <c r="D120" s="1016"/>
      <c r="E120" s="1016"/>
      <c r="F120" s="1016"/>
      <c r="G120" s="1016"/>
      <c r="H120" s="1068"/>
      <c r="I120" s="1068"/>
      <c r="J120" s="1068"/>
      <c r="K120" s="1068"/>
      <c r="L120" s="1068"/>
      <c r="M120" s="1016"/>
      <c r="N120" s="1067"/>
      <c r="O120" s="1140"/>
      <c r="P120" s="1140"/>
      <c r="Q120" s="1140"/>
      <c r="R120" s="1140"/>
      <c r="S120" s="1016"/>
      <c r="T120" s="1016"/>
      <c r="U120" s="1016"/>
      <c r="V120" s="1016"/>
      <c r="W120" s="1016"/>
      <c r="X120" s="1016"/>
      <c r="Y120" s="1183"/>
      <c r="Z120" s="1019"/>
      <c r="AA120" s="1022"/>
      <c r="AB120" s="1019"/>
      <c r="AC120" s="1019"/>
      <c r="AD120" s="1019"/>
    </row>
    <row customHeight="1" ht="9">
      <c r="A121" s="1018"/>
      <c r="B121" s="1018"/>
      <c r="C121" s="1016"/>
      <c r="D121" s="1016"/>
      <c r="E121" s="1016"/>
      <c r="F121" s="1016"/>
      <c r="G121" s="1016"/>
      <c r="H121" s="1068"/>
      <c r="I121" s="1068"/>
      <c r="J121" s="1068"/>
      <c r="K121" s="1068"/>
      <c r="L121" s="1068"/>
      <c r="M121" s="1016"/>
      <c r="N121" s="1067"/>
      <c r="O121" s="1140"/>
      <c r="P121" s="1140"/>
      <c r="Q121" s="1140"/>
      <c r="R121" s="1140"/>
      <c r="S121" s="1016"/>
      <c r="T121" s="1016"/>
      <c r="U121" s="1016"/>
      <c r="V121" s="1016"/>
      <c r="W121" s="1016"/>
      <c r="X121" s="1016"/>
      <c r="Y121" s="1183"/>
      <c r="Z121" s="1019"/>
      <c r="AA121" s="1022"/>
      <c r="AB121" s="1019"/>
      <c r="AC121" s="1019"/>
      <c r="AD121" s="1019"/>
    </row>
    <row customHeight="1" ht="9">
      <c r="A122" s="1018"/>
      <c r="B122" s="1018"/>
      <c r="C122" s="1016"/>
      <c r="D122" s="1016"/>
      <c r="E122" s="1016"/>
      <c r="F122" s="1016"/>
      <c r="G122" s="1016"/>
      <c r="H122" s="1068"/>
      <c r="I122" s="1068"/>
      <c r="J122" s="1068"/>
      <c r="K122" s="1068"/>
      <c r="L122" s="1068"/>
      <c r="M122" s="1016"/>
      <c r="N122" s="1067"/>
      <c r="O122" s="1140"/>
      <c r="P122" s="1140"/>
      <c r="Q122" s="1140"/>
      <c r="R122" s="1140"/>
      <c r="S122" s="1016"/>
      <c r="T122" s="1016"/>
      <c r="U122" s="1016"/>
      <c r="V122" s="1016"/>
      <c r="W122" s="1016"/>
      <c r="X122" s="1016"/>
      <c r="Y122" s="1183"/>
      <c r="Z122" s="1019"/>
      <c r="AA122" s="1022"/>
      <c r="AB122" s="1019"/>
      <c r="AC122" s="1019"/>
      <c r="AD122" s="1019"/>
    </row>
    <row customHeight="1" ht="9">
      <c r="A123" s="1018"/>
      <c r="B123" s="1018"/>
      <c r="C123" s="1016"/>
      <c r="D123" s="1016"/>
      <c r="E123" s="1016"/>
      <c r="F123" s="1016"/>
      <c r="G123" s="1016"/>
      <c r="H123" s="1068"/>
      <c r="I123" s="1068"/>
      <c r="J123" s="1068"/>
      <c r="K123" s="1068"/>
      <c r="L123" s="1068"/>
      <c r="M123" s="1016"/>
      <c r="N123" s="1067"/>
      <c r="O123" s="1140"/>
      <c r="P123" s="1140"/>
      <c r="Q123" s="1140"/>
      <c r="R123" s="1140"/>
      <c r="S123" s="1016"/>
      <c r="T123" s="1016"/>
      <c r="U123" s="1016"/>
      <c r="V123" s="1016"/>
      <c r="W123" s="1016"/>
      <c r="X123" s="1016"/>
      <c r="Y123" s="1183"/>
      <c r="Z123" s="1019"/>
      <c r="AA123" s="1022"/>
      <c r="AB123" s="1019"/>
      <c r="AC123" s="1019"/>
      <c r="AD123" s="1019"/>
    </row>
    <row customHeight="1" ht="9">
      <c r="A124" s="1018"/>
      <c r="B124" s="1018"/>
      <c r="C124" s="1016"/>
      <c r="D124" s="1016"/>
      <c r="E124" s="1016"/>
      <c r="F124" s="1016"/>
      <c r="G124" s="1016"/>
      <c r="H124" s="1068"/>
      <c r="I124" s="1068"/>
      <c r="J124" s="1068"/>
      <c r="K124" s="1068"/>
      <c r="L124" s="1068"/>
      <c r="M124" s="1016"/>
      <c r="N124" s="1067"/>
      <c r="O124" s="1140"/>
      <c r="P124" s="1140"/>
      <c r="Q124" s="1140"/>
      <c r="R124" s="1140"/>
      <c r="S124" s="1016"/>
      <c r="T124" s="1016"/>
      <c r="U124" s="1016"/>
      <c r="V124" s="1016"/>
      <c r="W124" s="1016"/>
      <c r="X124" s="1016"/>
      <c r="Y124" s="1183"/>
      <c r="Z124" s="1019"/>
      <c r="AA124" s="1022"/>
      <c r="AB124" s="1019"/>
      <c r="AC124" s="1019"/>
      <c r="AD124" s="1019"/>
    </row>
    <row customHeight="1" ht="9">
      <c r="A125" s="1018"/>
      <c r="B125" s="1018"/>
      <c r="C125" s="1016"/>
      <c r="D125" s="1016"/>
      <c r="E125" s="1016"/>
      <c r="F125" s="1016"/>
      <c r="G125" s="1016"/>
      <c r="H125" s="1068"/>
      <c r="I125" s="1068"/>
      <c r="J125" s="1068"/>
      <c r="K125" s="1068"/>
      <c r="L125" s="1068"/>
      <c r="M125" s="1016"/>
      <c r="N125" s="1067"/>
      <c r="O125" s="1140"/>
      <c r="P125" s="1140"/>
      <c r="Q125" s="1140"/>
      <c r="R125" s="1140"/>
      <c r="S125" s="1016"/>
      <c r="T125" s="1016"/>
      <c r="U125" s="1016"/>
      <c r="V125" s="1016"/>
      <c r="W125" s="1016"/>
      <c r="X125" s="1016"/>
      <c r="Y125" s="1183"/>
      <c r="Z125" s="1019"/>
      <c r="AA125" s="1022"/>
      <c r="AB125" s="1019"/>
      <c r="AC125" s="1019"/>
      <c r="AD125" s="1019"/>
    </row>
    <row customHeight="1" ht="9">
      <c r="A126" s="1018"/>
      <c r="B126" s="1018"/>
      <c r="C126" s="1016"/>
      <c r="D126" s="1016"/>
      <c r="E126" s="1016"/>
      <c r="F126" s="1016"/>
      <c r="G126" s="1016"/>
      <c r="H126" s="1068"/>
      <c r="I126" s="1068"/>
      <c r="J126" s="1068"/>
      <c r="K126" s="1068"/>
      <c r="L126" s="1068"/>
      <c r="M126" s="1016"/>
      <c r="N126" s="1067"/>
      <c r="O126" s="1140"/>
      <c r="P126" s="1140"/>
      <c r="Q126" s="1140"/>
      <c r="R126" s="1140"/>
      <c r="S126" s="1016"/>
      <c r="T126" s="1016"/>
      <c r="U126" s="1016"/>
      <c r="V126" s="1016"/>
      <c r="W126" s="1016"/>
      <c r="X126" s="1016"/>
      <c r="Y126" s="1183"/>
      <c r="Z126" s="1019"/>
      <c r="AA126" s="1022"/>
      <c r="AB126" s="1019"/>
      <c r="AC126" s="1019"/>
      <c r="AD126" s="1019"/>
    </row>
    <row customHeight="1" ht="9">
      <c r="A127" s="1018"/>
      <c r="B127" s="1018"/>
      <c r="C127" s="1016"/>
      <c r="D127" s="1016"/>
      <c r="E127" s="1016"/>
      <c r="F127" s="1016"/>
      <c r="G127" s="1016"/>
      <c r="H127" s="1068"/>
      <c r="I127" s="1068"/>
      <c r="J127" s="1068"/>
      <c r="K127" s="1068"/>
      <c r="L127" s="1068"/>
      <c r="M127" s="1016"/>
      <c r="N127" s="1067"/>
      <c r="O127" s="1140"/>
      <c r="P127" s="1140"/>
      <c r="Q127" s="1140"/>
      <c r="R127" s="1140"/>
      <c r="S127" s="1016"/>
      <c r="T127" s="1016"/>
      <c r="U127" s="1016"/>
      <c r="V127" s="1016"/>
      <c r="W127" s="1016"/>
      <c r="X127" s="1016"/>
      <c r="Y127" s="1183"/>
      <c r="Z127" s="1019"/>
      <c r="AA127" s="1022"/>
      <c r="AB127" s="1019"/>
      <c r="AC127" s="1019"/>
      <c r="AD127" s="1019"/>
    </row>
    <row customHeight="1" ht="9">
      <c r="A128" s="1018"/>
      <c r="B128" s="1018"/>
      <c r="C128" s="1016"/>
      <c r="D128" s="1016"/>
      <c r="E128" s="1016"/>
      <c r="F128" s="1016"/>
      <c r="G128" s="1016"/>
      <c r="H128" s="1068"/>
      <c r="I128" s="1068"/>
      <c r="J128" s="1068"/>
      <c r="K128" s="1068"/>
      <c r="L128" s="1068"/>
      <c r="M128" s="1016"/>
      <c r="N128" s="1067"/>
      <c r="O128" s="1140"/>
      <c r="P128" s="1140"/>
      <c r="Q128" s="1140"/>
      <c r="R128" s="1140"/>
      <c r="S128" s="1016"/>
      <c r="T128" s="1016"/>
      <c r="U128" s="1016"/>
      <c r="V128" s="1016"/>
      <c r="W128" s="1016"/>
      <c r="X128" s="1016"/>
      <c r="Y128" s="1183"/>
      <c r="Z128" s="1019"/>
      <c r="AA128" s="1022"/>
      <c r="AB128" s="1019"/>
      <c r="AC128" s="1019"/>
      <c r="AD128" s="1019"/>
    </row>
    <row customHeight="1" ht="9">
      <c r="A129" s="1018"/>
      <c r="B129" s="1018"/>
      <c r="C129" s="1016"/>
      <c r="D129" s="1016"/>
      <c r="E129" s="1016"/>
      <c r="F129" s="1016"/>
      <c r="G129" s="1016"/>
      <c r="H129" s="1068"/>
      <c r="I129" s="1068"/>
      <c r="J129" s="1068"/>
      <c r="K129" s="1068"/>
      <c r="L129" s="1068"/>
      <c r="M129" s="1016"/>
      <c r="N129" s="1067"/>
      <c r="O129" s="1140"/>
      <c r="P129" s="1140"/>
      <c r="Q129" s="1140"/>
      <c r="R129" s="1140"/>
      <c r="S129" s="1016"/>
      <c r="T129" s="1016"/>
      <c r="U129" s="1016"/>
      <c r="V129" s="1016"/>
      <c r="W129" s="1016"/>
      <c r="X129" s="1016"/>
      <c r="Y129" s="1183"/>
      <c r="Z129" s="1019"/>
      <c r="AA129" s="1022"/>
      <c r="AB129" s="1019"/>
      <c r="AC129" s="1019"/>
      <c r="AD129" s="1019"/>
    </row>
    <row customHeight="1" ht="9">
      <c r="A130" s="1018"/>
      <c r="B130" s="1018"/>
      <c r="C130" s="1016"/>
      <c r="D130" s="1016"/>
      <c r="E130" s="1016"/>
      <c r="F130" s="1016"/>
      <c r="G130" s="1016"/>
      <c r="H130" s="1068"/>
      <c r="I130" s="1068"/>
      <c r="J130" s="1068"/>
      <c r="K130" s="1068"/>
      <c r="L130" s="1068"/>
      <c r="M130" s="1016"/>
      <c r="N130" s="1067"/>
      <c r="O130" s="1142"/>
      <c r="P130" s="1142"/>
      <c r="Q130" s="1142"/>
      <c r="R130" s="1142"/>
      <c r="S130" s="1016"/>
      <c r="T130" s="1016"/>
      <c r="U130" s="1016"/>
      <c r="V130" s="1016"/>
      <c r="W130" s="1016"/>
      <c r="X130" s="1016"/>
      <c r="Y130" s="1183"/>
      <c r="Z130" s="1019"/>
      <c r="AA130" s="1022"/>
      <c r="AB130" s="1019"/>
      <c r="AC130" s="1019"/>
      <c r="AD130" s="1019"/>
    </row>
    <row customHeight="1" ht="9">
      <c r="A131" s="1018"/>
      <c r="B131" s="1018"/>
      <c r="C131" s="1016"/>
      <c r="D131" s="1016"/>
      <c r="E131" s="1016"/>
      <c r="F131" s="1016"/>
      <c r="G131" s="1016"/>
      <c r="H131" s="1068"/>
      <c r="I131" s="1068"/>
      <c r="J131" s="1068"/>
      <c r="K131" s="1068"/>
      <c r="L131" s="1068"/>
      <c r="M131" s="1016"/>
      <c r="N131" s="1067"/>
      <c r="O131" s="1143"/>
      <c r="P131" s="1143"/>
      <c r="Q131" s="1143"/>
      <c r="R131" s="1143"/>
      <c r="S131" s="1016"/>
      <c r="T131" s="1016"/>
      <c r="U131" s="1016"/>
      <c r="V131" s="1016"/>
      <c r="W131" s="1016"/>
      <c r="X131" s="1016"/>
      <c r="Y131" s="1183"/>
      <c r="Z131" s="1019"/>
      <c r="AA131" s="1022"/>
      <c r="AB131" s="1019"/>
      <c r="AC131" s="1019"/>
      <c r="AD131" s="1019"/>
    </row>
    <row customHeight="1" ht="9">
      <c r="A132" s="1018"/>
      <c r="B132" s="1018"/>
      <c r="C132" s="1016"/>
      <c r="D132" s="1016"/>
      <c r="E132" s="1016"/>
      <c r="F132" s="1016"/>
      <c r="G132" s="1016"/>
      <c r="H132" s="1068"/>
      <c r="I132" s="1068"/>
      <c r="J132" s="1068"/>
      <c r="K132" s="1068"/>
      <c r="L132" s="1068"/>
      <c r="M132" s="1016"/>
      <c r="N132" s="1067"/>
      <c r="O132" s="1142"/>
      <c r="P132" s="1142"/>
      <c r="Q132" s="1142"/>
      <c r="R132" s="1142"/>
      <c r="S132" s="1016"/>
      <c r="T132" s="1016"/>
      <c r="U132" s="1016"/>
      <c r="V132" s="1016"/>
      <c r="W132" s="1016"/>
      <c r="X132" s="1016"/>
      <c r="Y132" s="1183"/>
      <c r="Z132" s="1019"/>
      <c r="AA132" s="1022"/>
      <c r="AB132" s="1019"/>
      <c r="AC132" s="1019"/>
      <c r="AD132" s="1019"/>
    </row>
    <row customHeight="1" ht="9">
      <c r="A133" s="1018"/>
      <c r="B133" s="1018"/>
      <c r="C133" s="1016"/>
      <c r="D133" s="1016"/>
      <c r="E133" s="1016"/>
      <c r="F133" s="1016"/>
      <c r="G133" s="1016"/>
      <c r="H133" s="1068"/>
      <c r="I133" s="1068"/>
      <c r="J133" s="1068"/>
      <c r="K133" s="1068"/>
      <c r="L133" s="1068"/>
      <c r="M133" s="1016"/>
      <c r="N133" s="1067"/>
      <c r="O133" s="1143"/>
      <c r="P133" s="1143"/>
      <c r="Q133" s="1143"/>
      <c r="R133" s="1143"/>
      <c r="S133" s="1016"/>
      <c r="T133" s="1016"/>
      <c r="U133" s="1016"/>
      <c r="V133" s="1016"/>
      <c r="W133" s="1016"/>
      <c r="X133" s="1016"/>
      <c r="Y133" s="1183"/>
      <c r="Z133" s="1019"/>
      <c r="AA133" s="1022"/>
      <c r="AB133" s="1019"/>
      <c r="AC133" s="1019"/>
      <c r="AD133" s="1019"/>
    </row>
    <row customHeight="1" ht="9">
      <c r="A134" s="1018"/>
      <c r="B134" s="1018"/>
      <c r="C134" s="1016"/>
      <c r="D134" s="1016"/>
      <c r="E134" s="1016"/>
      <c r="F134" s="1016"/>
      <c r="G134" s="1016"/>
      <c r="H134" s="1068"/>
      <c r="I134" s="1068"/>
      <c r="J134" s="1068"/>
      <c r="K134" s="1068"/>
      <c r="L134" s="1068"/>
      <c r="M134" s="1016"/>
      <c r="N134" s="1067"/>
      <c r="O134" s="1140"/>
      <c r="P134" s="1140"/>
      <c r="Q134" s="1140"/>
      <c r="R134" s="1140"/>
      <c r="S134" s="1016"/>
      <c r="T134" s="1016"/>
      <c r="U134" s="1016"/>
      <c r="V134" s="1016"/>
      <c r="W134" s="1016"/>
      <c r="X134" s="1016"/>
      <c r="Y134" s="1183"/>
      <c r="Z134" s="1019"/>
      <c r="AA134" s="1022"/>
      <c r="AB134" s="1019"/>
      <c r="AC134" s="1019"/>
      <c r="AD134" s="1019"/>
    </row>
    <row customHeight="1" ht="9">
      <c r="A135" s="1018"/>
      <c r="B135" s="1018"/>
      <c r="C135" s="1016"/>
      <c r="D135" s="1016"/>
      <c r="E135" s="1016"/>
      <c r="F135" s="1016"/>
      <c r="G135" s="1016"/>
      <c r="H135" s="1068"/>
      <c r="I135" s="1068"/>
      <c r="J135" s="1068"/>
      <c r="K135" s="1068"/>
      <c r="L135" s="1068"/>
      <c r="M135" s="1016"/>
      <c r="N135" s="1067"/>
      <c r="O135" s="1140"/>
      <c r="P135" s="1140"/>
      <c r="Q135" s="1140"/>
      <c r="R135" s="1140"/>
      <c r="S135" s="1016"/>
      <c r="T135" s="1016"/>
      <c r="U135" s="1016"/>
      <c r="V135" s="1016"/>
      <c r="W135" s="1016"/>
      <c r="X135" s="1016"/>
      <c r="Y135" s="1183"/>
      <c r="Z135" s="1019"/>
      <c r="AA135" s="1022"/>
      <c r="AB135" s="1019"/>
      <c r="AC135" s="1019"/>
      <c r="AD135" s="1019"/>
    </row>
    <row customHeight="1" ht="9">
      <c r="A136" s="1018"/>
      <c r="B136" s="1018"/>
      <c r="C136" s="1016"/>
      <c r="D136" s="1016"/>
      <c r="E136" s="1016"/>
      <c r="F136" s="1016"/>
      <c r="G136" s="1016"/>
      <c r="H136" s="1068"/>
      <c r="I136" s="1068"/>
      <c r="J136" s="1068"/>
      <c r="K136" s="1068"/>
      <c r="L136" s="1068"/>
      <c r="M136" s="1016"/>
      <c r="N136" s="1067"/>
      <c r="O136" s="1140"/>
      <c r="P136" s="1140"/>
      <c r="Q136" s="1140"/>
      <c r="R136" s="1140"/>
      <c r="S136" s="1016"/>
      <c r="T136" s="1016"/>
      <c r="U136" s="1016"/>
      <c r="V136" s="1016"/>
      <c r="W136" s="1016"/>
      <c r="X136" s="1016"/>
      <c r="Y136" s="1183"/>
      <c r="Z136" s="1019"/>
      <c r="AA136" s="1022"/>
      <c r="AB136" s="1019"/>
      <c r="AC136" s="1019"/>
      <c r="AD136" s="1019"/>
    </row>
    <row customHeight="1" ht="9">
      <c r="A137" s="1018"/>
      <c r="B137" s="1018"/>
      <c r="C137" s="1016"/>
      <c r="D137" s="1016"/>
      <c r="E137" s="1016"/>
      <c r="F137" s="1016"/>
      <c r="G137" s="1016"/>
      <c r="H137" s="1068"/>
      <c r="I137" s="1068"/>
      <c r="J137" s="1068"/>
      <c r="K137" s="1068"/>
      <c r="L137" s="1068"/>
      <c r="M137" s="1016"/>
      <c r="N137" s="1067"/>
      <c r="O137" s="1144"/>
      <c r="P137" s="1144"/>
      <c r="Q137" s="1144"/>
      <c r="R137" s="1144"/>
      <c r="S137" s="1016"/>
      <c r="T137" s="1016"/>
      <c r="U137" s="1016"/>
      <c r="V137" s="1016"/>
      <c r="W137" s="1016"/>
      <c r="X137" s="1016"/>
      <c r="Y137" s="1183"/>
      <c r="Z137" s="1019"/>
      <c r="AA137" s="1022"/>
      <c r="AB137" s="1019"/>
      <c r="AC137" s="1019"/>
      <c r="AD137" s="1019"/>
    </row>
    <row customHeight="1" ht="9">
      <c r="A138" s="1018"/>
      <c r="B138" s="1018"/>
      <c r="C138" s="1016"/>
      <c r="D138" s="1016"/>
      <c r="E138" s="1016"/>
      <c r="F138" s="1016"/>
      <c r="G138" s="1016"/>
      <c r="H138" s="1068"/>
      <c r="I138" s="1068"/>
      <c r="J138" s="1068"/>
      <c r="K138" s="1068"/>
      <c r="L138" s="1068"/>
      <c r="M138" s="1016"/>
      <c r="N138" s="1067"/>
      <c r="O138" s="1141"/>
      <c r="P138" s="1141"/>
      <c r="Q138" s="1141"/>
      <c r="R138" s="1141"/>
      <c r="S138" s="1016"/>
      <c r="T138" s="1016"/>
      <c r="U138" s="1016"/>
      <c r="V138" s="1016"/>
      <c r="W138" s="1016"/>
      <c r="X138" s="1016"/>
      <c r="Y138" s="1183"/>
      <c r="Z138" s="1019"/>
      <c r="AA138" s="1022"/>
      <c r="AB138" s="1019"/>
      <c r="AC138" s="1019"/>
      <c r="AD138" s="1019"/>
    </row>
    <row customHeight="1" ht="9">
      <c r="A139" s="1018"/>
      <c r="B139" s="1018"/>
      <c r="C139" s="1016"/>
      <c r="D139" s="1016"/>
      <c r="E139" s="1016"/>
      <c r="F139" s="1016"/>
      <c r="G139" s="1016"/>
      <c r="H139" s="1068"/>
      <c r="I139" s="1068"/>
      <c r="J139" s="1068"/>
      <c r="K139" s="1068"/>
      <c r="L139" s="1068"/>
      <c r="M139" s="1016"/>
      <c r="N139" s="1067"/>
      <c r="O139" s="1016"/>
      <c r="P139" s="1016"/>
      <c r="Q139" s="1016"/>
      <c r="R139" s="1016"/>
      <c r="S139" s="1016"/>
      <c r="T139" s="1016"/>
      <c r="U139" s="1016"/>
      <c r="V139" s="1016"/>
      <c r="W139" s="1016"/>
      <c r="X139" s="1016"/>
      <c r="Y139" s="1183"/>
      <c r="Z139" s="1019"/>
      <c r="AA139" s="1022"/>
      <c r="AB139" s="1019"/>
      <c r="AC139" s="1019"/>
      <c r="AD139" s="1019"/>
    </row>
    <row customHeight="1" ht="9">
      <c r="A140" s="1018"/>
      <c r="B140" s="1018"/>
      <c r="C140" s="1016"/>
      <c r="D140" s="1016"/>
      <c r="E140" s="1016"/>
      <c r="F140" s="1016"/>
      <c r="G140" s="1016"/>
      <c r="H140" s="1068"/>
      <c r="I140" s="1068"/>
      <c r="J140" s="1068"/>
      <c r="K140" s="1068"/>
      <c r="L140" s="1068"/>
      <c r="M140" s="1016"/>
      <c r="N140" s="1067"/>
      <c r="O140" s="1016"/>
      <c r="P140" s="1016"/>
      <c r="Q140" s="1016"/>
      <c r="R140" s="1016"/>
      <c r="S140" s="1016"/>
      <c r="T140" s="1016"/>
      <c r="U140" s="1016"/>
      <c r="V140" s="1016"/>
      <c r="W140" s="1016"/>
      <c r="X140" s="1016"/>
      <c r="Y140" s="1183"/>
      <c r="Z140" s="1019"/>
      <c r="AA140" s="1022"/>
      <c r="AB140" s="1019"/>
      <c r="AC140" s="1019"/>
      <c r="AD140" s="1019"/>
    </row>
    <row customHeight="1" ht="9">
      <c r="A141" s="1018"/>
      <c r="B141" s="1018"/>
      <c r="C141" s="1016"/>
      <c r="D141" s="1016"/>
      <c r="E141" s="1016"/>
      <c r="F141" s="1016"/>
      <c r="G141" s="1016"/>
      <c r="H141" s="1068"/>
      <c r="I141" s="1068"/>
      <c r="J141" s="1068"/>
      <c r="K141" s="1068"/>
      <c r="L141" s="1068"/>
      <c r="M141" s="1016"/>
      <c r="N141" s="1067"/>
      <c r="O141" s="1016"/>
      <c r="P141" s="1016"/>
      <c r="Q141" s="1016"/>
      <c r="R141" s="1016"/>
      <c r="S141" s="1016"/>
      <c r="T141" s="1016"/>
      <c r="U141" s="1016"/>
      <c r="V141" s="1016"/>
      <c r="W141" s="1016"/>
      <c r="X141" s="1016"/>
      <c r="Y141" s="1183"/>
      <c r="Z141" s="1019"/>
      <c r="AA141" s="1022"/>
      <c r="AB141" s="1019"/>
      <c r="AC141" s="1019"/>
      <c r="AD141" s="1019"/>
    </row>
    <row customHeight="1" ht="9">
      <c r="A142" s="1018"/>
      <c r="B142" s="1018"/>
      <c r="C142" s="1016"/>
      <c r="D142" s="1016"/>
      <c r="E142" s="1016"/>
      <c r="F142" s="1016"/>
      <c r="G142" s="1016"/>
      <c r="H142" s="1068"/>
      <c r="I142" s="1068"/>
      <c r="J142" s="1068"/>
      <c r="K142" s="1068"/>
      <c r="L142" s="1068"/>
      <c r="M142" s="1016"/>
      <c r="N142" s="1067"/>
      <c r="O142" s="1016"/>
      <c r="P142" s="1016"/>
      <c r="Q142" s="1016"/>
      <c r="R142" s="1016"/>
      <c r="S142" s="1016"/>
      <c r="T142" s="1016"/>
      <c r="U142" s="1016"/>
      <c r="V142" s="1016"/>
      <c r="W142" s="1016"/>
      <c r="X142" s="1016"/>
      <c r="Y142" s="1183"/>
      <c r="Z142" s="1019"/>
      <c r="AA142" s="1022"/>
      <c r="AB142" s="1019"/>
      <c r="AC142" s="1019"/>
      <c r="AD142" s="1019"/>
    </row>
    <row customHeight="1" ht="9">
      <c r="A143" s="1018"/>
      <c r="B143" s="1018"/>
      <c r="C143" s="1016"/>
      <c r="D143" s="1016"/>
      <c r="E143" s="1016"/>
      <c r="F143" s="1016"/>
      <c r="G143" s="1016"/>
      <c r="H143" s="1068"/>
      <c r="I143" s="1068"/>
      <c r="J143" s="1068"/>
      <c r="K143" s="1068"/>
      <c r="L143" s="1068"/>
      <c r="M143" s="1016"/>
      <c r="N143" s="1067"/>
      <c r="O143" s="1016"/>
      <c r="P143" s="1016"/>
      <c r="Q143" s="1016"/>
      <c r="R143" s="1016"/>
      <c r="S143" s="1016"/>
      <c r="T143" s="1016"/>
      <c r="U143" s="1016"/>
      <c r="V143" s="1016"/>
      <c r="W143" s="1016"/>
      <c r="X143" s="1016"/>
      <c r="Y143" s="1183"/>
      <c r="Z143" s="1019"/>
      <c r="AA143" s="1022"/>
      <c r="AB143" s="1019"/>
      <c r="AC143" s="1019"/>
      <c r="AD143" s="1019"/>
    </row>
    <row customHeight="1" ht="9">
      <c r="A144" s="1018"/>
      <c r="B144" s="1018"/>
      <c r="C144" s="1016"/>
      <c r="D144" s="1016"/>
      <c r="E144" s="1016"/>
      <c r="F144" s="1016"/>
      <c r="G144" s="1016"/>
      <c r="H144" s="1068"/>
      <c r="I144" s="1068"/>
      <c r="J144" s="1068"/>
      <c r="K144" s="1068"/>
      <c r="L144" s="1068"/>
      <c r="M144" s="1016"/>
      <c r="N144" s="1067"/>
      <c r="O144" s="1016"/>
      <c r="P144" s="1016"/>
      <c r="Q144" s="1016"/>
      <c r="R144" s="1016"/>
      <c r="S144" s="1016"/>
      <c r="T144" s="1016"/>
      <c r="U144" s="1016"/>
      <c r="V144" s="1016"/>
      <c r="W144" s="1016"/>
      <c r="X144" s="1016"/>
      <c r="Y144" s="1183"/>
      <c r="Z144" s="1019"/>
      <c r="AA144" s="1022"/>
      <c r="AB144" s="1019"/>
      <c r="AC144" s="1019"/>
      <c r="AD144" s="1019"/>
    </row>
    <row customHeight="1" ht="9">
      <c r="A145" s="1018"/>
      <c r="B145" s="1018"/>
      <c r="C145" s="1016"/>
      <c r="D145" s="1016"/>
      <c r="E145" s="1016"/>
      <c r="F145" s="1016"/>
      <c r="G145" s="1016"/>
      <c r="H145" s="1068"/>
      <c r="I145" s="1068"/>
      <c r="J145" s="1068"/>
      <c r="K145" s="1068"/>
      <c r="L145" s="1068"/>
      <c r="M145" s="1016"/>
      <c r="N145" s="1067"/>
      <c r="O145" s="1016"/>
      <c r="P145" s="1016"/>
      <c r="Q145" s="1016"/>
      <c r="R145" s="1016"/>
      <c r="S145" s="1016"/>
      <c r="T145" s="1016"/>
      <c r="U145" s="1016"/>
      <c r="V145" s="1016"/>
      <c r="W145" s="1016"/>
      <c r="X145" s="1016"/>
      <c r="Y145" s="1183"/>
      <c r="Z145" s="1019"/>
      <c r="AA145" s="1022"/>
      <c r="AB145" s="1019"/>
      <c r="AC145" s="1019"/>
      <c r="AD145" s="1019"/>
    </row>
    <row customHeight="1" ht="9">
      <c r="A146" s="1018"/>
      <c r="B146" s="1018"/>
      <c r="C146" s="1016"/>
      <c r="D146" s="1016"/>
      <c r="E146" s="1016"/>
      <c r="F146" s="1016"/>
      <c r="G146" s="1016"/>
      <c r="H146" s="1068"/>
      <c r="I146" s="1068"/>
      <c r="J146" s="1068"/>
      <c r="K146" s="1068"/>
      <c r="L146" s="1068"/>
      <c r="M146" s="1016"/>
      <c r="N146" s="1067"/>
      <c r="O146" s="1016"/>
      <c r="P146" s="1016"/>
      <c r="Q146" s="1016"/>
      <c r="R146" s="1016"/>
      <c r="S146" s="1016"/>
      <c r="T146" s="1016"/>
      <c r="U146" s="1016"/>
      <c r="V146" s="1016"/>
      <c r="W146" s="1016"/>
      <c r="X146" s="1016"/>
      <c r="Y146" s="1183"/>
      <c r="Z146" s="1019"/>
      <c r="AA146" s="1022"/>
      <c r="AB146" s="1019"/>
      <c r="AC146" s="1019"/>
      <c r="AD146" s="1019"/>
    </row>
    <row customHeight="1" ht="9">
      <c r="A147" s="1018"/>
      <c r="B147" s="1018"/>
      <c r="C147" s="1018"/>
      <c r="D147" s="1018"/>
      <c r="E147" s="1018"/>
      <c r="F147" s="1018"/>
      <c r="G147" s="1018"/>
      <c r="H147" s="1018"/>
      <c r="I147" s="1018"/>
      <c r="J147" s="1018"/>
      <c r="K147" s="1018"/>
      <c r="L147" s="1018"/>
      <c r="M147" s="1018"/>
      <c r="N147" s="1018"/>
      <c r="O147" s="1018"/>
      <c r="P147" s="1018"/>
      <c r="Q147" s="1018"/>
      <c r="R147" s="1018"/>
      <c r="S147" s="1018"/>
      <c r="T147" s="1018"/>
      <c r="U147" s="1018"/>
      <c r="V147" s="1018"/>
      <c r="W147" s="1018"/>
      <c r="X147" s="1018"/>
      <c r="Y147" s="1018"/>
      <c r="Z147" s="1018"/>
      <c r="AA147" s="1018"/>
      <c r="AB147" s="1018"/>
      <c r="AC147" s="1018"/>
      <c r="AD147" s="1018"/>
    </row>
    <row customHeight="1" ht="90">
      <c r="A148" s="1018" t="s">
        <v>725</v>
      </c>
      <c r="B148" s="1018"/>
      <c r="C148" s="1016" t="s">
        <v>726</v>
      </c>
      <c r="D148" s="1016" t="s">
        <v>727</v>
      </c>
      <c r="E148" s="1016" t="s">
        <v>728</v>
      </c>
      <c r="F148" s="1016" t="s">
        <v>729</v>
      </c>
      <c r="G148" s="1016"/>
      <c r="H148" s="1016"/>
      <c r="I148" s="1146"/>
      <c r="J148" s="1146"/>
      <c r="K148" s="1146"/>
      <c r="L148" s="1146"/>
      <c r="M148" s="1070"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1021"/>
      <c r="O148" s="1016"/>
      <c r="P148" s="1017"/>
      <c r="Q148" s="1017"/>
      <c r="R148" s="1017"/>
      <c r="S148" s="1016"/>
      <c r="T148" s="1016" t="s">
        <v>730</v>
      </c>
      <c r="U148" s="1017"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1017"/>
      <c r="W148" s="1017"/>
      <c r="X148" s="1016" t="s">
        <v>731</v>
      </c>
      <c r="Y148" s="1183"/>
      <c r="Z148" s="1019"/>
      <c r="AA148" s="1022"/>
      <c r="AB148" s="1019"/>
      <c r="AC148" s="1019"/>
      <c r="AD148" s="1019"/>
    </row>
    <row customHeight="1" ht="9">
      <c r="A149" s="1018"/>
      <c r="B149" s="1018"/>
      <c r="C149" s="1018"/>
      <c r="D149" s="1018"/>
      <c r="E149" s="1018"/>
      <c r="F149" s="1018"/>
      <c r="G149" s="1018"/>
      <c r="H149" s="1018"/>
      <c r="I149" s="1018"/>
      <c r="J149" s="1018"/>
      <c r="K149" s="1018"/>
      <c r="L149" s="1018"/>
      <c r="M149" s="1018"/>
      <c r="N149" s="1018"/>
      <c r="O149" s="1018"/>
      <c r="P149" s="1018"/>
      <c r="Q149" s="1018"/>
      <c r="R149" s="1018"/>
      <c r="S149" s="1018"/>
      <c r="T149" s="1018"/>
      <c r="U149" s="1018"/>
      <c r="V149" s="1018"/>
      <c r="W149" s="1018"/>
      <c r="X149" s="1018"/>
      <c r="Y149" s="1018"/>
      <c r="Z149" s="1018"/>
      <c r="AA149" s="1018"/>
      <c r="AB149" s="1018"/>
      <c r="AC149" s="1018"/>
      <c r="AD149" s="1018"/>
    </row>
    <row customHeight="1" ht="9">
      <c r="A150" s="1018" t="s">
        <v>732</v>
      </c>
      <c r="B150" s="1018"/>
      <c r="C150" s="1016"/>
      <c r="D150" s="1016"/>
      <c r="E150" s="1016"/>
      <c r="F150" s="1016"/>
      <c r="G150" s="1016"/>
      <c r="H150" s="1016"/>
      <c r="I150" s="1016"/>
      <c r="J150" s="1016"/>
      <c r="K150" s="1016"/>
      <c r="L150" s="1016"/>
      <c r="M150" s="1016"/>
      <c r="N150" s="1016"/>
      <c r="O150" s="1016"/>
      <c r="P150" s="1016"/>
      <c r="Q150" s="1016"/>
      <c r="R150" s="1016"/>
      <c r="S150" s="1016"/>
      <c r="T150" s="1016"/>
      <c r="U150" s="1016"/>
      <c r="V150" s="1016"/>
      <c r="W150" s="1016"/>
      <c r="X150" s="1016"/>
      <c r="Y150" s="1183"/>
      <c r="Z150" s="1019"/>
      <c r="AA150" s="1022"/>
      <c r="AB150" s="1019"/>
      <c r="AC150" s="1019"/>
      <c r="AD150" s="1019"/>
    </row>
    <row customHeight="1" ht="9">
      <c r="A151" s="1018"/>
      <c r="B151" s="1018"/>
      <c r="C151" s="1018"/>
      <c r="D151" s="1018"/>
      <c r="E151" s="1018"/>
      <c r="F151" s="1018"/>
      <c r="G151" s="1018"/>
      <c r="H151" s="1018"/>
      <c r="I151" s="1018"/>
      <c r="J151" s="1018"/>
      <c r="K151" s="1018"/>
      <c r="L151" s="1018"/>
      <c r="M151" s="1018"/>
      <c r="N151" s="1018"/>
      <c r="O151" s="1018"/>
      <c r="P151" s="1018"/>
      <c r="Q151" s="1018"/>
      <c r="R151" s="1018"/>
      <c r="S151" s="1018"/>
      <c r="T151" s="1018"/>
      <c r="U151" s="1018"/>
      <c r="V151" s="1018"/>
      <c r="W151" s="1018"/>
      <c r="X151" s="1018"/>
      <c r="Y151" s="1018"/>
      <c r="Z151" s="1018"/>
      <c r="AA151" s="1018"/>
      <c r="AB151" s="1018"/>
      <c r="AC151" s="1018"/>
      <c r="AD151" s="1018"/>
    </row>
    <row customHeight="1" ht="9">
      <c r="A152" s="1018" t="s">
        <v>733</v>
      </c>
      <c r="B152" s="1018"/>
      <c r="C152" s="1016"/>
      <c r="D152" s="1016"/>
      <c r="E152" s="1016"/>
      <c r="F152" s="1016"/>
      <c r="G152" s="1016"/>
      <c r="H152" s="1016"/>
      <c r="I152" s="1016"/>
      <c r="J152" s="1016"/>
      <c r="K152" s="1016"/>
      <c r="L152" s="1016"/>
      <c r="M152" s="1016"/>
      <c r="N152" s="1016"/>
      <c r="O152" s="1016"/>
      <c r="P152" s="1016"/>
      <c r="Q152" s="1016"/>
      <c r="R152" s="1016"/>
      <c r="S152" s="1016"/>
      <c r="T152" s="1016"/>
      <c r="U152" s="1016"/>
      <c r="V152" s="1016"/>
      <c r="W152" s="1016"/>
      <c r="X152" s="1016"/>
      <c r="Y152" s="1183"/>
      <c r="Z152" s="1019"/>
      <c r="AA152" s="1022"/>
      <c r="AB152" s="1019"/>
      <c r="AC152" s="1019"/>
      <c r="AD152" s="1019"/>
    </row>
    <row customHeight="1" ht="9">
      <c r="A153" s="1018"/>
      <c r="B153" s="1018"/>
      <c r="C153" s="1018"/>
      <c r="D153" s="1018"/>
      <c r="E153" s="1018"/>
      <c r="F153" s="1018"/>
      <c r="G153" s="1018"/>
      <c r="H153" s="1018"/>
      <c r="I153" s="1018"/>
      <c r="J153" s="1018"/>
      <c r="K153" s="1018"/>
      <c r="L153" s="1018"/>
      <c r="M153" s="1018"/>
      <c r="N153" s="1018"/>
      <c r="O153" s="1018"/>
      <c r="P153" s="1018"/>
      <c r="Q153" s="1018"/>
      <c r="R153" s="1018"/>
      <c r="S153" s="1018"/>
      <c r="T153" s="1018"/>
      <c r="U153" s="1018"/>
      <c r="V153" s="1018"/>
      <c r="W153" s="1018"/>
      <c r="X153" s="1018"/>
      <c r="Y153" s="1018"/>
      <c r="Z153" s="1018"/>
      <c r="AA153" s="1018"/>
      <c r="AB153" s="1018"/>
      <c r="AC153" s="1018"/>
      <c r="AD153" s="1018"/>
    </row>
    <row customHeight="1" ht="9">
      <c r="A154" s="1018" t="s">
        <v>734</v>
      </c>
      <c r="B154" s="1018"/>
      <c r="C154" s="1016"/>
      <c r="D154" s="1016"/>
      <c r="E154" s="1016"/>
      <c r="F154" s="1016"/>
      <c r="G154" s="1016"/>
      <c r="H154" s="1016"/>
      <c r="I154" s="1016"/>
      <c r="J154" s="1016"/>
      <c r="K154" s="1016"/>
      <c r="L154" s="1016"/>
      <c r="M154" s="1016"/>
      <c r="N154" s="1016"/>
      <c r="O154" s="1016"/>
      <c r="P154" s="1016"/>
      <c r="Q154" s="1016"/>
      <c r="R154" s="1016"/>
      <c r="S154" s="1016"/>
      <c r="T154" s="1016"/>
      <c r="U154" s="1016"/>
      <c r="V154" s="1016"/>
      <c r="W154" s="1016"/>
      <c r="X154" s="1016"/>
      <c r="Y154" s="1183"/>
      <c r="Z154" s="1019"/>
      <c r="AA154" s="1022"/>
      <c r="AB154" s="1019"/>
      <c r="AC154" s="1019"/>
      <c r="AD154" s="1019"/>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B849C6B8-0412-0CDC-FC2B-FF052E521541}"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6043" width="32.57421875" customWidth="1"/>
    <col min="2" max="2" style="6044" width="11.00390625" customWidth="1"/>
    <col min="3" max="3" style="6044" width="9.140625"/>
    <col min="4" max="4" style="6044" width="26.57421875" customWidth="1"/>
    <col min="5" max="5" style="6045" width="27.7109375" customWidth="1"/>
    <col min="6" max="6" style="6045" width="23.57421875" customWidth="1"/>
    <col min="7" max="7" style="6045" width="31.421875" customWidth="1"/>
    <col min="8" max="8" style="6045" width="40.8515625" customWidth="1"/>
    <col min="9" max="9" style="6045" width="14.57421875" customWidth="1"/>
    <col min="10" max="10" style="6045" width="26.8515625" customWidth="1"/>
    <col min="11" max="11" style="6045" width="50.00390625" customWidth="1"/>
    <col min="12" max="13" style="6045" width="10.7109375" customWidth="1"/>
    <col min="14" max="14" style="6045" width="55.140625" customWidth="1"/>
    <col min="15" max="15" style="6045" width="31.8515625" customWidth="1"/>
    <col min="16" max="16" style="6045" width="23.8515625" customWidth="1"/>
    <col min="17" max="17" style="6045" width="46.57421875" customWidth="1"/>
    <col min="18" max="18" style="6045" width="24.00390625" customWidth="1"/>
    <col min="19" max="19" style="6045" width="20.57421875" customWidth="1"/>
    <col min="20" max="20" style="6045" width="22.00390625" customWidth="1"/>
    <col min="21" max="22" style="6045" width="26.421875" customWidth="1"/>
    <col min="23" max="23" style="6045" width="8.28125" hidden="1" customWidth="1"/>
    <col min="24" max="24" style="6045" width="59.7109375" customWidth="1"/>
    <col min="25" max="25" style="6045" width="49.140625" customWidth="1"/>
    <col min="26" max="26" style="6045" width="11.140625" customWidth="1"/>
    <col min="27" max="30" style="6045" width="29.00390625" customWidth="1"/>
    <col min="31" max="31" style="6045" width="9.140625"/>
    <col min="32" max="32" style="6045" width="34.7109375" customWidth="1"/>
    <col min="33" max="33" style="6045" width="9.140625"/>
    <col min="34" max="35" style="6045" width="34.421875" customWidth="1"/>
    <col min="36" max="36" style="6045" width="9.140625"/>
    <col min="37" max="37" style="6045" width="24.57421875" customWidth="1"/>
    <col min="38" max="38" style="6045" width="9.140625"/>
    <col min="39" max="39" style="6045" width="26.140625" customWidth="1"/>
    <col min="40" max="40" style="6045" width="1.7109375" customWidth="1"/>
    <col min="41" max="41" style="6045" width="9.140625"/>
    <col min="42" max="43" style="6045" width="47.8515625" customWidth="1"/>
    <col min="44" max="44" style="6045" width="1.7109375" customWidth="1"/>
    <col min="45" max="45" style="6045" width="21.421875" customWidth="1"/>
    <col min="46" max="46" style="6045" width="1.7109375" customWidth="1"/>
    <col min="47" max="47" style="6045" width="31.28125" customWidth="1"/>
    <col min="48" max="48" style="6045" width="1.7109375" customWidth="1"/>
    <col min="49" max="50" style="6046" width="9.140625"/>
    <col min="51" max="51" style="6045" width="3.7109375" customWidth="1"/>
    <col min="52" max="52" style="6045" width="55.00390625" customWidth="1"/>
    <col min="53" max="53" style="6045" width="9.140625"/>
    <col min="54" max="54" style="6045" width="35.140625" customWidth="1"/>
    <col min="55" max="55" style="6045" width="9.140625"/>
    <col min="56" max="56" style="6045" width="1.7109375" customWidth="1"/>
    <col min="57" max="57" style="6047" width="12.57421875" customWidth="1"/>
    <col min="58" max="58" style="6047" width="14.28125" customWidth="1"/>
    <col min="59" max="59" style="6045" width="30.7109375" customWidth="1"/>
    <col min="60" max="60" style="6048" width="40.7109375" customWidth="1"/>
    <col min="61" max="61" style="6048" width="15.00390625" customWidth="1"/>
    <col min="62" max="62" style="6048" width="40.7109375" customWidth="1"/>
    <col min="63" max="63" style="6048" width="2.7109375" customWidth="1"/>
    <col min="64" max="64" style="6048" width="44.7109375" customWidth="1"/>
    <col min="65" max="65" style="6048" width="2.7109375" customWidth="1"/>
    <col min="66" max="66" style="6048" width="40.7109375" customWidth="1"/>
    <col min="67" max="68" style="6045" width="9.140625"/>
    <col min="69" max="69" style="6045" width="18.140625" customWidth="1"/>
    <col min="70" max="70" style="6045" width="57.8515625" customWidth="1"/>
    <col min="71" max="71" style="6049" width="1.7109375" customWidth="1"/>
    <col min="72" max="72" style="6045" width="22.57421875" customWidth="1"/>
    <col min="73" max="73" style="6045" width="57.8515625" customWidth="1"/>
    <col min="74" max="74" style="6045" width="1.7109375" customWidth="1"/>
    <col min="75" max="75" style="6045" width="22.57421875" customWidth="1"/>
    <col min="76" max="76" style="6045" width="57.8515625" customWidth="1"/>
    <col min="77" max="77" style="6045" width="1.7109375" customWidth="1"/>
    <col min="78" max="78" style="6045" width="22.57421875" customWidth="1"/>
    <col min="79" max="79" style="6045" width="57.8515625" customWidth="1"/>
    <col min="80" max="81" style="6045" width="9.140625"/>
    <col min="82" max="82" style="6045" width="49.57421875" customWidth="1"/>
  </cols>
  <sheetData>
    <row s="5949" customFormat="1" customHeight="1" ht="11.25">
      <c r="A1" s="1254" t="s">
        <v>735</v>
      </c>
      <c r="B1" s="1254" t="s">
        <v>736</v>
      </c>
      <c r="C1" s="1254" t="s">
        <v>737</v>
      </c>
      <c r="D1" s="1254" t="s">
        <v>738</v>
      </c>
      <c r="E1" s="1254" t="s">
        <v>739</v>
      </c>
      <c r="F1" s="1254" t="s">
        <v>740</v>
      </c>
      <c r="G1" s="1254" t="s">
        <v>741</v>
      </c>
      <c r="H1" s="1254" t="s">
        <v>742</v>
      </c>
      <c r="I1" s="1254" t="s">
        <v>743</v>
      </c>
      <c r="J1" s="1254" t="s">
        <v>744</v>
      </c>
      <c r="K1" s="1254" t="s">
        <v>745</v>
      </c>
      <c r="L1" s="1254"/>
      <c r="M1" s="1254"/>
      <c r="N1" s="1254" t="s">
        <v>746</v>
      </c>
      <c r="O1" s="1254" t="s">
        <v>747</v>
      </c>
      <c r="P1" s="1254" t="s">
        <v>748</v>
      </c>
      <c r="Q1" s="1254" t="s">
        <v>749</v>
      </c>
      <c r="R1" s="1254" t="s">
        <v>750</v>
      </c>
      <c r="S1" s="1254" t="s">
        <v>751</v>
      </c>
      <c r="T1" s="1254" t="s">
        <v>752</v>
      </c>
      <c r="U1" s="1254" t="s">
        <v>753</v>
      </c>
      <c r="V1" s="1254"/>
      <c r="W1" s="964" t="s">
        <v>754</v>
      </c>
      <c r="X1" s="1254" t="s">
        <v>755</v>
      </c>
      <c r="Y1" s="1254" t="s">
        <v>756</v>
      </c>
      <c r="Z1" s="1254"/>
      <c r="AA1" s="1254" t="s">
        <v>757</v>
      </c>
      <c r="AB1" s="1254"/>
      <c r="AC1" s="1254" t="s">
        <v>758</v>
      </c>
      <c r="AD1" s="1254"/>
      <c r="AF1" s="1254" t="s">
        <v>759</v>
      </c>
      <c r="AH1" s="1254" t="s">
        <v>760</v>
      </c>
      <c r="AI1" s="1254" t="s">
        <v>761</v>
      </c>
      <c r="AK1" s="1254" t="s">
        <v>762</v>
      </c>
      <c r="AM1" s="1254" t="s">
        <v>763</v>
      </c>
      <c r="AP1" s="1254" t="s">
        <v>764</v>
      </c>
      <c r="AQ1" s="1254" t="s">
        <v>765</v>
      </c>
      <c r="AS1" s="1254" t="s">
        <v>766</v>
      </c>
      <c r="AU1" s="1254" t="s">
        <v>767</v>
      </c>
      <c r="AW1" s="1254" t="s">
        <v>768</v>
      </c>
      <c r="AX1" s="1254" t="s">
        <v>769</v>
      </c>
      <c r="AZ1" s="1340" t="s">
        <v>770</v>
      </c>
      <c r="BB1" s="1254" t="s">
        <v>771</v>
      </c>
      <c r="BC1" s="1254"/>
      <c r="BE1" s="1254" t="s">
        <v>772</v>
      </c>
      <c r="BF1" s="1254" t="s">
        <v>773</v>
      </c>
      <c r="BH1" s="1256" t="s">
        <v>400</v>
      </c>
      <c r="BI1" s="1257"/>
      <c r="BJ1" s="1258" t="s">
        <v>774</v>
      </c>
      <c r="BK1" s="1257"/>
      <c r="BL1" s="1259" t="s">
        <v>402</v>
      </c>
      <c r="BM1" s="1257"/>
      <c r="BN1" s="1260" t="s">
        <v>775</v>
      </c>
      <c r="BS1" s="1651"/>
    </row>
    <row customHeight="1" ht="11.25">
      <c r="A2" s="1261" t="s">
        <v>776</v>
      </c>
      <c r="B2" s="1262">
        <v>2000</v>
      </c>
      <c r="C2" s="1262">
        <v>2022</v>
      </c>
      <c r="D2" s="1262" t="s">
        <v>66</v>
      </c>
      <c r="E2" s="1263" t="s">
        <v>777</v>
      </c>
      <c r="F2" s="1263" t="s">
        <v>778</v>
      </c>
      <c r="G2" s="1263" t="s">
        <v>779</v>
      </c>
      <c r="H2" s="1264" t="s">
        <v>54</v>
      </c>
      <c r="I2" s="1263" t="s">
        <v>118</v>
      </c>
      <c r="J2" s="1263" t="s">
        <v>780</v>
      </c>
      <c r="K2" s="1265" t="s">
        <v>781</v>
      </c>
      <c r="L2" s="1266" t="s">
        <v>781</v>
      </c>
      <c r="M2" s="1265">
        <v>1</v>
      </c>
      <c r="N2" s="1350" t="s">
        <v>782</v>
      </c>
      <c r="O2" s="1264" t="s">
        <v>783</v>
      </c>
      <c r="P2" s="1267" t="s">
        <v>33</v>
      </c>
      <c r="Q2" s="1268" t="s">
        <v>784</v>
      </c>
      <c r="R2" s="276" t="s">
        <v>785</v>
      </c>
      <c r="S2" s="276" t="s">
        <v>786</v>
      </c>
      <c r="T2" s="1269" t="s">
        <v>787</v>
      </c>
      <c r="U2" s="1266" t="s">
        <v>788</v>
      </c>
      <c r="V2" s="1270">
        <v>1</v>
      </c>
      <c r="W2" s="1271"/>
      <c r="X2" s="1271" t="s">
        <v>789</v>
      </c>
      <c r="Y2" s="1262" t="s">
        <v>790</v>
      </c>
      <c r="Z2" s="1272"/>
      <c r="AA2" s="1262" t="s">
        <v>791</v>
      </c>
      <c r="AB2" s="1273" t="s">
        <v>791</v>
      </c>
      <c r="AC2" s="1262" t="s">
        <v>792</v>
      </c>
      <c r="AD2" s="1273" t="s">
        <v>792</v>
      </c>
      <c r="AF2" s="1264" t="s">
        <v>788</v>
      </c>
      <c r="AH2" s="1263" t="s">
        <v>793</v>
      </c>
      <c r="AI2" s="1263" t="s">
        <v>793</v>
      </c>
      <c r="AK2" s="1263" t="s">
        <v>794</v>
      </c>
      <c r="AM2" s="1263" t="s">
        <v>795</v>
      </c>
      <c r="AP2" s="1274" t="s">
        <v>789</v>
      </c>
      <c r="AQ2" s="1275" t="s">
        <v>789</v>
      </c>
      <c r="AS2" s="1262" t="s">
        <v>796</v>
      </c>
      <c r="AU2" s="1308" t="s">
        <v>797</v>
      </c>
      <c r="AW2" s="1308" t="s">
        <v>798</v>
      </c>
      <c r="AX2" s="1308" t="s">
        <v>798</v>
      </c>
      <c r="AZ2" s="1308" t="s">
        <v>799</v>
      </c>
      <c r="BB2" s="1308" t="s">
        <v>800</v>
      </c>
      <c r="BC2" s="1308" t="s">
        <v>801</v>
      </c>
      <c r="BE2" s="1308">
        <v>2000</v>
      </c>
      <c r="BF2" s="1308" t="s">
        <v>802</v>
      </c>
    </row>
    <row customHeight="1" ht="11.25">
      <c r="A3" s="1261" t="s">
        <v>803</v>
      </c>
      <c r="B3" s="1262">
        <v>2001</v>
      </c>
      <c r="C3" s="1262">
        <v>2023</v>
      </c>
      <c r="D3" s="1262" t="s">
        <v>56</v>
      </c>
      <c r="E3" s="1263" t="s">
        <v>804</v>
      </c>
      <c r="F3" s="1263" t="s">
        <v>805</v>
      </c>
      <c r="G3" s="1263" t="s">
        <v>806</v>
      </c>
      <c r="H3" s="1264" t="s">
        <v>807</v>
      </c>
      <c r="I3" s="1263" t="s">
        <v>102</v>
      </c>
      <c r="J3" s="1263" t="s">
        <v>808</v>
      </c>
      <c r="K3" s="1265" t="s">
        <v>809</v>
      </c>
      <c r="L3" s="1265" t="s">
        <v>809</v>
      </c>
      <c r="M3" s="1265">
        <v>2</v>
      </c>
      <c r="N3" s="1350" t="s">
        <v>810</v>
      </c>
      <c r="O3" s="1264" t="s">
        <v>811</v>
      </c>
      <c r="P3" s="1267" t="s">
        <v>812</v>
      </c>
      <c r="Q3" s="1268" t="s">
        <v>813</v>
      </c>
      <c r="R3" s="276" t="s">
        <v>814</v>
      </c>
      <c r="S3" s="276" t="s">
        <v>815</v>
      </c>
      <c r="T3" s="1269" t="s">
        <v>816</v>
      </c>
      <c r="U3" s="1266" t="s">
        <v>817</v>
      </c>
      <c r="V3" s="1270">
        <v>2</v>
      </c>
      <c r="W3" s="1271"/>
      <c r="X3" s="1271" t="s">
        <v>818</v>
      </c>
      <c r="Y3" s="1262" t="s">
        <v>790</v>
      </c>
      <c r="Z3" s="1272"/>
      <c r="AA3" s="1262" t="s">
        <v>819</v>
      </c>
      <c r="AB3" s="1273" t="s">
        <v>819</v>
      </c>
      <c r="AC3" s="1262" t="s">
        <v>820</v>
      </c>
      <c r="AD3" s="1273" t="s">
        <v>820</v>
      </c>
      <c r="AF3" s="1264" t="s">
        <v>817</v>
      </c>
      <c r="AH3" s="1263" t="s">
        <v>821</v>
      </c>
      <c r="AI3" s="1263" t="s">
        <v>822</v>
      </c>
      <c r="AK3" s="1263" t="s">
        <v>823</v>
      </c>
      <c r="AM3" s="1263" t="s">
        <v>824</v>
      </c>
      <c r="AP3" s="1274" t="s">
        <v>825</v>
      </c>
      <c r="AQ3" s="1275" t="s">
        <v>825</v>
      </c>
      <c r="AS3" s="1262" t="s">
        <v>826</v>
      </c>
      <c r="AU3" s="1308" t="s">
        <v>827</v>
      </c>
      <c r="AW3" s="1308" t="s">
        <v>828</v>
      </c>
      <c r="AX3" s="1308" t="s">
        <v>828</v>
      </c>
      <c r="AZ3" s="1308" t="s">
        <v>829</v>
      </c>
      <c r="BB3" s="1308" t="s">
        <v>830</v>
      </c>
      <c r="BC3" s="1308" t="s">
        <v>801</v>
      </c>
      <c r="BE3" s="1308">
        <v>2001</v>
      </c>
      <c r="BF3" s="1308" t="s">
        <v>831</v>
      </c>
      <c r="BH3" s="1254" t="s">
        <v>832</v>
      </c>
      <c r="BJ3" s="1254" t="s">
        <v>833</v>
      </c>
      <c r="BL3" s="1254" t="s">
        <v>834</v>
      </c>
      <c r="BN3" s="1254" t="s">
        <v>835</v>
      </c>
      <c r="BR3" s="1254" t="s">
        <v>836</v>
      </c>
      <c r="BS3" s="1652"/>
      <c r="BT3" s="1257"/>
      <c r="BU3" s="1254" t="s">
        <v>837</v>
      </c>
      <c r="BV3" s="1257"/>
      <c r="BW3" s="1930"/>
      <c r="BX3" s="1932" t="s">
        <v>838</v>
      </c>
      <c r="CA3" s="1254" t="s">
        <v>839</v>
      </c>
    </row>
    <row customHeight="1" ht="11.25">
      <c r="A4" s="1261" t="s">
        <v>840</v>
      </c>
      <c r="B4" s="1262">
        <v>2002</v>
      </c>
      <c r="C4" s="1262">
        <v>2024</v>
      </c>
      <c r="E4" s="1263" t="s">
        <v>841</v>
      </c>
      <c r="F4" s="1263" t="s">
        <v>30</v>
      </c>
      <c r="H4" s="1264" t="s">
        <v>842</v>
      </c>
      <c r="I4" s="1263" t="s">
        <v>89</v>
      </c>
      <c r="J4" s="1263" t="s">
        <v>843</v>
      </c>
      <c r="K4" s="1265" t="s">
        <v>844</v>
      </c>
      <c r="L4" s="1265" t="s">
        <v>844</v>
      </c>
      <c r="M4" s="1265">
        <v>3</v>
      </c>
      <c r="N4" s="1350" t="s">
        <v>845</v>
      </c>
      <c r="O4" s="1263" t="s">
        <v>846</v>
      </c>
      <c r="Q4" s="1268" t="s">
        <v>847</v>
      </c>
      <c r="R4" s="276" t="s">
        <v>848</v>
      </c>
      <c r="S4" s="276" t="s">
        <v>849</v>
      </c>
      <c r="T4" s="1269" t="s">
        <v>850</v>
      </c>
      <c r="U4" s="1266" t="s">
        <v>851</v>
      </c>
      <c r="V4" s="1270">
        <v>3</v>
      </c>
      <c r="W4" s="1271"/>
      <c r="X4" s="1271" t="s">
        <v>852</v>
      </c>
      <c r="Y4" s="1262" t="s">
        <v>790</v>
      </c>
      <c r="Z4" s="1278"/>
      <c r="AC4" s="1262" t="s">
        <v>853</v>
      </c>
      <c r="AD4" s="1273" t="s">
        <v>853</v>
      </c>
      <c r="AF4" s="1264" t="s">
        <v>851</v>
      </c>
      <c r="AH4" s="1264" t="s">
        <v>854</v>
      </c>
      <c r="AK4" s="1263" t="s">
        <v>855</v>
      </c>
      <c r="AM4" s="1263" t="s">
        <v>856</v>
      </c>
      <c r="AP4" s="1274" t="s">
        <v>818</v>
      </c>
      <c r="AQ4" s="1275" t="s">
        <v>818</v>
      </c>
      <c r="AS4" s="1262" t="s">
        <v>857</v>
      </c>
      <c r="AU4" s="1308" t="s">
        <v>858</v>
      </c>
      <c r="AW4" s="1308" t="s">
        <v>859</v>
      </c>
      <c r="AX4" s="1308" t="s">
        <v>859</v>
      </c>
      <c r="AZ4" s="1308" t="s">
        <v>860</v>
      </c>
      <c r="BB4" s="1308" t="s">
        <v>861</v>
      </c>
      <c r="BC4" s="1308" t="s">
        <v>862</v>
      </c>
      <c r="BE4" s="1308">
        <v>2002</v>
      </c>
      <c r="BF4" s="1308" t="s">
        <v>863</v>
      </c>
      <c r="BH4" s="1255" t="s">
        <v>864</v>
      </c>
      <c r="BJ4" s="1255" t="s">
        <v>864</v>
      </c>
      <c r="BL4" s="1255" t="s">
        <v>864</v>
      </c>
      <c r="BN4" s="1255" t="s">
        <v>864</v>
      </c>
      <c r="BQ4" s="1656" t="s">
        <v>865</v>
      </c>
      <c r="BR4" s="1347" t="s">
        <v>866</v>
      </c>
      <c r="BS4" s="409"/>
      <c r="BT4" s="1656" t="s">
        <v>867</v>
      </c>
      <c r="BU4" s="1347" t="s">
        <v>868</v>
      </c>
      <c r="BV4" s="1257"/>
      <c r="BW4" s="1937" t="s">
        <v>869</v>
      </c>
      <c r="BX4" s="1931" t="s">
        <v>870</v>
      </c>
      <c r="BZ4" s="1656" t="s">
        <v>871</v>
      </c>
      <c r="CA4" s="1347" t="s">
        <v>872</v>
      </c>
    </row>
    <row customHeight="1" ht="11.25">
      <c r="A5" s="1261" t="s">
        <v>873</v>
      </c>
      <c r="B5" s="1262">
        <v>2003</v>
      </c>
      <c r="C5" s="1262">
        <v>2025</v>
      </c>
      <c r="E5" s="1263" t="s">
        <v>874</v>
      </c>
      <c r="F5" s="1263" t="s">
        <v>875</v>
      </c>
      <c r="H5" s="1264" t="s">
        <v>876</v>
      </c>
      <c r="I5" s="1263" t="s">
        <v>90</v>
      </c>
      <c r="K5" s="1265" t="s">
        <v>877</v>
      </c>
      <c r="L5" s="1265" t="s">
        <v>877</v>
      </c>
      <c r="M5" s="1265">
        <v>4</v>
      </c>
      <c r="N5" s="1279" t="s">
        <v>878</v>
      </c>
      <c r="O5" s="1263" t="s">
        <v>879</v>
      </c>
      <c r="Q5" s="1268" t="s">
        <v>880</v>
      </c>
      <c r="R5" s="276" t="s">
        <v>881</v>
      </c>
      <c r="T5" s="1264" t="s">
        <v>882</v>
      </c>
      <c r="U5" s="1266" t="s">
        <v>883</v>
      </c>
      <c r="V5" s="1270">
        <v>4</v>
      </c>
      <c r="W5" s="1271"/>
      <c r="X5" s="1271" t="s">
        <v>177</v>
      </c>
      <c r="Y5" s="1262" t="s">
        <v>884</v>
      </c>
      <c r="Z5" s="1278">
        <v>1</v>
      </c>
      <c r="AF5" s="1264" t="s">
        <v>885</v>
      </c>
      <c r="AH5" s="1263" t="s">
        <v>886</v>
      </c>
      <c r="AK5" s="1263" t="s">
        <v>887</v>
      </c>
      <c r="AM5" s="1263" t="s">
        <v>888</v>
      </c>
      <c r="AP5" s="1274" t="s">
        <v>177</v>
      </c>
      <c r="AQ5" s="1275" t="s">
        <v>177</v>
      </c>
      <c r="AU5" s="1308" t="s">
        <v>889</v>
      </c>
      <c r="AW5" s="1308" t="s">
        <v>890</v>
      </c>
      <c r="AX5" s="1308" t="s">
        <v>890</v>
      </c>
      <c r="AZ5" s="1308" t="s">
        <v>891</v>
      </c>
      <c r="BB5" s="1308" t="s">
        <v>892</v>
      </c>
      <c r="BC5" s="1308" t="s">
        <v>893</v>
      </c>
      <c r="BE5" s="1308">
        <v>2003</v>
      </c>
      <c r="BF5" s="1308" t="s">
        <v>894</v>
      </c>
      <c r="BH5" s="1255" t="s">
        <v>895</v>
      </c>
      <c r="BJ5" s="1255" t="s">
        <v>895</v>
      </c>
      <c r="BL5" s="1255" t="s">
        <v>895</v>
      </c>
      <c r="BN5" s="1255" t="s">
        <v>896</v>
      </c>
      <c r="BQ5" s="1498">
        <v>4213775</v>
      </c>
      <c r="BR5" s="1255" t="s">
        <v>789</v>
      </c>
      <c r="BS5" s="1653"/>
      <c r="BT5" s="1498">
        <v>64236871</v>
      </c>
      <c r="BU5" s="1255" t="s">
        <v>229</v>
      </c>
      <c r="BV5" s="1257"/>
      <c r="BW5" s="1935">
        <v>4213767</v>
      </c>
      <c r="BX5" s="1933" t="s">
        <v>897</v>
      </c>
      <c r="BZ5" s="1498">
        <v>64237509</v>
      </c>
      <c r="CA5" s="1513" t="s">
        <v>898</v>
      </c>
    </row>
    <row customHeight="1" ht="11.25">
      <c r="A6" s="1261" t="s">
        <v>899</v>
      </c>
      <c r="B6" s="1262">
        <v>2004</v>
      </c>
      <c r="C6" s="1262">
        <v>2026</v>
      </c>
      <c r="E6" s="1263" t="s">
        <v>900</v>
      </c>
      <c r="F6" s="1280"/>
      <c r="H6" s="1264" t="s">
        <v>901</v>
      </c>
      <c r="I6" s="1263" t="s">
        <v>119</v>
      </c>
      <c r="J6" s="1254" t="s">
        <v>902</v>
      </c>
      <c r="N6" s="1279" t="s">
        <v>903</v>
      </c>
      <c r="O6" s="1263" t="s">
        <v>904</v>
      </c>
      <c r="R6" s="276" t="s">
        <v>784</v>
      </c>
      <c r="T6" s="1264" t="s">
        <v>905</v>
      </c>
      <c r="U6" s="1266" t="s">
        <v>885</v>
      </c>
      <c r="V6" s="1270">
        <v>5</v>
      </c>
      <c r="W6" s="1271"/>
      <c r="X6" s="1262" t="s">
        <v>183</v>
      </c>
      <c r="Y6" s="1262" t="s">
        <v>906</v>
      </c>
      <c r="Z6" s="1278"/>
      <c r="AA6" s="1281"/>
      <c r="AH6" s="1263" t="s">
        <v>907</v>
      </c>
      <c r="AK6" s="1263" t="s">
        <v>908</v>
      </c>
      <c r="AM6" s="1263" t="s">
        <v>909</v>
      </c>
      <c r="AP6" s="1274" t="s">
        <v>183</v>
      </c>
      <c r="AQ6" s="1275" t="s">
        <v>183</v>
      </c>
      <c r="AU6" s="1308" t="s">
        <v>910</v>
      </c>
      <c r="AW6" s="1308" t="s">
        <v>911</v>
      </c>
      <c r="AX6" s="1308" t="s">
        <v>911</v>
      </c>
      <c r="BB6" s="1308" t="s">
        <v>912</v>
      </c>
      <c r="BC6" s="1308" t="s">
        <v>893</v>
      </c>
      <c r="BE6" s="1308">
        <v>2004</v>
      </c>
      <c r="BF6" s="1308" t="s">
        <v>913</v>
      </c>
      <c r="BH6" s="1255" t="s">
        <v>914</v>
      </c>
      <c r="BJ6" s="1255" t="s">
        <v>915</v>
      </c>
      <c r="BL6" s="1255" t="s">
        <v>915</v>
      </c>
      <c r="BN6" s="1255" t="s">
        <v>916</v>
      </c>
      <c r="BQ6" s="1498">
        <v>4213784</v>
      </c>
      <c r="BR6" s="1513" t="s">
        <v>825</v>
      </c>
      <c r="BS6" s="1654"/>
      <c r="BT6" s="1498">
        <v>64236872</v>
      </c>
      <c r="BU6" s="1255" t="s">
        <v>234</v>
      </c>
      <c r="BV6" s="1257"/>
      <c r="BW6" s="1935">
        <v>4213768</v>
      </c>
      <c r="BX6" s="1933" t="s">
        <v>254</v>
      </c>
      <c r="BZ6" s="1498">
        <v>64237510</v>
      </c>
      <c r="CA6" s="1255" t="s">
        <v>917</v>
      </c>
    </row>
    <row customHeight="1" ht="11.25">
      <c r="A7" s="1261" t="s">
        <v>918</v>
      </c>
      <c r="B7" s="1262">
        <v>2005</v>
      </c>
      <c r="E7" s="1263" t="s">
        <v>919</v>
      </c>
      <c r="F7" s="1280"/>
      <c r="H7" s="1264" t="s">
        <v>920</v>
      </c>
      <c r="I7" s="1263" t="s">
        <v>91</v>
      </c>
      <c r="J7" s="1263" t="s">
        <v>921</v>
      </c>
      <c r="N7" s="1283" t="s">
        <v>922</v>
      </c>
      <c r="O7" s="1263" t="s">
        <v>923</v>
      </c>
      <c r="U7" s="1266" t="s">
        <v>56</v>
      </c>
      <c r="V7" s="522" t="s">
        <v>91</v>
      </c>
      <c r="W7" s="1271"/>
      <c r="X7" s="1262" t="s">
        <v>189</v>
      </c>
      <c r="Y7" s="1262" t="s">
        <v>884</v>
      </c>
      <c r="Z7" s="1278"/>
      <c r="AA7" s="1281"/>
      <c r="AH7" s="1263" t="s">
        <v>924</v>
      </c>
      <c r="AK7" s="1263" t="s">
        <v>925</v>
      </c>
      <c r="AM7" s="1263" t="s">
        <v>926</v>
      </c>
      <c r="AP7" s="1274" t="s">
        <v>189</v>
      </c>
      <c r="AQ7" s="1275" t="s">
        <v>189</v>
      </c>
      <c r="AU7" s="1308" t="s">
        <v>927</v>
      </c>
      <c r="AW7" s="1308" t="s">
        <v>928</v>
      </c>
      <c r="AX7" s="1308" t="s">
        <v>928</v>
      </c>
      <c r="AZ7" s="1254" t="s">
        <v>929</v>
      </c>
      <c r="BB7" s="1308" t="s">
        <v>930</v>
      </c>
      <c r="BC7" s="1308" t="s">
        <v>893</v>
      </c>
      <c r="BE7" s="1308">
        <v>2005</v>
      </c>
      <c r="BF7" s="1308" t="s">
        <v>931</v>
      </c>
      <c r="BH7" s="1255" t="s">
        <v>932</v>
      </c>
      <c r="BJ7" s="1255" t="s">
        <v>914</v>
      </c>
      <c r="BL7" s="1255" t="s">
        <v>914</v>
      </c>
      <c r="BN7" s="1255" t="s">
        <v>933</v>
      </c>
      <c r="BQ7" s="1498">
        <v>4213781</v>
      </c>
      <c r="BR7" s="1255" t="s">
        <v>818</v>
      </c>
      <c r="BS7" s="1653"/>
      <c r="BT7" s="1498">
        <v>64236873</v>
      </c>
      <c r="BU7" s="1255" t="s">
        <v>239</v>
      </c>
      <c r="BV7" s="1257"/>
      <c r="BW7" s="1935">
        <v>4213769</v>
      </c>
      <c r="BX7" s="1933" t="s">
        <v>934</v>
      </c>
      <c r="BZ7" s="1498">
        <v>64237511</v>
      </c>
      <c r="CA7" s="1255" t="s">
        <v>269</v>
      </c>
    </row>
    <row customHeight="1" ht="11.25">
      <c r="A8" s="1261" t="s">
        <v>935</v>
      </c>
      <c r="B8" s="1262">
        <v>2006</v>
      </c>
      <c r="E8" s="1263" t="s">
        <v>936</v>
      </c>
      <c r="F8" s="1280"/>
      <c r="I8" s="1263" t="s">
        <v>92</v>
      </c>
      <c r="J8" s="1263" t="s">
        <v>937</v>
      </c>
      <c r="N8" s="1351" t="s">
        <v>938</v>
      </c>
      <c r="O8" s="1263" t="s">
        <v>939</v>
      </c>
      <c r="V8" s="522" t="s">
        <v>92</v>
      </c>
      <c r="W8" s="1271"/>
      <c r="X8" s="1262" t="s">
        <v>195</v>
      </c>
      <c r="Y8" s="1262" t="s">
        <v>884</v>
      </c>
      <c r="Z8" s="1278"/>
      <c r="AA8" s="1281"/>
      <c r="AK8" s="1263" t="s">
        <v>940</v>
      </c>
      <c r="AP8" s="1274" t="s">
        <v>195</v>
      </c>
      <c r="AQ8" s="1275" t="s">
        <v>195</v>
      </c>
      <c r="AU8" s="1308" t="s">
        <v>941</v>
      </c>
      <c r="AW8" s="1308" t="s">
        <v>942</v>
      </c>
      <c r="AX8" s="1308" t="s">
        <v>942</v>
      </c>
      <c r="AZ8" s="1308" t="s">
        <v>943</v>
      </c>
      <c r="BB8" s="1308" t="s">
        <v>944</v>
      </c>
      <c r="BC8" s="1308" t="s">
        <v>893</v>
      </c>
      <c r="BE8" s="1308">
        <v>2006</v>
      </c>
      <c r="BF8" s="1308" t="s">
        <v>945</v>
      </c>
      <c r="BH8" s="1255" t="s">
        <v>946</v>
      </c>
      <c r="BJ8" s="1255" t="s">
        <v>947</v>
      </c>
      <c r="BL8" s="1255" t="s">
        <v>947</v>
      </c>
      <c r="BN8" s="1255" t="s">
        <v>948</v>
      </c>
      <c r="BQ8" s="1498">
        <v>4213776</v>
      </c>
      <c r="BR8" s="1255" t="s">
        <v>177</v>
      </c>
      <c r="BS8" s="1653"/>
      <c r="BT8" s="1498">
        <v>64236874</v>
      </c>
      <c r="BU8" s="1513" t="s">
        <v>949</v>
      </c>
      <c r="BV8" s="1257"/>
      <c r="BW8" s="1935">
        <v>4213770</v>
      </c>
      <c r="BX8" s="1936" t="s">
        <v>950</v>
      </c>
      <c r="BZ8" s="1498">
        <v>64237512</v>
      </c>
      <c r="CA8" s="1255" t="s">
        <v>264</v>
      </c>
    </row>
    <row customHeight="1" ht="11.25">
      <c r="A9" s="1261" t="s">
        <v>951</v>
      </c>
      <c r="B9" s="1262">
        <v>2007</v>
      </c>
      <c r="E9" s="1263" t="s">
        <v>952</v>
      </c>
      <c r="F9" s="1280"/>
      <c r="G9" s="1254" t="s">
        <v>953</v>
      </c>
      <c r="H9" s="1254" t="s">
        <v>954</v>
      </c>
      <c r="I9" s="1263" t="s">
        <v>120</v>
      </c>
      <c r="O9" s="1263" t="s">
        <v>955</v>
      </c>
      <c r="V9" s="522" t="s">
        <v>120</v>
      </c>
      <c r="W9" s="1271"/>
      <c r="X9" s="1262" t="s">
        <v>204</v>
      </c>
      <c r="Y9" s="1262" t="s">
        <v>790</v>
      </c>
      <c r="Z9" s="1278">
        <v>1</v>
      </c>
      <c r="AA9" s="1281"/>
      <c r="AK9" s="1263" t="s">
        <v>956</v>
      </c>
      <c r="AP9" s="1274" t="s">
        <v>957</v>
      </c>
      <c r="AQ9" s="1275" t="s">
        <v>957</v>
      </c>
      <c r="AW9" s="1308" t="s">
        <v>958</v>
      </c>
      <c r="AX9" s="1308" t="s">
        <v>958</v>
      </c>
      <c r="AZ9" s="1308" t="s">
        <v>959</v>
      </c>
      <c r="BB9" s="1308" t="s">
        <v>960</v>
      </c>
      <c r="BC9" s="1308" t="s">
        <v>893</v>
      </c>
      <c r="BE9" s="1308">
        <v>2007</v>
      </c>
      <c r="BF9" s="1308" t="s">
        <v>961</v>
      </c>
      <c r="BH9" s="1255" t="s">
        <v>962</v>
      </c>
      <c r="BJ9" s="1255" t="s">
        <v>963</v>
      </c>
      <c r="BL9" s="1255" t="s">
        <v>963</v>
      </c>
      <c r="BN9" s="1255" t="s">
        <v>964</v>
      </c>
      <c r="BQ9" s="1498">
        <v>4213777</v>
      </c>
      <c r="BR9" s="1255" t="s">
        <v>183</v>
      </c>
      <c r="BS9" s="1653"/>
      <c r="BT9" s="1498">
        <v>64236875</v>
      </c>
      <c r="BU9" s="1255" t="s">
        <v>244</v>
      </c>
      <c r="BV9" s="1257"/>
      <c r="BW9" s="1930"/>
      <c r="BX9" s="1930"/>
    </row>
    <row customHeight="1" ht="11.25">
      <c r="A10" s="1261" t="s">
        <v>965</v>
      </c>
      <c r="B10" s="1262">
        <v>2008</v>
      </c>
      <c r="E10" s="1263" t="s">
        <v>966</v>
      </c>
      <c r="F10" s="1280"/>
      <c r="G10" s="1263" t="s">
        <v>967</v>
      </c>
      <c r="H10" s="1263" t="s">
        <v>968</v>
      </c>
      <c r="I10" s="1263" t="s">
        <v>157</v>
      </c>
      <c r="J10" s="1254" t="s">
        <v>969</v>
      </c>
      <c r="K10" s="1254" t="s">
        <v>970</v>
      </c>
      <c r="O10" s="1263" t="s">
        <v>971</v>
      </c>
      <c r="V10" s="523" t="s">
        <v>157</v>
      </c>
      <c r="W10" s="1284"/>
      <c r="X10" s="1284" t="s">
        <v>972</v>
      </c>
      <c r="Y10" s="1285" t="s">
        <v>973</v>
      </c>
      <c r="Z10" s="1278"/>
      <c r="AP10" s="1274" t="s">
        <v>972</v>
      </c>
      <c r="AQ10" s="1275" t="s">
        <v>972</v>
      </c>
      <c r="AW10" s="1308" t="s">
        <v>974</v>
      </c>
      <c r="AX10" s="1308" t="s">
        <v>974</v>
      </c>
      <c r="AZ10" s="1308" t="s">
        <v>975</v>
      </c>
      <c r="BB10" s="1308" t="s">
        <v>976</v>
      </c>
      <c r="BC10" s="1308" t="s">
        <v>893</v>
      </c>
      <c r="BE10" s="1308">
        <v>2008</v>
      </c>
      <c r="BF10" s="1308" t="s">
        <v>977</v>
      </c>
      <c r="BH10" s="1255" t="s">
        <v>978</v>
      </c>
      <c r="BJ10" s="1255" t="s">
        <v>979</v>
      </c>
      <c r="BL10" s="1255" t="s">
        <v>979</v>
      </c>
      <c r="BN10" s="1255" t="s">
        <v>980</v>
      </c>
      <c r="BQ10" s="1498">
        <v>4213778</v>
      </c>
      <c r="BR10" s="1255" t="s">
        <v>189</v>
      </c>
      <c r="BS10" s="1653"/>
      <c r="BT10" s="1498">
        <v>64236876</v>
      </c>
      <c r="BU10" s="1255" t="s">
        <v>224</v>
      </c>
      <c r="BV10" s="1257"/>
      <c r="BW10" s="1930"/>
      <c r="BX10" s="1930"/>
    </row>
    <row customHeight="1" ht="11.25">
      <c r="A11" s="1261" t="s">
        <v>981</v>
      </c>
      <c r="B11" s="1262">
        <v>2009</v>
      </c>
      <c r="E11" s="1263" t="s">
        <v>982</v>
      </c>
      <c r="F11" s="1280"/>
      <c r="G11" s="1263" t="s">
        <v>983</v>
      </c>
      <c r="H11" s="1263" t="s">
        <v>984</v>
      </c>
      <c r="I11" s="1263" t="s">
        <v>158</v>
      </c>
      <c r="J11" s="1264" t="s">
        <v>985</v>
      </c>
      <c r="K11" s="1286" t="s">
        <v>986</v>
      </c>
      <c r="O11" s="1264" t="s">
        <v>987</v>
      </c>
      <c r="V11" s="522" t="s">
        <v>158</v>
      </c>
      <c r="W11" s="410"/>
      <c r="X11" s="1271" t="s">
        <v>957</v>
      </c>
      <c r="Y11" s="1262" t="s">
        <v>988</v>
      </c>
      <c r="Z11" s="1278"/>
      <c r="AP11" s="1274" t="s">
        <v>204</v>
      </c>
      <c r="AQ11" s="1276" t="s">
        <v>204</v>
      </c>
      <c r="AW11" s="1308" t="s">
        <v>989</v>
      </c>
      <c r="AX11" s="1308" t="s">
        <v>989</v>
      </c>
      <c r="AZ11" s="1308" t="s">
        <v>990</v>
      </c>
      <c r="BB11" s="1308" t="s">
        <v>991</v>
      </c>
      <c r="BC11" s="1308" t="s">
        <v>893</v>
      </c>
      <c r="BE11" s="1308">
        <v>2009</v>
      </c>
      <c r="BF11" s="1308" t="s">
        <v>992</v>
      </c>
      <c r="BH11" s="1255" t="s">
        <v>993</v>
      </c>
      <c r="BJ11" s="1255" t="s">
        <v>962</v>
      </c>
      <c r="BL11" s="1255" t="s">
        <v>962</v>
      </c>
      <c r="BN11" s="1255" t="s">
        <v>994</v>
      </c>
      <c r="BQ11" s="1498">
        <v>4213780</v>
      </c>
      <c r="BR11" s="1255" t="s">
        <v>195</v>
      </c>
      <c r="BS11" s="1653"/>
      <c r="BW11" s="1930"/>
      <c r="BX11" s="1930"/>
    </row>
    <row customHeight="1" ht="11.25">
      <c r="A12" s="1261" t="s">
        <v>995</v>
      </c>
      <c r="B12" s="1262">
        <v>2010</v>
      </c>
      <c r="E12" s="1263" t="s">
        <v>996</v>
      </c>
      <c r="F12" s="1280"/>
      <c r="G12" s="1263" t="s">
        <v>984</v>
      </c>
      <c r="I12" s="1263" t="s">
        <v>159</v>
      </c>
      <c r="J12" s="1264" t="s">
        <v>997</v>
      </c>
      <c r="K12" s="1286" t="s">
        <v>998</v>
      </c>
      <c r="O12" s="1264" t="s">
        <v>784</v>
      </c>
      <c r="V12" s="522" t="s">
        <v>159</v>
      </c>
      <c r="W12" s="1276"/>
      <c r="X12" s="1271" t="s">
        <v>999</v>
      </c>
      <c r="Y12" s="1262" t="s">
        <v>790</v>
      </c>
      <c r="AP12" s="1274"/>
      <c r="AW12" s="1308" t="s">
        <v>158</v>
      </c>
      <c r="AX12" s="1308" t="s">
        <v>158</v>
      </c>
      <c r="AZ12" s="1308" t="s">
        <v>1000</v>
      </c>
      <c r="BB12" s="1308" t="s">
        <v>1001</v>
      </c>
      <c r="BC12" s="1308" t="s">
        <v>893</v>
      </c>
      <c r="BE12" s="1308">
        <v>2010</v>
      </c>
      <c r="BF12" s="1308" t="s">
        <v>1002</v>
      </c>
      <c r="BH12" s="1255" t="s">
        <v>1003</v>
      </c>
      <c r="BJ12" s="1255" t="s">
        <v>1004</v>
      </c>
      <c r="BL12" s="1255" t="s">
        <v>1004</v>
      </c>
      <c r="BN12" s="1255" t="s">
        <v>1005</v>
      </c>
      <c r="BQ12" s="1498">
        <v>4213779</v>
      </c>
      <c r="BR12" s="1255" t="s">
        <v>957</v>
      </c>
      <c r="BS12" s="1653"/>
      <c r="BT12" s="1257"/>
      <c r="BU12" s="1257"/>
      <c r="BV12" s="1257"/>
      <c r="BW12" s="1930"/>
      <c r="BX12" s="1930"/>
    </row>
    <row customHeight="1" ht="11.25">
      <c r="A13" s="1261" t="s">
        <v>1006</v>
      </c>
      <c r="B13" s="1262">
        <v>2011</v>
      </c>
      <c r="E13" s="1263" t="s">
        <v>1007</v>
      </c>
      <c r="F13" s="1280"/>
      <c r="I13" s="1263" t="s">
        <v>160</v>
      </c>
      <c r="K13" s="1286" t="s">
        <v>956</v>
      </c>
      <c r="V13" s="522" t="s">
        <v>160</v>
      </c>
      <c r="W13" s="1276"/>
      <c r="X13" s="1276"/>
      <c r="Y13" s="1276"/>
      <c r="AW13" s="1308" t="s">
        <v>159</v>
      </c>
      <c r="AX13" s="1308" t="s">
        <v>159</v>
      </c>
      <c r="BB13" s="1308" t="s">
        <v>1008</v>
      </c>
      <c r="BC13" s="1308" t="s">
        <v>1009</v>
      </c>
      <c r="BE13" s="1308">
        <v>2011</v>
      </c>
      <c r="BF13" s="1308" t="s">
        <v>1010</v>
      </c>
      <c r="BH13" s="1255" t="s">
        <v>1011</v>
      </c>
      <c r="BJ13" s="1255" t="s">
        <v>993</v>
      </c>
      <c r="BL13" s="1255" t="s">
        <v>993</v>
      </c>
      <c r="BN13" s="1255" t="s">
        <v>1012</v>
      </c>
      <c r="BQ13" s="1498">
        <v>4213783</v>
      </c>
      <c r="BR13" s="1255" t="s">
        <v>972</v>
      </c>
      <c r="BS13" s="1653"/>
      <c r="BT13" s="1257"/>
      <c r="BU13" s="1257"/>
      <c r="BV13" s="1257"/>
      <c r="BW13" s="1934"/>
      <c r="BX13" s="1930"/>
    </row>
    <row customHeight="1" ht="11.25">
      <c r="A14" s="1261" t="s">
        <v>1013</v>
      </c>
      <c r="B14" s="1262">
        <v>2012</v>
      </c>
      <c r="I14" s="1263" t="s">
        <v>161</v>
      </c>
      <c r="J14" s="1254" t="s">
        <v>1014</v>
      </c>
      <c r="N14" s="1254" t="s">
        <v>1015</v>
      </c>
      <c r="V14" s="1270">
        <v>13</v>
      </c>
      <c r="W14" s="1271"/>
      <c r="X14" s="1271" t="s">
        <v>825</v>
      </c>
      <c r="Y14" s="1262" t="s">
        <v>790</v>
      </c>
      <c r="AW14" s="1308" t="s">
        <v>160</v>
      </c>
      <c r="AX14" s="1308" t="s">
        <v>160</v>
      </c>
      <c r="AZ14" s="1254" t="s">
        <v>1016</v>
      </c>
      <c r="BB14" s="1308" t="s">
        <v>1017</v>
      </c>
      <c r="BC14" s="1308" t="s">
        <v>1009</v>
      </c>
      <c r="BE14" s="1308">
        <v>2012</v>
      </c>
      <c r="BH14" s="1255" t="s">
        <v>933</v>
      </c>
      <c r="BJ14" s="1416" t="s">
        <v>1018</v>
      </c>
      <c r="BL14" s="1416" t="s">
        <v>1018</v>
      </c>
      <c r="BN14" s="1255" t="s">
        <v>1019</v>
      </c>
      <c r="BQ14" s="1498">
        <v>4213782</v>
      </c>
      <c r="BR14" s="1255" t="s">
        <v>204</v>
      </c>
      <c r="BS14" s="1653"/>
      <c r="BT14" s="1257"/>
      <c r="BU14" s="1257"/>
      <c r="BV14" s="1257"/>
      <c r="BW14" s="1934"/>
      <c r="BX14" s="1930"/>
    </row>
    <row customHeight="1" ht="19.5">
      <c r="A15" s="1261" t="s">
        <v>1020</v>
      </c>
      <c r="B15" s="1262">
        <v>2013</v>
      </c>
      <c r="E15" s="1938" t="s">
        <v>1021</v>
      </c>
      <c r="G15" s="1254" t="s">
        <v>1022</v>
      </c>
      <c r="H15" s="1254" t="s">
        <v>1023</v>
      </c>
      <c r="I15" s="1265" t="s">
        <v>162</v>
      </c>
      <c r="J15" s="1276" t="s">
        <v>1024</v>
      </c>
      <c r="N15" s="1346" t="s">
        <v>1025</v>
      </c>
      <c r="X15" s="1274"/>
      <c r="AW15" s="1308" t="s">
        <v>161</v>
      </c>
      <c r="AX15" s="1308" t="s">
        <v>161</v>
      </c>
      <c r="AZ15" s="1308" t="s">
        <v>943</v>
      </c>
      <c r="BB15" s="1308" t="s">
        <v>1026</v>
      </c>
      <c r="BC15" s="1308" t="s">
        <v>1009</v>
      </c>
      <c r="BE15" s="1308">
        <v>2013</v>
      </c>
      <c r="BH15" s="1255" t="s">
        <v>948</v>
      </c>
      <c r="BJ15" s="1416" t="s">
        <v>1027</v>
      </c>
      <c r="BL15" s="1416" t="s">
        <v>1027</v>
      </c>
      <c r="BN15" s="1255" t="s">
        <v>1028</v>
      </c>
      <c r="BR15" s="1257"/>
      <c r="BS15" s="1655"/>
      <c r="BT15" s="1257"/>
      <c r="BU15" s="1257"/>
      <c r="BV15" s="1257"/>
      <c r="BW15" s="1934"/>
      <c r="BX15" s="1930"/>
    </row>
    <row customHeight="1" ht="21">
      <c r="A16" s="1261" t="s">
        <v>1029</v>
      </c>
      <c r="B16" s="1262">
        <v>2014</v>
      </c>
      <c r="E16" s="1939" t="s">
        <v>1030</v>
      </c>
      <c r="G16" s="1263" t="s">
        <v>1031</v>
      </c>
      <c r="H16" s="1263" t="s">
        <v>1032</v>
      </c>
      <c r="I16" s="1265" t="s">
        <v>703</v>
      </c>
      <c r="J16" s="1276" t="s">
        <v>808</v>
      </c>
      <c r="N16" s="1346" t="s">
        <v>1033</v>
      </c>
      <c r="AW16" s="1308" t="s">
        <v>162</v>
      </c>
      <c r="AX16" s="1308" t="s">
        <v>162</v>
      </c>
      <c r="AZ16" s="1308" t="s">
        <v>959</v>
      </c>
      <c r="BB16" s="1308" t="s">
        <v>1034</v>
      </c>
      <c r="BC16" s="1308" t="s">
        <v>1009</v>
      </c>
      <c r="BE16" s="1308">
        <v>2014</v>
      </c>
      <c r="BH16" s="1255" t="s">
        <v>964</v>
      </c>
      <c r="BJ16" s="1416" t="s">
        <v>1035</v>
      </c>
      <c r="BL16" s="1416" t="s">
        <v>1035</v>
      </c>
      <c r="BN16" s="1255" t="s">
        <v>1036</v>
      </c>
      <c r="BR16" s="1257"/>
      <c r="BS16" s="1655"/>
      <c r="BT16" s="1257"/>
      <c r="BU16" s="1257"/>
      <c r="BV16" s="1257"/>
      <c r="BW16" s="1934"/>
      <c r="BX16" s="1930"/>
    </row>
    <row customHeight="1" ht="21">
      <c r="A17" s="1261" t="s">
        <v>1037</v>
      </c>
      <c r="B17" s="1262">
        <v>2015</v>
      </c>
      <c r="G17" s="1263" t="s">
        <v>984</v>
      </c>
      <c r="H17" s="1263" t="s">
        <v>984</v>
      </c>
      <c r="I17" s="1263" t="s">
        <v>406</v>
      </c>
      <c r="N17" s="1346" t="s">
        <v>1038</v>
      </c>
      <c r="X17" s="1274"/>
      <c r="AW17" s="1308" t="s">
        <v>703</v>
      </c>
      <c r="AX17" s="1308" t="s">
        <v>703</v>
      </c>
      <c r="AZ17" s="1308" t="s">
        <v>1039</v>
      </c>
      <c r="BB17" s="1308" t="s">
        <v>1040</v>
      </c>
      <c r="BC17" s="1308" t="s">
        <v>893</v>
      </c>
      <c r="BE17" s="1308">
        <v>2015</v>
      </c>
      <c r="BH17" s="1255" t="s">
        <v>980</v>
      </c>
      <c r="BJ17" s="1416" t="s">
        <v>1041</v>
      </c>
      <c r="BL17" s="1416" t="s">
        <v>1041</v>
      </c>
      <c r="BN17" s="1255" t="s">
        <v>1042</v>
      </c>
      <c r="BR17" s="1254" t="s">
        <v>836</v>
      </c>
      <c r="BS17" s="1652"/>
      <c r="BU17" s="1254" t="s">
        <v>1043</v>
      </c>
      <c r="BV17" s="1257"/>
      <c r="BW17" s="1930"/>
      <c r="BX17" s="1932" t="s">
        <v>1044</v>
      </c>
      <c r="CA17" s="1254" t="s">
        <v>1045</v>
      </c>
      <c r="CD17" s="1254" t="s">
        <v>1046</v>
      </c>
    </row>
    <row customHeight="1" ht="21">
      <c r="A18" s="1261" t="s">
        <v>1047</v>
      </c>
      <c r="B18" s="1262">
        <v>2016</v>
      </c>
      <c r="I18" s="1263" t="s">
        <v>712</v>
      </c>
      <c r="N18" s="1346" t="s">
        <v>1048</v>
      </c>
      <c r="X18" s="1274"/>
      <c r="AW18" s="1308" t="s">
        <v>406</v>
      </c>
      <c r="AX18" s="1308" t="s">
        <v>406</v>
      </c>
      <c r="BB18" s="1308" t="s">
        <v>1049</v>
      </c>
      <c r="BC18" s="1308" t="s">
        <v>893</v>
      </c>
      <c r="BE18" s="1308">
        <v>2016</v>
      </c>
      <c r="BH18" s="1255" t="s">
        <v>994</v>
      </c>
      <c r="BJ18" s="1416" t="s">
        <v>1050</v>
      </c>
      <c r="BL18" s="1416" t="s">
        <v>1050</v>
      </c>
      <c r="BN18" s="1255" t="s">
        <v>1051</v>
      </c>
      <c r="BQ18" s="1656" t="s">
        <v>865</v>
      </c>
      <c r="BR18" s="1347" t="s">
        <v>866</v>
      </c>
      <c r="BS18" s="409"/>
      <c r="BT18" s="1656" t="s">
        <v>1052</v>
      </c>
      <c r="BU18" s="1347" t="s">
        <v>1053</v>
      </c>
      <c r="BV18" s="1257"/>
      <c r="BW18" s="1937" t="s">
        <v>1054</v>
      </c>
      <c r="BX18" s="1931" t="s">
        <v>1055</v>
      </c>
      <c r="BZ18" s="1656" t="s">
        <v>1056</v>
      </c>
      <c r="CA18" s="1347" t="s">
        <v>1057</v>
      </c>
      <c r="CC18" s="1656" t="s">
        <v>1058</v>
      </c>
      <c r="CD18" s="1347" t="s">
        <v>1059</v>
      </c>
    </row>
    <row customHeight="1" ht="21">
      <c r="A19" s="1261" t="s">
        <v>1060</v>
      </c>
      <c r="B19" s="1262">
        <v>2017</v>
      </c>
      <c r="I19" s="1263" t="s">
        <v>716</v>
      </c>
      <c r="N19" s="1346" t="s">
        <v>1061</v>
      </c>
      <c r="X19" s="1274"/>
      <c r="AW19" s="1308" t="s">
        <v>712</v>
      </c>
      <c r="AX19" s="1308" t="s">
        <v>712</v>
      </c>
      <c r="AZ19" s="1254" t="s">
        <v>1062</v>
      </c>
      <c r="BB19" s="1308" t="s">
        <v>1063</v>
      </c>
      <c r="BC19" s="1308" t="s">
        <v>893</v>
      </c>
      <c r="BE19" s="1308">
        <v>2017</v>
      </c>
      <c r="BH19" s="1255" t="s">
        <v>1064</v>
      </c>
      <c r="BJ19" s="1416" t="s">
        <v>1065</v>
      </c>
      <c r="BL19" s="1416" t="s">
        <v>1065</v>
      </c>
      <c r="BQ19" s="1498">
        <v>4190064</v>
      </c>
      <c r="BR19" s="1255" t="s">
        <v>1066</v>
      </c>
      <c r="BS19" s="1653"/>
      <c r="BT19" s="1498">
        <v>64235586</v>
      </c>
      <c r="BU19" s="1255" t="s">
        <v>1067</v>
      </c>
      <c r="BV19" s="1257"/>
      <c r="BW19" s="1935">
        <v>4189706</v>
      </c>
      <c r="BX19" s="1933" t="s">
        <v>1068</v>
      </c>
      <c r="BZ19" s="1498">
        <v>64235589</v>
      </c>
      <c r="CA19" s="1255" t="s">
        <v>1069</v>
      </c>
      <c r="CC19" s="1498">
        <v>4189708</v>
      </c>
      <c r="CD19" s="1255" t="s">
        <v>1070</v>
      </c>
    </row>
    <row customHeight="1" ht="21">
      <c r="A20" s="1261" t="s">
        <v>1071</v>
      </c>
      <c r="B20" s="1262">
        <v>2018</v>
      </c>
      <c r="I20" s="1263" t="s">
        <v>468</v>
      </c>
      <c r="N20" s="1346" t="s">
        <v>1072</v>
      </c>
      <c r="AW20" s="1308" t="s">
        <v>716</v>
      </c>
      <c r="AX20" s="1308" t="s">
        <v>716</v>
      </c>
      <c r="AZ20" s="1308" t="s">
        <v>1073</v>
      </c>
      <c r="BB20" s="1308" t="s">
        <v>1074</v>
      </c>
      <c r="BC20" s="1308" t="s">
        <v>1009</v>
      </c>
      <c r="BE20" s="1308">
        <v>2018</v>
      </c>
      <c r="BH20" s="1255" t="s">
        <v>1005</v>
      </c>
      <c r="BJ20" s="1255" t="s">
        <v>933</v>
      </c>
      <c r="BL20" s="1255" t="s">
        <v>933</v>
      </c>
      <c r="BQ20" s="1498">
        <v>4190065</v>
      </c>
      <c r="BR20" s="1255" t="s">
        <v>1075</v>
      </c>
      <c r="BS20" s="1653"/>
      <c r="BT20" s="1498">
        <v>64235587</v>
      </c>
      <c r="BU20" s="1255" t="s">
        <v>1076</v>
      </c>
      <c r="BV20" s="1257"/>
      <c r="BW20" s="1935">
        <v>4189705</v>
      </c>
      <c r="BX20" s="1933" t="s">
        <v>1077</v>
      </c>
      <c r="BZ20" s="1498">
        <v>64235590</v>
      </c>
      <c r="CA20" s="1255" t="s">
        <v>1078</v>
      </c>
      <c r="CC20" s="1498">
        <v>4189709</v>
      </c>
      <c r="CD20" s="1255" t="s">
        <v>1079</v>
      </c>
    </row>
    <row customHeight="1" ht="21">
      <c r="A21" s="1261" t="s">
        <v>1080</v>
      </c>
      <c r="B21" s="1262">
        <v>2019</v>
      </c>
      <c r="I21" s="1263" t="s">
        <v>1081</v>
      </c>
      <c r="N21" s="1346" t="s">
        <v>1082</v>
      </c>
      <c r="AW21" s="1308" t="s">
        <v>468</v>
      </c>
      <c r="AX21" s="1308" t="s">
        <v>468</v>
      </c>
      <c r="AZ21" s="1308" t="s">
        <v>1083</v>
      </c>
      <c r="BB21" s="1308" t="s">
        <v>1084</v>
      </c>
      <c r="BC21" s="1308" t="s">
        <v>893</v>
      </c>
      <c r="BE21" s="1308">
        <v>2019</v>
      </c>
      <c r="BH21" s="1255" t="s">
        <v>1012</v>
      </c>
      <c r="BJ21" s="1255" t="s">
        <v>948</v>
      </c>
      <c r="BL21" s="1255" t="s">
        <v>948</v>
      </c>
      <c r="BQ21" s="1498">
        <v>4190066</v>
      </c>
      <c r="BR21" s="1255" t="s">
        <v>1085</v>
      </c>
      <c r="BS21" s="1653"/>
      <c r="BT21" s="1498">
        <v>64235585</v>
      </c>
      <c r="BU21" s="1255" t="s">
        <v>1086</v>
      </c>
      <c r="BV21" s="1257"/>
      <c r="BW21" s="1935">
        <v>4189707</v>
      </c>
      <c r="BX21" s="1933" t="s">
        <v>1087</v>
      </c>
      <c r="BZ21" s="1498">
        <v>64235591</v>
      </c>
      <c r="CA21" s="1255" t="s">
        <v>1088</v>
      </c>
      <c r="CC21" s="1498">
        <v>4189710</v>
      </c>
      <c r="CD21" s="1255" t="s">
        <v>1089</v>
      </c>
    </row>
    <row customHeight="1" ht="21">
      <c r="A22" s="1261" t="s">
        <v>1090</v>
      </c>
      <c r="B22" s="1262">
        <v>2020</v>
      </c>
      <c r="N22" s="1346" t="s">
        <v>1091</v>
      </c>
      <c r="AW22" s="1308" t="s">
        <v>1081</v>
      </c>
      <c r="AX22" s="1308" t="s">
        <v>1081</v>
      </c>
      <c r="AZ22" s="1308" t="s">
        <v>1092</v>
      </c>
      <c r="BB22" s="1308" t="s">
        <v>1093</v>
      </c>
      <c r="BC22" s="1308" t="s">
        <v>893</v>
      </c>
      <c r="BE22" s="1308">
        <v>2020</v>
      </c>
      <c r="BH22" s="1255" t="s">
        <v>1019</v>
      </c>
      <c r="BJ22" s="1255" t="s">
        <v>964</v>
      </c>
      <c r="BL22" s="1255" t="s">
        <v>964</v>
      </c>
      <c r="BQ22" s="1498">
        <v>4190067</v>
      </c>
      <c r="BR22" s="1255" t="s">
        <v>1094</v>
      </c>
      <c r="BS22" s="1653"/>
      <c r="BT22" s="1257"/>
      <c r="BU22" s="1257"/>
      <c r="BV22" s="1257"/>
      <c r="BW22" s="1257"/>
      <c r="CC22" s="1498">
        <v>4189711</v>
      </c>
      <c r="CD22" s="1255" t="s">
        <v>293</v>
      </c>
    </row>
    <row customHeight="1" ht="21">
      <c r="A23" s="1261" t="s">
        <v>1095</v>
      </c>
      <c r="B23" s="1262">
        <v>2021</v>
      </c>
      <c r="AW23" s="1308" t="s">
        <v>1096</v>
      </c>
      <c r="AX23" s="1308" t="s">
        <v>1096</v>
      </c>
      <c r="AZ23" s="1308" t="s">
        <v>1097</v>
      </c>
      <c r="BB23" s="1308" t="s">
        <v>1098</v>
      </c>
      <c r="BC23" s="1308" t="s">
        <v>801</v>
      </c>
      <c r="BE23" s="1308">
        <v>2021</v>
      </c>
      <c r="BH23" s="1255" t="s">
        <v>1028</v>
      </c>
      <c r="BJ23" s="1255" t="s">
        <v>980</v>
      </c>
      <c r="BL23" s="1255" t="s">
        <v>980</v>
      </c>
      <c r="BQ23" s="1498">
        <v>4190068</v>
      </c>
      <c r="BR23" s="1255" t="s">
        <v>1099</v>
      </c>
      <c r="BS23" s="1653"/>
      <c r="BT23" s="1257"/>
      <c r="BU23" s="1257"/>
      <c r="BV23" s="1257"/>
      <c r="BW23" s="1257"/>
      <c r="CC23" s="1498">
        <v>5110778</v>
      </c>
      <c r="CD23" s="1255" t="s">
        <v>1100</v>
      </c>
    </row>
    <row customHeight="1" ht="21">
      <c r="A24" s="1261" t="s">
        <v>1101</v>
      </c>
      <c r="B24" s="1262">
        <v>2022</v>
      </c>
      <c r="AW24" s="1308" t="s">
        <v>1102</v>
      </c>
      <c r="AX24" s="1308" t="s">
        <v>1102</v>
      </c>
      <c r="AZ24" s="1308" t="s">
        <v>1103</v>
      </c>
      <c r="BB24" s="1308" t="s">
        <v>1104</v>
      </c>
      <c r="BC24" s="1308" t="s">
        <v>1105</v>
      </c>
      <c r="BE24" s="1308">
        <v>2022</v>
      </c>
      <c r="BH24" s="1255" t="s">
        <v>1036</v>
      </c>
      <c r="BJ24" s="1255" t="s">
        <v>994</v>
      </c>
      <c r="BL24" s="1255" t="s">
        <v>994</v>
      </c>
      <c r="BQ24" s="1498">
        <v>4190069</v>
      </c>
      <c r="BR24" s="1255" t="s">
        <v>1106</v>
      </c>
      <c r="BS24" s="1653"/>
      <c r="BT24" s="1257"/>
      <c r="BU24" s="1257"/>
      <c r="BV24" s="1257"/>
      <c r="BW24" s="1257"/>
    </row>
    <row customHeight="1" ht="11.25">
      <c r="A25" s="1261" t="s">
        <v>1107</v>
      </c>
      <c r="B25" s="1262">
        <v>2023</v>
      </c>
      <c r="AW25" s="1308" t="s">
        <v>1108</v>
      </c>
      <c r="AX25" s="1308" t="s">
        <v>1108</v>
      </c>
      <c r="AZ25" s="1308" t="s">
        <v>1109</v>
      </c>
      <c r="BB25" s="1308" t="s">
        <v>1110</v>
      </c>
      <c r="BC25" s="1308" t="s">
        <v>1105</v>
      </c>
      <c r="BE25" s="1308">
        <v>2023</v>
      </c>
      <c r="BH25" s="1255" t="s">
        <v>1042</v>
      </c>
      <c r="BJ25" s="1255" t="s">
        <v>1064</v>
      </c>
      <c r="BL25" s="1255" t="s">
        <v>1064</v>
      </c>
      <c r="BQ25" s="1498">
        <v>4190070</v>
      </c>
      <c r="BR25" s="1255" t="s">
        <v>1111</v>
      </c>
      <c r="BS25" s="1653"/>
      <c r="BT25" s="1257"/>
      <c r="BU25" s="1257"/>
      <c r="BV25" s="1257"/>
      <c r="BW25" s="1257"/>
    </row>
    <row customHeight="1" ht="11.25">
      <c r="A26" s="1261" t="s">
        <v>1112</v>
      </c>
      <c r="B26" s="1262">
        <v>2024</v>
      </c>
      <c r="J26" s="1973" t="s">
        <v>1113</v>
      </c>
      <c r="AX26" s="1308" t="s">
        <v>481</v>
      </c>
      <c r="AZ26" s="1308" t="s">
        <v>987</v>
      </c>
      <c r="BB26" s="1308" t="s">
        <v>1114</v>
      </c>
      <c r="BC26" s="1308" t="s">
        <v>1105</v>
      </c>
      <c r="BE26" s="1308">
        <v>2024</v>
      </c>
      <c r="BH26" s="1255" t="s">
        <v>1051</v>
      </c>
      <c r="BJ26" s="1255" t="s">
        <v>1005</v>
      </c>
      <c r="BL26" s="1255" t="s">
        <v>1005</v>
      </c>
      <c r="BQ26" s="1498">
        <v>4190071</v>
      </c>
      <c r="BR26" s="1255" t="s">
        <v>1115</v>
      </c>
      <c r="BS26" s="1653"/>
      <c r="BT26" s="1257"/>
      <c r="BU26" s="1257"/>
      <c r="BV26" s="1257"/>
      <c r="BW26" s="1257"/>
    </row>
    <row customHeight="1" ht="11.25">
      <c r="A27" s="1261" t="s">
        <v>1116</v>
      </c>
      <c r="B27" s="1262">
        <v>2025</v>
      </c>
      <c r="J27" s="311" t="s">
        <v>103</v>
      </c>
      <c r="AX27" s="1308" t="s">
        <v>480</v>
      </c>
      <c r="BB27" s="1308" t="s">
        <v>1117</v>
      </c>
      <c r="BC27" s="1308" t="s">
        <v>1105</v>
      </c>
      <c r="BE27" s="1308">
        <v>2025</v>
      </c>
      <c r="BH27" s="1257" t="s">
        <v>17</v>
      </c>
      <c r="BJ27" s="1255" t="s">
        <v>1012</v>
      </c>
      <c r="BL27" s="1255" t="s">
        <v>1012</v>
      </c>
      <c r="BN27" s="1257" t="s">
        <v>17</v>
      </c>
      <c r="BQ27" s="1498">
        <v>4190072</v>
      </c>
      <c r="BR27" s="1255" t="s">
        <v>1118</v>
      </c>
      <c r="BS27" s="1653"/>
      <c r="BT27" s="1257"/>
      <c r="BU27" s="1257"/>
      <c r="BV27" s="1257"/>
      <c r="BW27" s="1257"/>
    </row>
    <row customHeight="1" ht="11.25">
      <c r="A28" s="1261" t="s">
        <v>14</v>
      </c>
      <c r="D28" s="1288"/>
      <c r="E28" s="1289"/>
      <c r="F28" s="1289"/>
      <c r="H28" s="1290" t="s">
        <v>1119</v>
      </c>
      <c r="AX28" s="1308" t="s">
        <v>727</v>
      </c>
      <c r="AZ28" s="1254" t="s">
        <v>1120</v>
      </c>
      <c r="BB28" s="1308" t="s">
        <v>1121</v>
      </c>
      <c r="BC28" s="1308" t="s">
        <v>1122</v>
      </c>
      <c r="BE28" s="1308">
        <v>2026</v>
      </c>
      <c r="BH28" s="1257" t="s">
        <v>17</v>
      </c>
      <c r="BJ28" s="1255" t="s">
        <v>1019</v>
      </c>
      <c r="BL28" s="1255" t="s">
        <v>1019</v>
      </c>
      <c r="BN28" s="1257" t="s">
        <v>17</v>
      </c>
      <c r="BQ28" s="1498">
        <v>4190073</v>
      </c>
      <c r="BR28" s="1255" t="s">
        <v>1123</v>
      </c>
      <c r="BS28" s="1653"/>
      <c r="BT28" s="1257"/>
      <c r="BU28" s="1257"/>
      <c r="BV28" s="1257"/>
      <c r="BW28" s="1257"/>
    </row>
    <row customHeight="1" ht="11.25">
      <c r="A29" s="1261" t="s">
        <v>1124</v>
      </c>
      <c r="D29" s="1291" t="s">
        <v>1125</v>
      </c>
      <c r="E29" s="1292" t="str">
        <f>IF(TEMPLATE_GROUP="","",INDEX(StartDateList,MATCH(TEMPLATE_GROUP,CodeTemplateList,0),1))</f>
        <v>01.07.2023</v>
      </c>
      <c r="F29" s="1292" t="str">
        <f>IF(TEMPLATE_GROUP="","",INDEX(EndDateList,MATCH(TEMPLATE_GROUP,CodeTemplateList,0),1))</f>
        <v>30.09.2023</v>
      </c>
      <c r="H29" s="1293" t="s">
        <v>1126</v>
      </c>
      <c r="AX29" s="1308" t="s">
        <v>463</v>
      </c>
      <c r="AZ29" s="1308" t="s">
        <v>785</v>
      </c>
      <c r="BB29" s="1308" t="s">
        <v>987</v>
      </c>
      <c r="BC29" s="1278"/>
      <c r="BE29" s="1308">
        <v>2027</v>
      </c>
      <c r="BJ29" s="1255" t="s">
        <v>1028</v>
      </c>
      <c r="BL29" s="1255" t="s">
        <v>1028</v>
      </c>
    </row>
    <row customHeight="1" ht="11.25">
      <c r="A30" s="1261" t="s">
        <v>1127</v>
      </c>
      <c r="D30" s="1294"/>
      <c r="E30" s="1295"/>
      <c r="F30" s="1295"/>
      <c r="AX30" s="1308" t="s">
        <v>1128</v>
      </c>
      <c r="AZ30" s="1308" t="s">
        <v>814</v>
      </c>
      <c r="BE30" s="1308">
        <v>2028</v>
      </c>
      <c r="BJ30" s="1255" t="s">
        <v>1129</v>
      </c>
      <c r="BL30" s="1255" t="s">
        <v>1129</v>
      </c>
    </row>
    <row customHeight="1" ht="12.75">
      <c r="A31" s="1261" t="s">
        <v>1130</v>
      </c>
      <c r="D31" s="1288"/>
      <c r="E31" s="1289"/>
      <c r="F31" s="1289"/>
      <c r="H31" s="1296"/>
      <c r="AX31" s="1308" t="s">
        <v>1131</v>
      </c>
      <c r="AZ31" s="1308" t="s">
        <v>1132</v>
      </c>
      <c r="BE31" s="1308">
        <v>2029</v>
      </c>
      <c r="BJ31" s="1255" t="s">
        <v>1133</v>
      </c>
      <c r="BL31" s="1255" t="s">
        <v>1133</v>
      </c>
    </row>
    <row customHeight="1" ht="11.25">
      <c r="A32" s="1261" t="s">
        <v>1134</v>
      </c>
      <c r="D32" s="1291" t="s">
        <v>1135</v>
      </c>
      <c r="E32" s="1292" t="str">
        <f>IF(TEMPLATE_GROUP="","",INDEX(StartDateList,MATCH(TEMPLATE_GROUP,CodeTemplateList,0),1))</f>
        <v>01.07.2023</v>
      </c>
      <c r="F32" s="1292" t="str">
        <f>IF(TEMPLATE_GROUP="","",INDEX(EndDateList,MATCH(TEMPLATE_GROUP,CodeTemplateList,0),1))</f>
        <v>30.09.2023</v>
      </c>
      <c r="H32" s="1297" t="s">
        <v>1136</v>
      </c>
      <c r="O32" s="1261" t="s">
        <v>783</v>
      </c>
      <c r="AX32" s="1308" t="s">
        <v>1137</v>
      </c>
      <c r="AZ32" s="1308" t="s">
        <v>881</v>
      </c>
      <c r="BE32" s="1308">
        <v>2030</v>
      </c>
      <c r="BJ32" s="1255" t="s">
        <v>1036</v>
      </c>
      <c r="BL32" s="1255" t="s">
        <v>1036</v>
      </c>
    </row>
    <row customHeight="1" ht="11.25">
      <c r="A33" s="1261" t="s">
        <v>1138</v>
      </c>
      <c r="O33" s="1261" t="s">
        <v>811</v>
      </c>
      <c r="AX33" s="1308" t="s">
        <v>1139</v>
      </c>
      <c r="AZ33" s="1308" t="s">
        <v>784</v>
      </c>
      <c r="BE33" s="1308">
        <v>2031</v>
      </c>
      <c r="BJ33" s="1255" t="s">
        <v>1042</v>
      </c>
      <c r="BL33" s="1255" t="s">
        <v>1042</v>
      </c>
    </row>
    <row customHeight="1" ht="11.25">
      <c r="A34" s="1261" t="s">
        <v>1140</v>
      </c>
      <c r="O34" s="1261" t="s">
        <v>846</v>
      </c>
      <c r="AX34" s="1308" t="s">
        <v>1141</v>
      </c>
      <c r="BE34" s="1308">
        <v>2032</v>
      </c>
      <c r="BJ34" s="1255" t="s">
        <v>1051</v>
      </c>
      <c r="BL34" s="1255" t="s">
        <v>1051</v>
      </c>
    </row>
    <row customHeight="1" ht="11.25">
      <c r="A35" s="1261" t="s">
        <v>1142</v>
      </c>
      <c r="O35" s="1261" t="s">
        <v>879</v>
      </c>
      <c r="AX35" s="1308" t="s">
        <v>1143</v>
      </c>
      <c r="AZ35" s="1254" t="s">
        <v>1144</v>
      </c>
      <c r="BE35" s="1308">
        <v>2033</v>
      </c>
      <c r="BL35" s="1255" t="s">
        <v>1145</v>
      </c>
    </row>
    <row customHeight="1" ht="11.25">
      <c r="A36" s="1261" t="s">
        <v>1146</v>
      </c>
      <c r="D36" s="1298" t="s">
        <v>1147</v>
      </c>
      <c r="E36" s="1299" t="s">
        <v>402</v>
      </c>
      <c r="F36" s="1300" t="str">
        <f>INDEX(E37:E41,MATCH(TEMPLATE_SPHERE,F37:F41,0))</f>
        <v>водоотведения</v>
      </c>
      <c r="G36" s="1300" t="str">
        <f>INDEX(G37:G41,MATCH(TEMPLATE_SPHERE,F37:F41,0))</f>
        <v>водоотведение</v>
      </c>
      <c r="O36" s="1261" t="s">
        <v>904</v>
      </c>
      <c r="AX36" s="1308" t="s">
        <v>1148</v>
      </c>
      <c r="AZ36" s="1308" t="s">
        <v>784</v>
      </c>
      <c r="BE36" s="1308">
        <v>2034</v>
      </c>
      <c r="BL36" s="1255" t="s">
        <v>1149</v>
      </c>
    </row>
    <row customHeight="1" ht="11.25">
      <c r="A37" s="1261" t="s">
        <v>1150</v>
      </c>
      <c r="E37" s="570" t="s">
        <v>1151</v>
      </c>
      <c r="F37" s="1301" t="s">
        <v>400</v>
      </c>
      <c r="G37" s="570" t="s">
        <v>1152</v>
      </c>
      <c r="O37" s="1261" t="s">
        <v>923</v>
      </c>
      <c r="AX37" s="1308" t="s">
        <v>1153</v>
      </c>
      <c r="AZ37" s="1308" t="s">
        <v>813</v>
      </c>
      <c r="BE37" s="1308">
        <v>2035</v>
      </c>
    </row>
    <row customHeight="1" ht="11.25">
      <c r="A38" s="1261" t="s">
        <v>1154</v>
      </c>
      <c r="E38" s="570" t="s">
        <v>1155</v>
      </c>
      <c r="F38" s="1302" t="s">
        <v>401</v>
      </c>
      <c r="G38" s="570" t="s">
        <v>1156</v>
      </c>
      <c r="O38" s="1261" t="s">
        <v>939</v>
      </c>
      <c r="AX38" s="1308" t="s">
        <v>1157</v>
      </c>
      <c r="AZ38" s="1308" t="s">
        <v>847</v>
      </c>
      <c r="BE38" s="1308">
        <v>2036</v>
      </c>
      <c r="BH38" s="1254" t="s">
        <v>1158</v>
      </c>
      <c r="BJ38" s="1254" t="s">
        <v>1159</v>
      </c>
      <c r="BL38" s="1254" t="s">
        <v>1160</v>
      </c>
      <c r="BN38" s="1254" t="s">
        <v>1161</v>
      </c>
    </row>
    <row customHeight="1" ht="11.25">
      <c r="A39" s="1261" t="s">
        <v>1162</v>
      </c>
      <c r="E39" s="570" t="s">
        <v>1163</v>
      </c>
      <c r="F39" s="1302" t="s">
        <v>402</v>
      </c>
      <c r="G39" s="570" t="s">
        <v>1164</v>
      </c>
      <c r="O39" s="1261" t="s">
        <v>955</v>
      </c>
      <c r="AX39" s="1308" t="s">
        <v>1165</v>
      </c>
      <c r="AZ39" s="1308" t="s">
        <v>880</v>
      </c>
      <c r="BE39" s="1308">
        <v>2037</v>
      </c>
      <c r="BH39" s="1255" t="s">
        <v>1166</v>
      </c>
      <c r="BJ39" s="1416" t="s">
        <v>1166</v>
      </c>
      <c r="BL39" s="1416" t="s">
        <v>1166</v>
      </c>
      <c r="BN39" s="1255" t="s">
        <v>1167</v>
      </c>
    </row>
    <row customHeight="1" ht="11.25">
      <c r="A40" s="1261" t="s">
        <v>1168</v>
      </c>
      <c r="E40" s="570" t="s">
        <v>1169</v>
      </c>
      <c r="F40" s="1302" t="s">
        <v>403</v>
      </c>
      <c r="G40" s="570" t="s">
        <v>1170</v>
      </c>
      <c r="O40" s="1261" t="s">
        <v>971</v>
      </c>
      <c r="AX40" s="1308" t="s">
        <v>1171</v>
      </c>
      <c r="BE40" s="1308">
        <v>2038</v>
      </c>
      <c r="BH40" s="1255" t="s">
        <v>1172</v>
      </c>
      <c r="BJ40" s="1416" t="s">
        <v>1173</v>
      </c>
      <c r="BL40" s="1416" t="s">
        <v>1173</v>
      </c>
      <c r="BN40" s="1255" t="s">
        <v>1174</v>
      </c>
    </row>
    <row customHeight="1" ht="11.25">
      <c r="A41" s="1261" t="s">
        <v>1175</v>
      </c>
      <c r="E41" s="570" t="s">
        <v>1176</v>
      </c>
      <c r="F41" s="1302" t="s">
        <v>404</v>
      </c>
      <c r="G41" s="570" t="s">
        <v>1176</v>
      </c>
      <c r="O41" s="1261" t="s">
        <v>987</v>
      </c>
      <c r="AX41" s="1308" t="s">
        <v>1177</v>
      </c>
      <c r="AZ41" s="1254" t="s">
        <v>1178</v>
      </c>
      <c r="BE41" s="1308">
        <v>2039</v>
      </c>
      <c r="BH41" s="1255" t="s">
        <v>1179</v>
      </c>
      <c r="BJ41" s="1416" t="s">
        <v>1180</v>
      </c>
      <c r="BL41" s="1416" t="s">
        <v>1180</v>
      </c>
      <c r="BN41" s="1255" t="s">
        <v>1181</v>
      </c>
    </row>
    <row customHeight="1" ht="11.25">
      <c r="A42" s="1261" t="s">
        <v>1182</v>
      </c>
      <c r="AX42" s="1308" t="s">
        <v>1183</v>
      </c>
      <c r="AZ42" s="1308" t="s">
        <v>783</v>
      </c>
      <c r="BE42" s="1308">
        <v>2040</v>
      </c>
      <c r="BH42" s="1255" t="s">
        <v>1184</v>
      </c>
      <c r="BJ42" s="1416" t="s">
        <v>1185</v>
      </c>
      <c r="BL42" s="1416" t="s">
        <v>1185</v>
      </c>
      <c r="BN42" s="1255" t="s">
        <v>1186</v>
      </c>
    </row>
    <row customHeight="1" ht="11.25">
      <c r="A43" s="1261" t="s">
        <v>1187</v>
      </c>
      <c r="AX43" s="1308" t="s">
        <v>1188</v>
      </c>
      <c r="AZ43" s="1308" t="s">
        <v>811</v>
      </c>
      <c r="BE43" s="1308">
        <v>2041</v>
      </c>
      <c r="BH43" s="1255" t="s">
        <v>1189</v>
      </c>
      <c r="BJ43" s="1416" t="s">
        <v>1179</v>
      </c>
      <c r="BL43" s="1416" t="s">
        <v>1179</v>
      </c>
      <c r="BN43" s="1255" t="s">
        <v>1190</v>
      </c>
    </row>
    <row customHeight="1" ht="11.25">
      <c r="A44" s="1261" t="s">
        <v>1191</v>
      </c>
      <c r="I44" s="966" t="s">
        <v>1192</v>
      </c>
      <c r="J44" s="1276" t="s">
        <v>1193</v>
      </c>
      <c r="K44" s="1276" t="s">
        <v>1194</v>
      </c>
      <c r="AX44" s="1308" t="s">
        <v>1195</v>
      </c>
      <c r="AZ44" s="1308" t="s">
        <v>846</v>
      </c>
      <c r="BE44" s="1308">
        <v>2042</v>
      </c>
      <c r="BH44" s="1255" t="s">
        <v>1196</v>
      </c>
      <c r="BJ44" s="1416" t="s">
        <v>1184</v>
      </c>
      <c r="BL44" s="1416" t="s">
        <v>1184</v>
      </c>
      <c r="BN44" s="1255" t="s">
        <v>1197</v>
      </c>
    </row>
    <row customHeight="1" ht="11.25">
      <c r="A45" s="1261" t="s">
        <v>1198</v>
      </c>
      <c r="D45" s="1298" t="s">
        <v>1199</v>
      </c>
      <c r="E45" s="1299" t="s">
        <v>1200</v>
      </c>
      <c r="F45" s="964" t="s">
        <v>1201</v>
      </c>
      <c r="G45" s="963" t="s">
        <v>1202</v>
      </c>
      <c r="H45" s="966" t="s">
        <v>1203</v>
      </c>
      <c r="I45" s="1986">
        <f>INDEX(PeriodIsEmptyList,MATCH(TEMPLATE_GROUP,CodeTemplateList,0),1)</f>
        <v>0</v>
      </c>
      <c r="J45" s="1994" t="str">
        <f>INDEX(NameTemplatesInTitleList,MATCH(TEMPLATE_GROUP,CodeTemplateList,0),1)</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5" s="1994"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308" t="s">
        <v>1204</v>
      </c>
      <c r="AZ45" s="1308" t="s">
        <v>879</v>
      </c>
      <c r="BE45" s="1308">
        <v>2043</v>
      </c>
      <c r="BH45" s="1255" t="s">
        <v>1205</v>
      </c>
      <c r="BJ45" s="1416" t="s">
        <v>1206</v>
      </c>
      <c r="BL45" s="1416" t="s">
        <v>1206</v>
      </c>
      <c r="BN45" s="1255" t="s">
        <v>1207</v>
      </c>
    </row>
    <row customHeight="1" ht="11.25">
      <c r="A46" s="1261" t="s">
        <v>1208</v>
      </c>
      <c r="E46" s="570" t="s">
        <v>22</v>
      </c>
      <c r="F46" s="1301" t="s">
        <v>1209</v>
      </c>
      <c r="G46" s="1303"/>
      <c r="H46" s="1303"/>
      <c r="I46" s="1987">
        <f>IF(TITLE_DATE_FIL="",TRUE,FALSE)</f>
        <v>1</v>
      </c>
      <c r="J46" s="1995" t="str">
        <f>"Общая информация о регулируемой организации ("&amp;TEMPLATE_SPHERE_RUS&amp;")"</f>
        <v>Общая информация о регулируемой организации (водоотведения)</v>
      </c>
      <c r="K46" s="1996"/>
      <c r="AX46" s="1308" t="s">
        <v>1210</v>
      </c>
      <c r="AZ46" s="1308" t="s">
        <v>904</v>
      </c>
      <c r="BE46" s="1308">
        <v>2044</v>
      </c>
      <c r="BH46" s="1255" t="s">
        <v>1181</v>
      </c>
      <c r="BJ46" s="1416" t="s">
        <v>1211</v>
      </c>
      <c r="BL46" s="1416" t="s">
        <v>1211</v>
      </c>
      <c r="BN46" s="1255" t="s">
        <v>1212</v>
      </c>
    </row>
    <row customHeight="1" ht="11.25">
      <c r="A47" s="1261" t="s">
        <v>1213</v>
      </c>
      <c r="E47" s="570" t="s">
        <v>28</v>
      </c>
      <c r="F47" s="1302" t="s">
        <v>1200</v>
      </c>
      <c r="G47" s="1304" t="str">
        <f>IF(f_year="","",IF(LEN(f_quart)=0,"",IF(f_quart="I квартал","01.01."&amp;f_year,IF(f_quart="II квартал","01.04."&amp;f_year,(IF(f_quart="III квартал","01.07."&amp;f_year,"01.10."&amp;f_year))))))</f>
        <v>01.07.2023</v>
      </c>
      <c r="H47" s="1304" t="str">
        <f>IF(f_year="","",IF(LEN(f_quart)=0,"",IF(f_quart="I квартал","31.03."&amp;f_year,IF(f_quart="II квартал","30.06."&amp;f_year,(IF(f_quart="III квартал","30.09."&amp;f_year,"31.12."&amp;f_year))))))</f>
        <v>30.09.2023</v>
      </c>
      <c r="I47" s="1988">
        <f>IF(OR(f_year="",f_quart=""),TRUE,FALSE)</f>
        <v>0</v>
      </c>
      <c r="J47" s="1995"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996"/>
      <c r="AX47" s="1308" t="s">
        <v>482</v>
      </c>
      <c r="AZ47" s="1308" t="s">
        <v>923</v>
      </c>
      <c r="BE47" s="1308">
        <v>2045</v>
      </c>
      <c r="BH47" s="1255" t="s">
        <v>1186</v>
      </c>
      <c r="BJ47" s="1416" t="s">
        <v>1214</v>
      </c>
      <c r="BL47" s="1416" t="s">
        <v>1214</v>
      </c>
      <c r="BN47" s="1255" t="s">
        <v>1215</v>
      </c>
    </row>
    <row customHeight="1" ht="11.25">
      <c r="A48" s="1261" t="s">
        <v>1216</v>
      </c>
      <c r="E48" s="570" t="s">
        <v>500</v>
      </c>
      <c r="F48" s="1302" t="s">
        <v>1217</v>
      </c>
      <c r="G48" s="1304" t="str">
        <f>IF(f_year="","","01.01."&amp;f_year)</f>
        <v>01.01.2023</v>
      </c>
      <c r="H48" s="1304" t="str">
        <f>IF(f_year="","","31.12."&amp;f_year)</f>
        <v>31.12.2023</v>
      </c>
      <c r="I48" s="1987">
        <f>IF(f_year="",TRUE,FALSE)</f>
        <v>0</v>
      </c>
      <c r="J48" s="1995" t="s">
        <v>1218</v>
      </c>
      <c r="K48" s="1996"/>
      <c r="AX48" s="1308" t="s">
        <v>1219</v>
      </c>
      <c r="AZ48" s="1308" t="s">
        <v>939</v>
      </c>
      <c r="BE48" s="1308">
        <v>2046</v>
      </c>
      <c r="BH48" s="1255" t="s">
        <v>1190</v>
      </c>
      <c r="BJ48" s="1416" t="s">
        <v>1220</v>
      </c>
      <c r="BL48" s="1416" t="s">
        <v>1220</v>
      </c>
      <c r="BN48" s="1255" t="s">
        <v>1221</v>
      </c>
    </row>
    <row customHeight="1" ht="11.25">
      <c r="A49" s="1261" t="s">
        <v>1222</v>
      </c>
      <c r="E49" s="570" t="s">
        <v>725</v>
      </c>
      <c r="F49" s="1302" t="s">
        <v>1223</v>
      </c>
      <c r="G49" s="1304" t="str">
        <f>IF(f_year="","","01.01."&amp;f_year)</f>
        <v>01.01.2023</v>
      </c>
      <c r="H49" s="1304" t="str">
        <f>IF(f_year="","","31.12."&amp;f_year)</f>
        <v>31.12.2023</v>
      </c>
      <c r="I49" s="1987">
        <f>IF(f_year="",TRUE,FALSE)</f>
        <v>0</v>
      </c>
      <c r="J49" s="1995"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996"/>
      <c r="AX49" s="1308" t="s">
        <v>728</v>
      </c>
      <c r="AZ49" s="1308" t="s">
        <v>955</v>
      </c>
      <c r="BE49" s="1308">
        <v>2047</v>
      </c>
      <c r="BH49" s="1255" t="s">
        <v>1224</v>
      </c>
      <c r="BJ49" s="1416" t="s">
        <v>1225</v>
      </c>
      <c r="BL49" s="1416" t="s">
        <v>1225</v>
      </c>
    </row>
    <row customHeight="1" ht="11.25">
      <c r="A50" s="1261" t="s">
        <v>1226</v>
      </c>
      <c r="E50" s="570" t="s">
        <v>732</v>
      </c>
      <c r="F50" s="1302" t="s">
        <v>1227</v>
      </c>
      <c r="G50" s="1304" t="str">
        <f>IF(f_year="","","01.01."&amp;f_year)</f>
        <v>01.01.2023</v>
      </c>
      <c r="H50" s="1304" t="str">
        <f>IF(f_year="","","31.12."&amp;f_year)</f>
        <v>31.12.2023</v>
      </c>
      <c r="I50" s="1987">
        <f>IF(f_year="",TRUE,FALSE)</f>
        <v>0</v>
      </c>
      <c r="J50" s="1995"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996"/>
      <c r="AX50" s="1308" t="s">
        <v>1228</v>
      </c>
      <c r="AZ50" s="1308" t="s">
        <v>971</v>
      </c>
      <c r="BE50" s="1308">
        <v>2048</v>
      </c>
      <c r="BH50" s="1255" t="s">
        <v>1197</v>
      </c>
      <c r="BJ50" s="1416" t="s">
        <v>1229</v>
      </c>
      <c r="BL50" s="1416" t="s">
        <v>1229</v>
      </c>
    </row>
    <row customHeight="1" ht="11.25">
      <c r="A51" s="1261" t="s">
        <v>1230</v>
      </c>
      <c r="E51" s="570" t="s">
        <v>733</v>
      </c>
      <c r="F51" s="1302" t="s">
        <v>1231</v>
      </c>
      <c r="G51" s="1304" t="str">
        <f>IF(TITLE_PERIOD_START="","",TITLE_PERIOD_START)</f>
        <v/>
      </c>
      <c r="H51" s="1304" t="str">
        <f>IF(TITLE_PERIOD_END="","",TITLE_PERIOD_END)</f>
        <v/>
      </c>
      <c r="I51" s="1988">
        <f>IF(OR(TITLE_PERIOD_START="",TITLE_PERIOD_END=""),TRUE,FALSE)</f>
        <v>1</v>
      </c>
      <c r="J51" s="1995"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996"/>
      <c r="AX51" s="1308" t="s">
        <v>1232</v>
      </c>
      <c r="AZ51" s="1308" t="s">
        <v>987</v>
      </c>
      <c r="BE51" s="1308">
        <v>2049</v>
      </c>
      <c r="BH51" s="1255" t="s">
        <v>1207</v>
      </c>
      <c r="BJ51" s="1416" t="s">
        <v>1233</v>
      </c>
      <c r="BL51" s="1416" t="s">
        <v>1233</v>
      </c>
    </row>
    <row customHeight="1" ht="11.25">
      <c r="A52" s="1261" t="s">
        <v>1234</v>
      </c>
      <c r="E52" s="570" t="s">
        <v>734</v>
      </c>
      <c r="F52" s="1302" t="s">
        <v>1235</v>
      </c>
      <c r="G52" s="1304" t="str">
        <f>IF(TITLE_PERIOD_START="","",TITLE_PERIOD_START)</f>
        <v/>
      </c>
      <c r="H52" s="1304" t="str">
        <f>IF(TITLE_PERIOD_END="","",TITLE_PERIOD_END)</f>
        <v/>
      </c>
      <c r="I52" s="1988">
        <f>IF(OR(TITLE_PERIOD_START="",TITLE_PERIOD_END=""),TRUE,FALSE)</f>
        <v>1</v>
      </c>
      <c r="J52" s="1995" t="str">
        <f>"Показатели, подлежащие раскрытию в сфере "&amp;TEMPLATE_SPHERE_RUS&amp;" (цены и тарифы)"</f>
        <v>Показатели, подлежащие раскрытию в сфере водоотведения (цены и тарифы)</v>
      </c>
      <c r="K52" s="1996"/>
      <c r="AX52" s="1308" t="s">
        <v>1236</v>
      </c>
      <c r="AZ52" s="1308" t="s">
        <v>784</v>
      </c>
      <c r="BE52" s="1308">
        <v>2050</v>
      </c>
      <c r="BH52" s="1255" t="s">
        <v>1212</v>
      </c>
      <c r="BJ52" s="1416" t="s">
        <v>1181</v>
      </c>
      <c r="BL52" s="1416" t="s">
        <v>1181</v>
      </c>
    </row>
    <row customHeight="1" ht="11.25">
      <c r="A53" s="1261" t="s">
        <v>1237</v>
      </c>
      <c r="E53" s="570" t="s">
        <v>1238</v>
      </c>
      <c r="F53" s="1302" t="s">
        <v>1238</v>
      </c>
      <c r="G53" s="1304" t="str">
        <f>IF(f_year="","","01.01."&amp;f_year)</f>
        <v>01.01.2023</v>
      </c>
      <c r="H53" s="1304" t="str">
        <f>IF(f_year="","","31.12."&amp;f_year)</f>
        <v>31.12.2023</v>
      </c>
      <c r="I53" s="1987">
        <f>IF(f_year="",TRUE,FALSE)</f>
        <v>0</v>
      </c>
      <c r="J53" s="1995" t="s">
        <v>1239</v>
      </c>
      <c r="K53" s="1996"/>
      <c r="AX53" s="1308" t="s">
        <v>1240</v>
      </c>
      <c r="BE53" s="1308">
        <v>2051</v>
      </c>
      <c r="BH53" s="1255" t="s">
        <v>1215</v>
      </c>
      <c r="BJ53" s="1416" t="s">
        <v>1186</v>
      </c>
      <c r="BL53" s="1416" t="s">
        <v>1186</v>
      </c>
    </row>
    <row customHeight="1" ht="11.25">
      <c r="A54" s="1261" t="s">
        <v>1241</v>
      </c>
      <c r="AX54" s="1308" t="s">
        <v>1242</v>
      </c>
      <c r="AZ54" s="1254" t="s">
        <v>1243</v>
      </c>
      <c r="BE54" s="1308">
        <v>2052</v>
      </c>
      <c r="BH54" s="1255" t="s">
        <v>1221</v>
      </c>
      <c r="BJ54" s="1416" t="s">
        <v>1190</v>
      </c>
      <c r="BL54" s="1416" t="s">
        <v>1190</v>
      </c>
    </row>
    <row customHeight="1" ht="11.25">
      <c r="A55" s="1261" t="s">
        <v>1244</v>
      </c>
      <c r="AX55" s="1308" t="s">
        <v>1245</v>
      </c>
      <c r="AZ55" s="1308" t="s">
        <v>786</v>
      </c>
      <c r="BE55" s="1308">
        <v>2053</v>
      </c>
      <c r="BH55" s="1257" t="s">
        <v>17</v>
      </c>
      <c r="BJ55" s="1416" t="s">
        <v>1224</v>
      </c>
      <c r="BL55" s="1416" t="s">
        <v>1224</v>
      </c>
    </row>
    <row customHeight="1" ht="11.25">
      <c r="A56" s="1261" t="s">
        <v>1246</v>
      </c>
      <c r="D56" s="1306" t="s">
        <v>1247</v>
      </c>
      <c r="E56" s="1282">
        <v>55</v>
      </c>
      <c r="F56" s="1261" t="s">
        <v>1248</v>
      </c>
      <c r="AX56" s="1308" t="s">
        <v>1249</v>
      </c>
      <c r="AZ56" s="1308" t="s">
        <v>815</v>
      </c>
      <c r="BE56" s="1308">
        <v>2054</v>
      </c>
      <c r="BH56" s="1257" t="s">
        <v>17</v>
      </c>
      <c r="BJ56" s="1416" t="s">
        <v>1197</v>
      </c>
      <c r="BL56" s="1416" t="s">
        <v>1197</v>
      </c>
    </row>
    <row customHeight="1" ht="11.25">
      <c r="A57" s="1261" t="s">
        <v>1250</v>
      </c>
      <c r="D57" s="1306" t="s">
        <v>1251</v>
      </c>
      <c r="E57" s="1282">
        <v>66</v>
      </c>
      <c r="F57" s="1261" t="s">
        <v>1248</v>
      </c>
      <c r="AX57" s="1308" t="s">
        <v>1252</v>
      </c>
      <c r="AZ57" s="1308" t="s">
        <v>849</v>
      </c>
      <c r="BE57" s="1308">
        <v>2055</v>
      </c>
      <c r="BJ57" s="1416" t="s">
        <v>1207</v>
      </c>
      <c r="BL57" s="1416" t="s">
        <v>1207</v>
      </c>
    </row>
    <row customHeight="1" ht="11.25">
      <c r="A58" s="1261" t="s">
        <v>1253</v>
      </c>
      <c r="D58" s="1306" t="s">
        <v>1254</v>
      </c>
      <c r="E58" s="1282">
        <v>44</v>
      </c>
      <c r="F58" s="1261" t="s">
        <v>1248</v>
      </c>
      <c r="AX58" s="1308" t="s">
        <v>1255</v>
      </c>
      <c r="BE58" s="1308">
        <v>2056</v>
      </c>
      <c r="BJ58" s="1416" t="s">
        <v>1212</v>
      </c>
      <c r="BL58" s="1416" t="s">
        <v>1212</v>
      </c>
    </row>
    <row customHeight="1" ht="11.25">
      <c r="A59" s="1261" t="s">
        <v>1256</v>
      </c>
      <c r="D59" s="1306" t="s">
        <v>140</v>
      </c>
      <c r="E59" s="1282" t="s">
        <v>1081</v>
      </c>
      <c r="F59" s="1261" t="s">
        <v>1257</v>
      </c>
      <c r="AX59" s="1308" t="s">
        <v>1258</v>
      </c>
      <c r="AZ59" s="1254" t="s">
        <v>1259</v>
      </c>
      <c r="BE59" s="1308">
        <v>2057</v>
      </c>
      <c r="BJ59" s="1416" t="s">
        <v>1215</v>
      </c>
      <c r="BL59" s="1416" t="s">
        <v>1215</v>
      </c>
    </row>
    <row customHeight="1" ht="11.25">
      <c r="A60" s="1261" t="s">
        <v>1260</v>
      </c>
      <c r="D60" s="1306" t="s">
        <v>1261</v>
      </c>
      <c r="E60" s="1282" t="s">
        <v>1081</v>
      </c>
      <c r="F60" s="1261" t="s">
        <v>1257</v>
      </c>
      <c r="AX60" s="1308" t="s">
        <v>1262</v>
      </c>
      <c r="AZ60" s="1308" t="s">
        <v>787</v>
      </c>
      <c r="BE60" s="1308">
        <v>2058</v>
      </c>
      <c r="BJ60" s="1416" t="s">
        <v>1221</v>
      </c>
      <c r="BL60" s="1416" t="s">
        <v>1221</v>
      </c>
    </row>
    <row customHeight="1" ht="11.25">
      <c r="A61" s="1261" t="s">
        <v>1263</v>
      </c>
      <c r="D61" s="1306" t="s">
        <v>1264</v>
      </c>
      <c r="E61" s="1282">
        <v>26</v>
      </c>
      <c r="F61" s="1261" t="s">
        <v>1257</v>
      </c>
      <c r="AX61" s="1308" t="s">
        <v>1265</v>
      </c>
      <c r="AZ61" s="1308" t="s">
        <v>816</v>
      </c>
      <c r="BE61" s="1308">
        <v>2059</v>
      </c>
      <c r="BL61" s="1416" t="s">
        <v>1266</v>
      </c>
    </row>
    <row customHeight="1" ht="11.25">
      <c r="A62" s="1261" t="s">
        <v>1267</v>
      </c>
      <c r="D62" s="1306" t="s">
        <v>139</v>
      </c>
      <c r="E62" s="1282">
        <v>30</v>
      </c>
      <c r="F62" s="1261" t="s">
        <v>1257</v>
      </c>
      <c r="AZ62" s="1308" t="s">
        <v>850</v>
      </c>
      <c r="BE62" s="1308">
        <v>2060</v>
      </c>
      <c r="BL62" s="1416" t="s">
        <v>1268</v>
      </c>
    </row>
    <row customHeight="1" ht="11.25">
      <c r="A63" s="1261" t="s">
        <v>1269</v>
      </c>
      <c r="D63" s="1306" t="s">
        <v>1270</v>
      </c>
      <c r="E63" s="1282">
        <v>30</v>
      </c>
      <c r="F63" s="1261" t="s">
        <v>1257</v>
      </c>
      <c r="AZ63" s="1308" t="s">
        <v>882</v>
      </c>
      <c r="BE63" s="1308">
        <v>2061</v>
      </c>
    </row>
    <row customHeight="1" ht="11.25">
      <c r="A64" s="1261" t="s">
        <v>1271</v>
      </c>
      <c r="D64" s="1306" t="s">
        <v>1272</v>
      </c>
      <c r="E64" s="1282">
        <v>30</v>
      </c>
      <c r="F64" s="1261" t="s">
        <v>1257</v>
      </c>
      <c r="AZ64" s="1308" t="s">
        <v>905</v>
      </c>
      <c r="BE64" s="1308">
        <v>2062</v>
      </c>
    </row>
    <row customHeight="1" ht="11.25">
      <c r="A65" s="1261" t="s">
        <v>1273</v>
      </c>
      <c r="D65" s="1261"/>
      <c r="BE65" s="1308">
        <v>2063</v>
      </c>
    </row>
    <row customHeight="1" ht="11.25">
      <c r="A66" s="1261" t="s">
        <v>1274</v>
      </c>
      <c r="AZ66" s="1254" t="s">
        <v>1275</v>
      </c>
      <c r="BE66" s="1308">
        <v>2064</v>
      </c>
    </row>
    <row customHeight="1" ht="11.25">
      <c r="A67" s="1261" t="s">
        <v>1276</v>
      </c>
      <c r="AZ67" s="1308" t="s">
        <v>788</v>
      </c>
      <c r="BE67" s="1308">
        <v>2065</v>
      </c>
    </row>
    <row customHeight="1" ht="11.25">
      <c r="A68" s="1261" t="s">
        <v>1277</v>
      </c>
      <c r="AZ68" s="1308" t="s">
        <v>817</v>
      </c>
      <c r="BE68" s="1308">
        <v>2066</v>
      </c>
      <c r="BH68" s="1254" t="s">
        <v>1278</v>
      </c>
      <c r="BJ68" s="1254" t="s">
        <v>1279</v>
      </c>
      <c r="BL68" s="1254" t="s">
        <v>1280</v>
      </c>
      <c r="BN68" s="1254" t="s">
        <v>1281</v>
      </c>
    </row>
    <row customHeight="1" ht="11.25">
      <c r="A69" s="1261" t="s">
        <v>1282</v>
      </c>
      <c r="AZ69" s="1308" t="s">
        <v>851</v>
      </c>
      <c r="BE69" s="1308">
        <v>2067</v>
      </c>
      <c r="BH69" s="1255" t="s">
        <v>1283</v>
      </c>
      <c r="BI69" s="1305" t="s">
        <v>118</v>
      </c>
      <c r="BJ69" s="1255" t="s">
        <v>1284</v>
      </c>
      <c r="BK69" s="1305" t="s">
        <v>118</v>
      </c>
      <c r="BL69" s="1255" t="s">
        <v>1285</v>
      </c>
      <c r="BN69" s="1255" t="s">
        <v>1286</v>
      </c>
    </row>
    <row customHeight="1" ht="11.25">
      <c r="A70" s="1261" t="s">
        <v>1287</v>
      </c>
      <c r="AZ70" s="1308" t="s">
        <v>883</v>
      </c>
      <c r="BE70" s="1308">
        <v>2068</v>
      </c>
      <c r="BH70" s="1255" t="s">
        <v>1288</v>
      </c>
      <c r="BJ70" s="1255" t="s">
        <v>1289</v>
      </c>
      <c r="BL70" s="1255" t="s">
        <v>1290</v>
      </c>
      <c r="BN70" s="1255" t="s">
        <v>1291</v>
      </c>
    </row>
    <row customHeight="1" ht="11.25">
      <c r="A71" s="1261" t="s">
        <v>1292</v>
      </c>
      <c r="AZ71" s="1308" t="s">
        <v>885</v>
      </c>
      <c r="BE71" s="1308">
        <v>2069</v>
      </c>
      <c r="BH71" s="1255" t="s">
        <v>1293</v>
      </c>
      <c r="BI71" s="1305" t="s">
        <v>89</v>
      </c>
      <c r="BJ71" s="1255" t="s">
        <v>1294</v>
      </c>
      <c r="BK71" s="1305" t="s">
        <v>89</v>
      </c>
      <c r="BL71" s="1255" t="s">
        <v>1295</v>
      </c>
      <c r="BN71" s="1255" t="s">
        <v>1296</v>
      </c>
    </row>
    <row customHeight="1" ht="11.25">
      <c r="A72" s="1261" t="s">
        <v>1297</v>
      </c>
      <c r="AZ72" s="1308" t="s">
        <v>56</v>
      </c>
      <c r="BE72" s="1308">
        <v>2070</v>
      </c>
      <c r="BH72" s="1255" t="s">
        <v>1298</v>
      </c>
      <c r="BJ72" s="1255" t="s">
        <v>1298</v>
      </c>
      <c r="BL72" s="1255" t="s">
        <v>1298</v>
      </c>
      <c r="BN72" s="1255" t="s">
        <v>1299</v>
      </c>
    </row>
    <row customHeight="1" ht="11.25">
      <c r="A73" s="1261" t="s">
        <v>1300</v>
      </c>
      <c r="BH73" s="1255" t="s">
        <v>1301</v>
      </c>
      <c r="BI73" s="1305" t="s">
        <v>119</v>
      </c>
      <c r="BJ73" s="1255" t="s">
        <v>1302</v>
      </c>
      <c r="BK73" s="1305" t="s">
        <v>119</v>
      </c>
      <c r="BL73" s="1255" t="s">
        <v>1303</v>
      </c>
      <c r="BN73" s="1255" t="s">
        <v>1304</v>
      </c>
    </row>
    <row customHeight="1" ht="11.25">
      <c r="A74" s="1261" t="s">
        <v>1305</v>
      </c>
      <c r="BH74" s="1255" t="s">
        <v>1306</v>
      </c>
      <c r="BJ74" s="1255" t="s">
        <v>1307</v>
      </c>
      <c r="BL74" s="1255" t="s">
        <v>1308</v>
      </c>
      <c r="BN74" s="1255" t="s">
        <v>1309</v>
      </c>
    </row>
    <row customHeight="1" ht="11.25">
      <c r="A75" s="1261" t="s">
        <v>1310</v>
      </c>
      <c r="AZ75" s="1254" t="s">
        <v>1311</v>
      </c>
      <c r="BH75" s="1255" t="s">
        <v>1312</v>
      </c>
      <c r="BJ75" s="1255" t="s">
        <v>1312</v>
      </c>
      <c r="BL75" s="1255" t="s">
        <v>1312</v>
      </c>
    </row>
    <row customHeight="1" ht="11.25">
      <c r="A76" s="1261" t="s">
        <v>1313</v>
      </c>
      <c r="AZ76" s="1308" t="s">
        <v>797</v>
      </c>
      <c r="BH76" s="1255" t="s">
        <v>1314</v>
      </c>
      <c r="BJ76" s="1255" t="s">
        <v>1315</v>
      </c>
      <c r="BL76" s="1255" t="s">
        <v>1316</v>
      </c>
    </row>
    <row customHeight="1" ht="11.25">
      <c r="A77" s="1261" t="s">
        <v>1317</v>
      </c>
      <c r="AZ77" s="1308" t="s">
        <v>827</v>
      </c>
    </row>
    <row customHeight="1" ht="11.25">
      <c r="A78" s="1261" t="s">
        <v>1318</v>
      </c>
      <c r="AZ78" s="1308" t="s">
        <v>858</v>
      </c>
    </row>
    <row customHeight="1" ht="11.25">
      <c r="A79" s="1261" t="s">
        <v>1319</v>
      </c>
      <c r="AZ79" s="1308" t="s">
        <v>889</v>
      </c>
      <c r="BH79" s="1254" t="s">
        <v>1320</v>
      </c>
      <c r="BJ79" s="1254" t="s">
        <v>1321</v>
      </c>
      <c r="BL79" s="1254" t="s">
        <v>1322</v>
      </c>
    </row>
    <row customHeight="1" ht="11.25">
      <c r="A80" s="1261" t="s">
        <v>1323</v>
      </c>
      <c r="AZ80" s="1308" t="s">
        <v>910</v>
      </c>
      <c r="BH80" s="1255" t="s">
        <v>1324</v>
      </c>
      <c r="BJ80" s="1255" t="s">
        <v>1325</v>
      </c>
      <c r="BL80" s="1255" t="s">
        <v>1326</v>
      </c>
    </row>
    <row customHeight="1" ht="11.25">
      <c r="A81" s="1261" t="s">
        <v>1327</v>
      </c>
      <c r="AZ81" s="1308" t="s">
        <v>927</v>
      </c>
      <c r="BH81" s="1255" t="s">
        <v>1328</v>
      </c>
      <c r="BJ81" s="1255" t="s">
        <v>1329</v>
      </c>
      <c r="BL81" s="1255" t="s">
        <v>1330</v>
      </c>
    </row>
    <row customHeight="1" ht="11.25">
      <c r="A82" s="1261" t="s">
        <v>1331</v>
      </c>
      <c r="AZ82" s="1308" t="s">
        <v>941</v>
      </c>
      <c r="BH82" s="1255" t="s">
        <v>1332</v>
      </c>
      <c r="BJ82" s="1255" t="s">
        <v>1333</v>
      </c>
      <c r="BL82" s="1255" t="s">
        <v>1334</v>
      </c>
    </row>
    <row customHeight="1" ht="11.25">
      <c r="A83" s="1261" t="s">
        <v>1335</v>
      </c>
      <c r="BH83" s="1255" t="s">
        <v>1336</v>
      </c>
      <c r="BJ83" s="1255" t="s">
        <v>1337</v>
      </c>
      <c r="BL83" s="1255" t="s">
        <v>1338</v>
      </c>
    </row>
    <row customHeight="1" ht="11.25">
      <c r="A84" s="1261" t="s">
        <v>1339</v>
      </c>
      <c r="AZ84" s="1254" t="s">
        <v>1340</v>
      </c>
    </row>
    <row customHeight="1" ht="11.25">
      <c r="A85" s="1261" t="s">
        <v>1341</v>
      </c>
      <c r="AZ85" s="1308" t="s">
        <v>1342</v>
      </c>
    </row>
    <row customHeight="1" ht="11.25">
      <c r="A86" s="1261" t="s">
        <v>1343</v>
      </c>
      <c r="AZ86" s="1308" t="s">
        <v>1344</v>
      </c>
      <c r="BH86" s="1254" t="s">
        <v>1345</v>
      </c>
      <c r="BJ86" s="1254" t="s">
        <v>1346</v>
      </c>
      <c r="BL86" s="1254" t="s">
        <v>1347</v>
      </c>
    </row>
    <row customHeight="1" ht="11.25">
      <c r="A87" s="1261" t="s">
        <v>1348</v>
      </c>
      <c r="AZ87" s="1308" t="s">
        <v>1349</v>
      </c>
      <c r="BH87" s="1255" t="s">
        <v>1350</v>
      </c>
      <c r="BJ87" s="1255" t="s">
        <v>1351</v>
      </c>
      <c r="BL87" s="1255" t="s">
        <v>1352</v>
      </c>
    </row>
    <row customHeight="1" ht="11.25">
      <c r="AZ88" s="1846"/>
      <c r="BH88" s="1255" t="s">
        <v>1353</v>
      </c>
      <c r="BJ88" s="1255" t="s">
        <v>1354</v>
      </c>
      <c r="BL88" s="1255" t="s">
        <v>1355</v>
      </c>
    </row>
    <row customHeight="1" ht="11.25">
      <c r="AZ89" s="1254" t="s">
        <v>1356</v>
      </c>
    </row>
    <row customHeight="1" ht="11.25">
      <c r="AZ90" s="1308" t="s">
        <v>1227</v>
      </c>
    </row>
    <row customHeight="1" ht="11.25">
      <c r="AZ91" s="1308" t="s">
        <v>1357</v>
      </c>
      <c r="BH91" s="1254" t="s">
        <v>1358</v>
      </c>
      <c r="BJ91" s="1254" t="s">
        <v>1359</v>
      </c>
      <c r="BL91" s="1254" t="s">
        <v>1360</v>
      </c>
    </row>
    <row customHeight="1" ht="11.25">
      <c r="AZ92" s="1308" t="s">
        <v>1361</v>
      </c>
      <c r="BH92" s="1255" t="s">
        <v>1362</v>
      </c>
      <c r="BJ92" s="1255" t="s">
        <v>1363</v>
      </c>
      <c r="BL92" s="1255" t="s">
        <v>1364</v>
      </c>
    </row>
    <row customHeight="1" ht="11.25">
      <c r="AZ93" s="1308" t="s">
        <v>1365</v>
      </c>
      <c r="BH93" s="1255" t="s">
        <v>1366</v>
      </c>
      <c r="BJ93" s="1255" t="s">
        <v>1367</v>
      </c>
      <c r="BL93" s="1255" t="s">
        <v>1368</v>
      </c>
    </row>
    <row customHeight="1" ht="11.25">
      <c r="AZ94" s="1308" t="s">
        <v>1369</v>
      </c>
    </row>
    <row r="96" customHeight="1" ht="11.25">
      <c r="BH96" s="1254" t="s">
        <v>1370</v>
      </c>
      <c r="BJ96" s="1254" t="s">
        <v>1371</v>
      </c>
      <c r="BL96" s="1254" t="s">
        <v>1372</v>
      </c>
      <c r="BN96" s="1254" t="s">
        <v>1373</v>
      </c>
    </row>
    <row customHeight="1" ht="11.25">
      <c r="BH97" s="1255" t="s">
        <v>1374</v>
      </c>
      <c r="BJ97" s="1255" t="s">
        <v>1375</v>
      </c>
      <c r="BL97" s="1255" t="s">
        <v>1376</v>
      </c>
      <c r="BN97" s="1255" t="s">
        <v>1377</v>
      </c>
    </row>
    <row customHeight="1" ht="11.25">
      <c r="BH98" s="1255" t="s">
        <v>1378</v>
      </c>
      <c r="BJ98" s="1255" t="s">
        <v>1379</v>
      </c>
      <c r="BL98" s="1255" t="s">
        <v>1380</v>
      </c>
      <c r="BN98" s="1255" t="s">
        <v>1381</v>
      </c>
    </row>
    <row customHeight="1" ht="11.25">
      <c r="BH99" s="1255" t="s">
        <v>1382</v>
      </c>
      <c r="BJ99" s="1255" t="s">
        <v>1383</v>
      </c>
      <c r="BL99" s="1255" t="s">
        <v>1384</v>
      </c>
      <c r="BN99" s="1255" t="s">
        <v>1385</v>
      </c>
    </row>
    <row customHeight="1" ht="11.25">
      <c r="BJ100" s="1255" t="s">
        <v>987</v>
      </c>
      <c r="BL100" s="1255" t="s">
        <v>987</v>
      </c>
      <c r="BN100" s="1255" t="s">
        <v>1386</v>
      </c>
    </row>
    <row customHeight="1" ht="11.25">
      <c r="BN101" s="1255" t="s">
        <v>1387</v>
      </c>
    </row>
    <row customHeight="1" ht="11.25">
      <c r="BN102" s="1255" t="s">
        <v>1388</v>
      </c>
    </row>
    <row customHeight="1" ht="11.25">
      <c r="BN103" s="1255" t="s">
        <v>1389</v>
      </c>
    </row>
    <row customHeight="1" ht="11.25">
      <c r="BN104" s="1255" t="s">
        <v>1390</v>
      </c>
    </row>
    <row r="107" customHeight="1" ht="11.25">
      <c r="BH107" s="1254" t="s">
        <v>1391</v>
      </c>
      <c r="BJ107" s="1254" t="s">
        <v>1392</v>
      </c>
      <c r="BL107" s="1254" t="s">
        <v>1393</v>
      </c>
      <c r="BN107" s="1254" t="s">
        <v>1394</v>
      </c>
    </row>
    <row customHeight="1" ht="11.25">
      <c r="BH108" s="1255" t="s">
        <v>1395</v>
      </c>
      <c r="BJ108" s="1255" t="s">
        <v>1396</v>
      </c>
      <c r="BL108" s="1255" t="s">
        <v>1397</v>
      </c>
      <c r="BN108" s="1255" t="s">
        <v>1398</v>
      </c>
    </row>
    <row customHeight="1" ht="11.25">
      <c r="BH109" s="1255" t="s">
        <v>1399</v>
      </c>
    </row>
    <row customHeight="1" ht="11.25">
      <c r="BH110" s="1255" t="s">
        <v>1399</v>
      </c>
    </row>
    <row r="114" customHeight="1" ht="11.25">
      <c r="BH114" s="1254" t="s">
        <v>1400</v>
      </c>
    </row>
    <row customHeight="1" ht="11.25">
      <c r="BH115" s="1255" t="s">
        <v>784</v>
      </c>
    </row>
    <row customHeight="1" ht="11.25">
      <c r="BH116" s="1255" t="s">
        <v>813</v>
      </c>
    </row>
    <row customHeight="1" ht="11.25">
      <c r="BH117" s="1255" t="s">
        <v>847</v>
      </c>
    </row>
    <row customHeight="1" ht="11.25">
      <c r="BH118" s="1255" t="s">
        <v>880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3BD46F-BC6C-98F3-2E42-A015269DFEFC}" mc:Ignorable="x14ac xr xr2 xr3">
  <sheetPr>
    <tabColor rgb="FFFFCC99"/>
  </sheetPr>
  <dimension ref="A1:HL203"/>
  <sheetViews>
    <sheetView topLeftCell="A1" showGridLines="0" zoomScale="85" workbookViewId="0">
      <selection activeCell="A1" sqref="A1"/>
    </sheetView>
  </sheetViews>
  <sheetFormatPr customHeight="1" defaultRowHeight="17.1"/>
  <cols>
    <col min="1" max="1" style="5366" width="26.57421875" customWidth="1"/>
    <col min="2" max="2" style="5366" width="10.00390625" customWidth="1"/>
    <col min="4" max="4" style="5366" width="11.140625" customWidth="1"/>
    <col min="5" max="5" style="5366" width="16.57421875" customWidth="1"/>
    <col min="6" max="6" style="5366" width="16.28125" customWidth="1"/>
    <col min="7" max="7" style="5366" width="19.140625" customWidth="1"/>
    <col min="8" max="11" style="5366" width="10.00390625" customWidth="1"/>
    <col min="12" max="12" style="5366" width="12.7109375" customWidth="1"/>
    <col min="13" max="13" style="5366" width="61.28125" customWidth="1"/>
    <col min="14" max="14" style="5366" width="10.00390625" customWidth="1"/>
    <col min="15" max="17" style="5366" width="23.7109375" customWidth="1"/>
    <col min="18" max="18" style="5366" width="11.7109375" customWidth="1"/>
    <col min="19" max="19" style="5366" width="8.57421875" customWidth="1"/>
    <col min="20" max="20" style="5366" width="11.7109375" customWidth="1"/>
    <col min="21" max="21" style="5366" width="8.57421875" customWidth="1"/>
    <col min="22" max="22" style="5366" width="4.7109375" customWidth="1"/>
    <col min="23" max="23" style="5366" width="115.7109375" customWidth="1"/>
    <col min="24" max="24" style="5366" width="115.28125" customWidth="1"/>
    <col min="28" max="28" style="5366" width="115.7109375" customWidth="1"/>
    <col min="30" max="90" style="5366" width="115.7109375" customWidth="1"/>
  </cols>
  <sheetData>
    <row s="6050" customFormat="1" customHeight="1" ht="17.25"/>
    <row s="6051" customFormat="1" customHeight="1" ht="17.25">
      <c r="A2" s="211" t="s">
        <v>1401</v>
      </c>
    </row>
    <row s="6050" customFormat="1" customHeight="1" ht="17.25"/>
    <row s="6053" customFormat="1" customHeight="1" ht="15">
      <c r="C4" s="269"/>
      <c r="D4" s="245"/>
      <c r="E4" s="532"/>
    </row>
    <row r="6" s="6051" customFormat="1" customHeight="1" ht="17.25">
      <c r="A6" s="211" t="s">
        <v>1402</v>
      </c>
    </row>
    <row r="8" s="6053" customFormat="1" customHeight="1" ht="17.25">
      <c r="C8" s="220"/>
      <c r="D8" s="245"/>
      <c r="E8" s="246"/>
    </row>
    <row r="10" s="6050" customFormat="1" customHeight="1" ht="17.25"/>
    <row s="6051" customFormat="1" customHeight="1" ht="17.25">
      <c r="A11" s="211" t="s">
        <v>1403</v>
      </c>
    </row>
    <row s="6050" customFormat="1" customHeight="1" ht="17.25"/>
    <row s="5328" customFormat="1" customHeight="1" ht="14.25">
      <c r="A13" s="2197">
        <v>1</v>
      </c>
      <c r="B13" s="580"/>
      <c r="C13" s="968" t="s">
        <v>103</v>
      </c>
      <c r="D13" s="947"/>
      <c r="E13" s="354">
        <f>A13</f>
        <v>1</v>
      </c>
      <c r="F13" s="973"/>
      <c r="G13" s="704" t="str">
        <f>"Территория "&amp;E13</f>
        <v>Территория 1</v>
      </c>
      <c r="H13" s="959"/>
      <c r="I13" s="959"/>
      <c r="J13" s="956"/>
      <c r="K13" s="664"/>
      <c r="L13" s="664"/>
      <c r="M13" s="664"/>
      <c r="N13" s="361"/>
      <c r="O13" s="664"/>
      <c r="P13" s="360"/>
      <c r="Q13" s="360"/>
      <c r="R13" s="360"/>
      <c r="S13" s="360"/>
    </row>
    <row s="5337" customFormat="1" customHeight="1" ht="15">
      <c r="A14" s="2197"/>
      <c r="B14" s="580">
        <v>1</v>
      </c>
      <c r="C14" s="580"/>
      <c r="D14" s="967" t="s">
        <v>103</v>
      </c>
      <c r="E14" s="965" t="str">
        <f>A13&amp;"."&amp;B14</f>
        <v>1.1</v>
      </c>
      <c r="F14" s="970">
        <f>$F$16</f>
        <v>0</v>
      </c>
      <c r="G14" s="960"/>
      <c r="H14" s="960"/>
      <c r="I14" s="958"/>
      <c r="J14" s="664">
        <f>MERGEVALUE(G14)</f>
      </c>
      <c r="K14" s="675"/>
      <c r="L14" s="675"/>
      <c r="M14" s="664" t="str">
        <f t="array" ref="M14:M14">IF(ISERROR(MATCH(MID(N14,1,250),MID(note_ter,1,250),0)),"n","y")</f>
        <v>n</v>
      </c>
      <c r="N14" s="675"/>
      <c r="O14" s="664" t="str">
        <f>H14&amp;"("&amp;I14&amp;")"</f>
        <v>()</v>
      </c>
      <c r="P14" s="580"/>
      <c r="Q14" s="580"/>
      <c r="R14" s="583"/>
      <c r="S14" s="580"/>
      <c r="T14" s="580"/>
      <c r="U14" s="580"/>
      <c r="V14" s="585"/>
      <c r="W14" s="585"/>
      <c r="X14" s="582"/>
      <c r="Y14" s="582"/>
      <c r="Z14" s="582"/>
      <c r="AA14" s="582"/>
      <c r="AB14" s="582"/>
      <c r="AC14" s="582"/>
      <c r="AD14" s="582"/>
      <c r="AE14" s="582"/>
      <c r="AF14" s="582"/>
      <c r="AG14" s="582"/>
      <c r="AH14" s="582"/>
      <c r="AI14" s="582"/>
      <c r="AJ14" s="582"/>
      <c r="AK14" s="582"/>
      <c r="AL14" s="582"/>
      <c r="AM14" s="582"/>
      <c r="AN14" s="582"/>
      <c r="AO14" s="582"/>
      <c r="AP14" s="582"/>
      <c r="AQ14" s="582"/>
      <c r="AR14" s="582"/>
      <c r="AS14" s="582"/>
      <c r="AT14" s="582"/>
      <c r="AU14" s="582"/>
      <c r="AV14" s="582"/>
      <c r="AW14" s="582"/>
      <c r="AX14" s="582"/>
      <c r="AY14" s="582"/>
      <c r="AZ14" s="582"/>
      <c r="BA14" s="582"/>
      <c r="BB14" s="582"/>
      <c r="BC14" s="582"/>
      <c r="BD14" s="582"/>
      <c r="BE14" s="582"/>
      <c r="BF14" s="582"/>
      <c r="BG14" s="582"/>
      <c r="BH14" s="582"/>
      <c r="BI14" s="582"/>
      <c r="BJ14" s="582"/>
      <c r="BK14" s="582"/>
      <c r="BL14" s="582"/>
      <c r="BM14" s="582"/>
      <c r="BN14" s="582"/>
      <c r="BO14" s="582"/>
      <c r="BP14" s="582"/>
      <c r="BQ14" s="582"/>
      <c r="BR14" s="582"/>
      <c r="BS14" s="585"/>
      <c r="BT14" s="585"/>
      <c r="BU14" s="585"/>
      <c r="BV14" s="585"/>
      <c r="BW14" s="585"/>
      <c r="BX14" s="585"/>
      <c r="BY14" s="585"/>
      <c r="BZ14" s="585"/>
      <c r="CA14" s="585"/>
      <c r="CB14" s="585"/>
    </row>
    <row s="5337" customFormat="1" customHeight="1" ht="15">
      <c r="A15" s="2197"/>
      <c r="B15" s="580"/>
      <c r="C15" s="575"/>
      <c r="D15" s="968"/>
      <c r="E15" s="584"/>
      <c r="F15" s="312"/>
      <c r="G15" s="578" t="s">
        <v>111</v>
      </c>
      <c r="H15" s="971"/>
      <c r="I15" s="972"/>
      <c r="J15" s="675"/>
      <c r="K15" s="675"/>
      <c r="L15" s="675"/>
      <c r="M15" s="675"/>
      <c r="N15" s="664"/>
      <c r="O15" s="675"/>
      <c r="P15" s="580"/>
      <c r="Q15" s="580"/>
      <c r="R15" s="583"/>
      <c r="S15" s="580"/>
      <c r="T15" s="580"/>
      <c r="U15" s="580"/>
      <c r="V15" s="585"/>
      <c r="W15" s="585"/>
      <c r="X15" s="582"/>
      <c r="Y15" s="582"/>
      <c r="Z15" s="582"/>
      <c r="AA15" s="582"/>
      <c r="AB15" s="582"/>
      <c r="AC15" s="582"/>
      <c r="AD15" s="582"/>
      <c r="AE15" s="582"/>
      <c r="AF15" s="582"/>
      <c r="AG15" s="582"/>
      <c r="AH15" s="582"/>
      <c r="AI15" s="582"/>
      <c r="AJ15" s="582"/>
      <c r="AK15" s="582"/>
      <c r="AL15" s="582"/>
      <c r="AM15" s="582"/>
      <c r="AN15" s="582"/>
      <c r="AO15" s="582"/>
      <c r="AP15" s="582"/>
      <c r="AQ15" s="582"/>
      <c r="AR15" s="582"/>
      <c r="AS15" s="582"/>
      <c r="AT15" s="582"/>
      <c r="AU15" s="582"/>
      <c r="AV15" s="582"/>
      <c r="AW15" s="582"/>
      <c r="AX15" s="582"/>
      <c r="AY15" s="582"/>
      <c r="AZ15" s="582"/>
      <c r="BA15" s="582"/>
      <c r="BB15" s="582"/>
      <c r="BC15" s="582"/>
      <c r="BD15" s="582"/>
      <c r="BE15" s="582"/>
      <c r="BF15" s="582"/>
      <c r="BG15" s="582"/>
      <c r="BH15" s="582"/>
      <c r="BI15" s="582"/>
      <c r="BJ15" s="582"/>
      <c r="BK15" s="582"/>
      <c r="BL15" s="582"/>
      <c r="BM15" s="582"/>
      <c r="BN15" s="582"/>
      <c r="BO15" s="582"/>
      <c r="BP15" s="582"/>
      <c r="BQ15" s="582"/>
      <c r="BR15" s="582"/>
      <c r="BS15" s="585"/>
      <c r="BT15" s="585"/>
      <c r="BU15" s="585"/>
      <c r="BV15" s="585"/>
      <c r="BW15" s="585"/>
      <c r="BX15" s="585"/>
      <c r="BY15" s="585"/>
      <c r="BZ15" s="585"/>
      <c r="CA15" s="585"/>
      <c r="CB15" s="585"/>
    </row>
    <row s="6050" customFormat="1" customHeight="1" ht="17.25"/>
    <row s="5661" customFormat="1" customHeight="1" ht="15">
      <c r="A17" s="211" t="s">
        <v>1404</v>
      </c>
      <c r="B17" s="211"/>
      <c r="C17" s="211"/>
      <c r="D17" s="211"/>
      <c r="E17" s="211"/>
      <c r="F17" s="211"/>
      <c r="G17" s="211"/>
      <c r="H17" s="211"/>
      <c r="I17" s="211"/>
      <c r="J17" s="211"/>
      <c r="K17" s="211"/>
      <c r="L17" s="211"/>
      <c r="M17" s="211"/>
      <c r="N17" s="211"/>
      <c r="O17" s="211"/>
      <c r="P17" s="211"/>
      <c r="Q17" s="211"/>
      <c r="R17" s="211"/>
      <c r="S17" s="211"/>
      <c r="T17" s="211"/>
      <c r="U17" s="318"/>
      <c r="V17" s="211"/>
      <c r="W17" s="211"/>
    </row>
    <row s="5661" customFormat="1" customHeight="1" ht="15">
      <c r="U18" s="319"/>
    </row>
    <row s="5408" customFormat="1" customHeight="1" ht="15">
      <c r="A19" s="430"/>
      <c r="B19" s="430"/>
      <c r="C19" s="1968" t="s">
        <v>103</v>
      </c>
      <c r="D19" s="2070" t="s">
        <v>118</v>
      </c>
      <c r="E19" s="2291"/>
      <c r="F19" s="2069" t="s">
        <v>56</v>
      </c>
      <c r="G19" s="2292"/>
      <c r="H19" s="2204">
        <v>1</v>
      </c>
      <c r="I19" s="2294" t="str">
        <f>IF(U19="","",INDEX(TERRITORY_MR_LIST,MATCH(U19,TERRITORY_LIST_ID,0)))</f>
        <v/>
      </c>
      <c r="J19" s="2069" t="s">
        <v>56</v>
      </c>
      <c r="K19" s="1004"/>
      <c r="L19" s="975" t="s">
        <v>118</v>
      </c>
      <c r="M19" s="767"/>
      <c r="N19" s="768"/>
      <c r="O19" s="768"/>
      <c r="P19" s="768"/>
      <c r="Q19" s="768"/>
      <c r="R19" s="768"/>
      <c r="S19" s="768"/>
      <c r="T19" s="768"/>
      <c r="U19" s="769"/>
      <c r="V19" s="768"/>
      <c r="W19" s="768"/>
      <c r="X19" s="759"/>
      <c r="Y19" s="759" t="s">
        <v>127</v>
      </c>
      <c r="Z19" s="759">
        <v>1705000</v>
      </c>
      <c r="AA19" s="759"/>
      <c r="AB19" s="759"/>
      <c r="AC19" s="759"/>
      <c r="AD19" s="759"/>
      <c r="AE19" s="759"/>
      <c r="AF19" s="759"/>
      <c r="AG19" s="759"/>
      <c r="AH19" s="759"/>
      <c r="AI19" s="759"/>
      <c r="AJ19" s="759"/>
      <c r="AK19" s="759"/>
      <c r="AL19" s="759"/>
    </row>
    <row s="5408" customFormat="1" customHeight="1" ht="15">
      <c r="A20" s="430"/>
      <c r="B20" s="430"/>
      <c r="C20" s="311"/>
      <c r="D20" s="2070"/>
      <c r="E20" s="2291"/>
      <c r="F20" s="2069"/>
      <c r="G20" s="2293"/>
      <c r="H20" s="2204"/>
      <c r="I20" s="2295"/>
      <c r="J20" s="2069"/>
      <c r="K20" s="584"/>
      <c r="L20" s="312"/>
      <c r="M20" s="771" t="s">
        <v>128</v>
      </c>
      <c r="N20" s="768"/>
      <c r="O20" s="768"/>
      <c r="P20" s="768"/>
      <c r="Q20" s="768"/>
      <c r="R20" s="768"/>
      <c r="S20" s="768"/>
      <c r="T20" s="768"/>
      <c r="U20" s="769"/>
      <c r="V20" s="768"/>
      <c r="W20" s="768"/>
      <c r="X20" s="759"/>
      <c r="Y20" s="759"/>
      <c r="Z20" s="759"/>
      <c r="AA20" s="759"/>
      <c r="AB20" s="759"/>
      <c r="AC20" s="759"/>
      <c r="AD20" s="759"/>
      <c r="AE20" s="759"/>
      <c r="AF20" s="759"/>
      <c r="AG20" s="759"/>
      <c r="AH20" s="759"/>
      <c r="AI20" s="759"/>
      <c r="AJ20" s="759"/>
      <c r="AK20" s="759"/>
      <c r="AL20" s="759"/>
    </row>
    <row s="5408" customFormat="1" customHeight="1" ht="15">
      <c r="A21" s="430"/>
      <c r="B21" s="430"/>
      <c r="C21" s="311"/>
      <c r="D21" s="2070"/>
      <c r="E21" s="2291"/>
      <c r="F21" s="2069"/>
      <c r="G21" s="584"/>
      <c r="H21" s="312"/>
      <c r="I21" s="744" t="s">
        <v>129</v>
      </c>
      <c r="J21" s="312"/>
      <c r="K21" s="312"/>
      <c r="L21" s="312"/>
      <c r="M21" s="772"/>
      <c r="N21" s="768"/>
      <c r="O21" s="768"/>
      <c r="P21" s="768"/>
      <c r="Q21" s="768"/>
      <c r="R21" s="768"/>
      <c r="S21" s="768"/>
      <c r="T21" s="768"/>
      <c r="U21" s="769"/>
      <c r="V21" s="768"/>
      <c r="W21" s="768"/>
      <c r="X21" s="759"/>
      <c r="Y21" s="759"/>
      <c r="Z21" s="759"/>
      <c r="AA21" s="759"/>
      <c r="AB21" s="759"/>
      <c r="AC21" s="759"/>
      <c r="AD21" s="759"/>
      <c r="AE21" s="759"/>
      <c r="AF21" s="759"/>
      <c r="AG21" s="759"/>
      <c r="AH21" s="759"/>
      <c r="AI21" s="759"/>
      <c r="AJ21" s="759"/>
      <c r="AK21" s="759"/>
      <c r="AL21" s="759"/>
    </row>
    <row s="5661" customFormat="1" customHeight="1" ht="15">
      <c r="U22" s="319"/>
    </row>
    <row s="5661" customFormat="1" customHeight="1" ht="15">
      <c r="A23" s="211" t="s">
        <v>1405</v>
      </c>
      <c r="B23" s="211"/>
      <c r="C23" s="211"/>
      <c r="D23" s="211"/>
      <c r="E23" s="211"/>
      <c r="F23" s="211"/>
      <c r="G23" s="211"/>
      <c r="H23" s="211"/>
      <c r="I23" s="211"/>
      <c r="J23" s="211"/>
      <c r="K23" s="211"/>
      <c r="L23" s="211"/>
      <c r="M23" s="211"/>
      <c r="N23" s="211"/>
      <c r="O23" s="211"/>
      <c r="P23" s="211"/>
      <c r="Q23" s="211"/>
      <c r="R23" s="211"/>
      <c r="S23" s="211"/>
      <c r="T23" s="211"/>
      <c r="U23" s="318"/>
      <c r="V23" s="211"/>
      <c r="W23" s="211"/>
    </row>
    <row s="5661" customFormat="1" customHeight="1" ht="15">
      <c r="U24" s="319"/>
    </row>
    <row s="5408" customFormat="1" customHeight="1" ht="15">
      <c r="A25" s="430"/>
      <c r="B25" s="430"/>
      <c r="C25" s="311"/>
      <c r="D25" s="1970"/>
      <c r="E25" s="1970"/>
      <c r="F25" s="1970"/>
      <c r="G25" s="2296" t="s">
        <v>103</v>
      </c>
      <c r="H25" s="2065">
        <v>1</v>
      </c>
      <c r="I25" s="2297" t="str">
        <f>IF(U25="","",INDEX(TERRITORY_MR_LIST,MATCH(U25,TERRITORY_LIST_ID,0)))</f>
        <v/>
      </c>
      <c r="J25" s="2069" t="s">
        <v>56</v>
      </c>
      <c r="K25" s="1004"/>
      <c r="L25" s="975" t="s">
        <v>118</v>
      </c>
      <c r="M25" s="767"/>
      <c r="N25" s="768"/>
      <c r="O25" s="768"/>
      <c r="P25" s="768"/>
      <c r="Q25" s="768"/>
      <c r="R25" s="768"/>
      <c r="S25" s="768"/>
      <c r="T25" s="768"/>
      <c r="U25" s="769"/>
      <c r="V25" s="768"/>
      <c r="W25" s="768"/>
      <c r="X25" s="759"/>
      <c r="Y25" s="759" t="s">
        <v>127</v>
      </c>
      <c r="Z25" s="759">
        <v>1705000</v>
      </c>
      <c r="AA25" s="759"/>
      <c r="AB25" s="759"/>
      <c r="AC25" s="759"/>
      <c r="AD25" s="759"/>
      <c r="AE25" s="759"/>
      <c r="AF25" s="759"/>
      <c r="AG25" s="759"/>
      <c r="AH25" s="759"/>
      <c r="AI25" s="759"/>
      <c r="AJ25" s="759"/>
      <c r="AK25" s="759"/>
      <c r="AL25" s="759"/>
    </row>
    <row s="5408" customFormat="1" customHeight="1" ht="15">
      <c r="A26" s="430"/>
      <c r="B26" s="430"/>
      <c r="C26" s="311"/>
      <c r="D26" s="1970"/>
      <c r="E26" s="1970"/>
      <c r="F26" s="1970"/>
      <c r="G26" s="2296"/>
      <c r="H26" s="2065"/>
      <c r="I26" s="2297"/>
      <c r="J26" s="2069"/>
      <c r="K26" s="584"/>
      <c r="L26" s="312"/>
      <c r="M26" s="771" t="s">
        <v>128</v>
      </c>
      <c r="N26" s="768"/>
      <c r="O26" s="768"/>
      <c r="P26" s="768"/>
      <c r="Q26" s="768"/>
      <c r="R26" s="768"/>
      <c r="S26" s="768"/>
      <c r="T26" s="768"/>
      <c r="U26" s="769"/>
      <c r="V26" s="768"/>
      <c r="W26" s="768"/>
      <c r="X26" s="759"/>
      <c r="Y26" s="759"/>
      <c r="Z26" s="759"/>
      <c r="AA26" s="759"/>
      <c r="AB26" s="759"/>
      <c r="AC26" s="759"/>
      <c r="AD26" s="759"/>
      <c r="AE26" s="759"/>
      <c r="AF26" s="759"/>
      <c r="AG26" s="759"/>
      <c r="AH26" s="759"/>
      <c r="AI26" s="759"/>
      <c r="AJ26" s="759"/>
      <c r="AK26" s="759"/>
      <c r="AL26" s="759"/>
    </row>
    <row s="5661" customFormat="1" customHeight="1" ht="15">
      <c r="U27" s="319"/>
    </row>
    <row s="5661" customFormat="1" customHeight="1" ht="15">
      <c r="A28" s="211" t="s">
        <v>1406</v>
      </c>
      <c r="B28" s="211"/>
      <c r="C28" s="211"/>
      <c r="D28" s="211"/>
      <c r="E28" s="211"/>
      <c r="F28" s="211"/>
      <c r="G28" s="211"/>
      <c r="H28" s="211"/>
      <c r="I28" s="211"/>
      <c r="J28" s="211"/>
      <c r="K28" s="211"/>
      <c r="L28" s="211"/>
      <c r="M28" s="211"/>
      <c r="N28" s="211"/>
      <c r="O28" s="211"/>
      <c r="P28" s="211"/>
      <c r="Q28" s="211"/>
      <c r="R28" s="211"/>
      <c r="S28" s="211"/>
      <c r="T28" s="211"/>
      <c r="U28" s="318"/>
      <c r="V28" s="211"/>
      <c r="W28" s="211"/>
    </row>
    <row s="5661" customFormat="1" customHeight="1" ht="15">
      <c r="U29" s="319"/>
    </row>
    <row s="5408" customFormat="1" customHeight="1" ht="15">
      <c r="A30" s="430"/>
      <c r="B30" s="430"/>
      <c r="C30" s="311"/>
      <c r="D30" s="1970"/>
      <c r="E30" s="1970"/>
      <c r="F30" s="1970"/>
      <c r="G30" s="1970"/>
      <c r="H30" s="1970"/>
      <c r="I30" s="1970"/>
      <c r="J30" s="1970"/>
      <c r="K30" s="1971" t="s">
        <v>103</v>
      </c>
      <c r="L30" s="1969" t="s">
        <v>118</v>
      </c>
      <c r="M30" s="981"/>
      <c r="N30" s="982"/>
      <c r="O30" s="768"/>
      <c r="P30" s="768"/>
      <c r="Q30" s="768"/>
      <c r="R30" s="768"/>
      <c r="S30" s="768"/>
      <c r="T30" s="768"/>
      <c r="U30" s="769"/>
      <c r="V30" s="768"/>
      <c r="W30" s="768"/>
      <c r="X30" s="759"/>
      <c r="Y30" s="759" t="s">
        <v>127</v>
      </c>
      <c r="Z30" s="759">
        <v>1705000</v>
      </c>
      <c r="AA30" s="759"/>
      <c r="AB30" s="759"/>
      <c r="AC30" s="759"/>
      <c r="AD30" s="759"/>
      <c r="AE30" s="759"/>
      <c r="AF30" s="759"/>
      <c r="AG30" s="759"/>
      <c r="AH30" s="759"/>
      <c r="AI30" s="759"/>
      <c r="AJ30" s="759"/>
      <c r="AK30" s="759"/>
      <c r="AL30" s="759"/>
    </row>
    <row s="5661" customFormat="1" customHeight="1" ht="15">
      <c r="U31" s="319"/>
    </row>
    <row s="5661" customFormat="1" customHeight="1" ht="15">
      <c r="U32" s="319"/>
    </row>
    <row s="6051" customFormat="1" customHeight="1" ht="11.25">
      <c r="A33" s="211" t="s">
        <v>1407</v>
      </c>
    </row>
    <row s="6050" customFormat="1" customHeight="1" ht="11.25"/>
    <row s="5749" customFormat="1" customHeight="1" ht="22.5">
      <c r="A35" s="1031"/>
      <c r="B35" s="621"/>
      <c r="C35" s="1032"/>
      <c r="D35" s="604"/>
      <c r="E35" s="1033"/>
      <c r="F35" s="1034"/>
      <c r="G35" s="992"/>
      <c r="H35" s="639"/>
    </row>
    <row s="6050" customFormat="1" customHeight="1" ht="11.25"/>
    <row s="6051" customFormat="1" customHeight="1" ht="11.25">
      <c r="A37" s="211" t="s">
        <v>1408</v>
      </c>
    </row>
    <row s="6050" customFormat="1" customHeight="1" ht="11.25"/>
    <row s="5749" customFormat="1" customHeight="1" ht="22.5">
      <c r="A39" s="621"/>
      <c r="B39" s="621"/>
      <c r="C39" s="621"/>
      <c r="D39" s="604"/>
      <c r="E39" s="1033"/>
      <c r="F39" s="1035"/>
      <c r="G39" s="992"/>
      <c r="H39" s="639"/>
    </row>
    <row s="6050" customFormat="1" customHeight="1" ht="17.25"/>
    <row s="6050" customFormat="1" customHeight="1" ht="17.25"/>
    <row s="6051" customFormat="1" customHeight="1" ht="17.25">
      <c r="A42" s="211" t="s">
        <v>1409</v>
      </c>
    </row>
    <row s="6050" customFormat="1" customHeight="1" ht="17.25"/>
    <row s="5763" customFormat="1" customHeight="1" ht="18.75">
      <c r="A44" s="525"/>
      <c r="B44" s="668"/>
      <c r="C44" s="668"/>
      <c r="D44" s="1040"/>
      <c r="E44" s="999"/>
      <c r="F44" s="1042">
        <v>13</v>
      </c>
      <c r="G44" s="1041"/>
      <c r="H44" s="960"/>
      <c r="I44" s="958"/>
      <c r="J44" s="684" t="s">
        <v>66</v>
      </c>
      <c r="K44" s="1349" t="s">
        <v>17</v>
      </c>
      <c r="L44" s="525"/>
      <c r="M44" s="675"/>
      <c r="N44" s="675"/>
      <c r="O44" s="675"/>
      <c r="P44" s="680" t="s">
        <v>394</v>
      </c>
      <c r="Q44" s="680" t="s">
        <v>395</v>
      </c>
      <c r="R44" s="681" t="s">
        <v>396</v>
      </c>
      <c r="S44" s="675" t="s">
        <v>397</v>
      </c>
      <c r="T44" s="675"/>
      <c r="U44" s="675"/>
      <c r="V44" s="675"/>
    </row>
    <row s="6050" customFormat="1" customHeight="1" ht="17.25"/>
    <row s="6051" customFormat="1" customHeight="1" ht="11.25">
      <c r="A46" s="211" t="s">
        <v>1410</v>
      </c>
    </row>
    <row s="6050" customFormat="1" customHeight="1" ht="17.25"/>
    <row s="5367" customFormat="1" customHeight="1" ht="14.25">
      <c r="C48" s="993"/>
      <c r="D48" s="598"/>
      <c r="E48" s="1056"/>
      <c r="F48" s="1028"/>
      <c r="G48" s="1029"/>
      <c r="H48" s="597"/>
      <c r="I48" s="597"/>
      <c r="J48" s="597"/>
      <c r="K48" s="596"/>
      <c r="L48" s="595"/>
      <c r="M48" s="596"/>
      <c r="N48" s="597"/>
      <c r="O48" s="596"/>
      <c r="P48" s="597"/>
      <c r="Q48" s="596"/>
      <c r="R48" s="597"/>
      <c r="S48" s="1027"/>
      <c r="T48" s="597"/>
      <c r="U48" s="597"/>
      <c r="V48" s="597"/>
      <c r="W48" s="998"/>
      <c r="X48" s="597"/>
      <c r="Y48" s="597"/>
      <c r="Z48" s="597"/>
      <c r="AA48" s="998"/>
      <c r="AB48" s="597"/>
      <c r="AC48" s="597"/>
      <c r="AD48" s="998"/>
      <c r="AE48" s="525"/>
      <c r="AF48" s="525"/>
      <c r="AG48" s="525"/>
      <c r="AH48" s="525"/>
      <c r="AJ48" s="675"/>
      <c r="AK48" s="675"/>
      <c r="AL48" s="675"/>
      <c r="AM48" s="675"/>
      <c r="AN48" s="675"/>
      <c r="AO48" s="675"/>
      <c r="AP48" s="664" t="s">
        <v>383</v>
      </c>
      <c r="AQ48" s="664" t="s">
        <v>383</v>
      </c>
      <c r="AR48" s="675"/>
      <c r="AS48" s="675"/>
    </row>
    <row s="6050" customFormat="1" customHeight="1" ht="17.25"/>
    <row s="6051" customFormat="1" customHeight="1" ht="11.25">
      <c r="A50" s="211" t="s">
        <v>1411</v>
      </c>
    </row>
    <row s="6050" customFormat="1" customHeight="1" ht="17.25"/>
    <row s="6089" customFormat="1" customHeight="1" ht="14.25">
      <c r="A52" s="278" t="s">
        <v>89</v>
      </c>
      <c r="B52" s="257" t="s">
        <v>17</v>
      </c>
      <c r="C52" s="258"/>
      <c r="D52" s="260"/>
      <c r="E52" s="539"/>
      <c r="F52" s="539"/>
      <c r="G52" s="1976"/>
      <c r="H52" s="540"/>
      <c r="I52" s="1009"/>
      <c r="K52" s="407"/>
      <c r="L52" s="408"/>
    </row>
    <row s="6050" customFormat="1" customHeight="1" ht="17.25"/>
    <row s="6051" customFormat="1" customHeight="1" ht="11.25">
      <c r="A54" s="211" t="s">
        <v>1412</v>
      </c>
    </row>
    <row s="6050" customFormat="1" customHeight="1" ht="17.25"/>
    <row s="5367" customFormat="1" customHeight="1" ht="14.25">
      <c r="A56" s="491"/>
      <c r="B56" s="580"/>
      <c r="C56" s="529"/>
      <c r="D56" s="1060"/>
      <c r="E56" s="3597"/>
      <c r="F56" s="540"/>
      <c r="G56" s="525"/>
      <c r="I56" s="664"/>
      <c r="J56" s="664"/>
    </row>
    <row s="6050" customFormat="1" customHeight="1" ht="17.25"/>
    <row s="6051" customFormat="1" customHeight="1" ht="11.25">
      <c r="A58" s="211" t="s">
        <v>1413</v>
      </c>
    </row>
    <row s="6050" customFormat="1" customHeight="1" ht="17.25"/>
    <row s="6104" customFormat="1" customHeight="1" ht="27">
      <c r="A60" s="1354"/>
      <c r="B60" s="1354"/>
      <c r="C60" s="1354"/>
      <c r="D60" s="1348"/>
      <c r="E60" s="1386"/>
      <c r="F60" s="2321"/>
      <c r="G60" s="2322"/>
      <c r="H60" s="2323" t="s">
        <v>66</v>
      </c>
      <c r="I60" s="2325"/>
      <c r="J60" s="2286"/>
      <c r="K60" s="2327"/>
      <c r="L60" s="2288"/>
      <c r="M60" s="2288"/>
      <c r="N60" s="2289"/>
      <c r="O60" s="2289"/>
      <c r="P60" s="2290">
        <f>DATEDIF(DATEVALUE(N60),DATEVALUE(O60),"y")&amp;"г. "&amp;DATEDIF(DATEVALUE(N60),DATEVALUE(O60),"ym")&amp;"мес. "&amp;DATEVALUE(O60)-DATE(YEAR(DATEVALUE(O60)),MONTH(DATEVALUE(O60)),1)&amp;"дн. "</f>
      </c>
      <c r="Q60" s="2285"/>
      <c r="R60" s="2285"/>
      <c r="S60" s="2285"/>
      <c r="T60" s="2286"/>
      <c r="U60" s="2285"/>
      <c r="V60" s="2285"/>
      <c r="W60" s="2285"/>
      <c r="X60" s="2286"/>
      <c r="Y60" s="2283" t="s">
        <v>66</v>
      </c>
      <c r="Z60" s="1384"/>
      <c r="AA60" s="1385">
        <v>1</v>
      </c>
      <c r="AB60" s="1447"/>
      <c r="AD60" s="675" t="s">
        <v>1414</v>
      </c>
    </row>
    <row s="6104" customFormat="1" customHeight="1" ht="10.5">
      <c r="A61" s="1354"/>
      <c r="B61" s="1354"/>
      <c r="C61" s="1354"/>
      <c r="D61" s="1348"/>
      <c r="E61" s="1130"/>
      <c r="F61" s="2321"/>
      <c r="G61" s="2322"/>
      <c r="H61" s="2324"/>
      <c r="I61" s="2326"/>
      <c r="J61" s="2287"/>
      <c r="K61" s="2327"/>
      <c r="L61" s="2288"/>
      <c r="M61" s="2288"/>
      <c r="N61" s="2289"/>
      <c r="O61" s="2289"/>
      <c r="P61" s="2290"/>
      <c r="Q61" s="2285"/>
      <c r="R61" s="2285"/>
      <c r="S61" s="2285"/>
      <c r="T61" s="2287"/>
      <c r="U61" s="2285"/>
      <c r="V61" s="2285"/>
      <c r="W61" s="2285"/>
      <c r="X61" s="2287"/>
      <c r="Y61" s="2284"/>
      <c r="Z61" s="495"/>
      <c r="AA61" s="736"/>
      <c r="AB61" s="816" t="s">
        <v>1415</v>
      </c>
    </row>
    <row s="6050" customFormat="1" customHeight="1" ht="17.25"/>
    <row s="6051" customFormat="1" customHeight="1" ht="11.25">
      <c r="A63" s="211" t="s">
        <v>1416</v>
      </c>
    </row>
    <row s="6050" customFormat="1" customHeight="1" ht="17.25"/>
    <row s="6130" customFormat="1" customHeight="1" ht="27">
      <c r="A65" s="1354"/>
      <c r="B65" s="1354"/>
      <c r="C65" s="1354"/>
      <c r="D65" s="1348"/>
      <c r="E65" s="1984"/>
      <c r="F65" s="1991"/>
      <c r="G65" s="2004"/>
      <c r="H65" s="2005"/>
      <c r="I65" s="2006"/>
      <c r="J65" s="2007"/>
      <c r="K65" s="2008"/>
      <c r="L65" s="2009"/>
      <c r="M65" s="2009"/>
      <c r="N65" s="2010"/>
      <c r="O65" s="2010"/>
      <c r="P65" s="2011"/>
      <c r="Q65" s="2012"/>
      <c r="R65" s="2012"/>
      <c r="S65" s="2012"/>
      <c r="T65" s="2007"/>
      <c r="U65" s="2012"/>
      <c r="V65" s="2012"/>
      <c r="W65" s="2012"/>
      <c r="X65" s="2007"/>
      <c r="Y65" s="2005"/>
      <c r="Z65" s="1983"/>
      <c r="AA65" s="1982">
        <v>1</v>
      </c>
      <c r="AB65" s="1447"/>
      <c r="AD65" s="1876" t="s">
        <v>1414</v>
      </c>
    </row>
    <row s="6050" customFormat="1" customHeight="1" ht="17.25"/>
    <row s="6051" customFormat="1" customHeight="1" ht="11.25">
      <c r="A67" s="211" t="s">
        <v>1417</v>
      </c>
    </row>
    <row s="6050" customFormat="1" customHeight="1" ht="17.25"/>
    <row s="6104" customFormat="1" customHeight="1" ht="21">
      <c r="A69" s="1355"/>
      <c r="B69" s="1354"/>
      <c r="C69" s="1354"/>
      <c r="D69" s="1348"/>
      <c r="E69" s="1358"/>
      <c r="F69" s="1310">
        <f>INDEX(IP_MAIN_LIST_NAME_IP,MATCH(A69,IP_MAIN_LIST_IP_ID,0))&amp;" ("&amp;INDEX(IP_MAIN_START_DATE,MATCH(A69,IP_MAIN_LIST_IP_ID,0))&amp;"-"&amp;INDEX(IP_MAIN_END_DATE,MATCH(A69,IP_MAIN_LIST_IP_ID,0))&amp;")"</f>
      </c>
      <c r="G69" s="1311"/>
      <c r="H69" s="1311"/>
      <c r="I69" s="1377"/>
      <c r="J69" s="1377"/>
      <c r="K69" s="1378"/>
      <c r="L69" s="1378"/>
      <c r="M69" s="1378"/>
      <c r="N69" s="1379"/>
      <c r="O69" s="1379"/>
      <c r="P69" s="1379"/>
      <c r="Q69" s="1379"/>
      <c r="R69" s="1379"/>
      <c r="S69" s="1379"/>
      <c r="T69" s="1379"/>
      <c r="U69" s="1379"/>
      <c r="V69" s="1379"/>
      <c r="W69" s="1379"/>
      <c r="X69" s="1379"/>
      <c r="Y69" s="1379"/>
      <c r="Z69" s="1379"/>
      <c r="AA69" s="1379"/>
      <c r="AB69" s="1379"/>
      <c r="AC69" s="1379"/>
      <c r="AD69" s="1379"/>
      <c r="AE69" s="1380"/>
      <c r="AF69" s="1378"/>
      <c r="AG69" s="1378"/>
      <c r="AH69" s="1378"/>
      <c r="AI69" s="1378"/>
      <c r="AJ69" s="1378"/>
      <c r="AK69" s="1378"/>
      <c r="AL69" s="1359"/>
      <c r="AM69" s="1345"/>
      <c r="AN69" s="1345"/>
      <c r="AO69" s="1345"/>
      <c r="AP69" s="1345"/>
      <c r="AQ69" s="1345"/>
      <c r="AR69" s="1345"/>
      <c r="AS69" s="1345"/>
      <c r="AT69" s="1345"/>
      <c r="AU69" s="1345"/>
      <c r="AV69" s="1345"/>
      <c r="AW69" s="1345"/>
      <c r="AX69" s="1345"/>
      <c r="AY69" s="1345"/>
      <c r="AZ69" s="1345"/>
      <c r="BA69" s="1345"/>
      <c r="BB69" s="1345"/>
      <c r="BC69" s="1345"/>
      <c r="BD69" s="1345"/>
      <c r="BE69" s="1345"/>
      <c r="BF69" s="1345"/>
    </row>
    <row s="6104" customFormat="1" customHeight="1" ht="11.25">
      <c r="A70" s="1354"/>
      <c r="B70" s="1354"/>
      <c r="C70" s="1354"/>
      <c r="D70" s="1348"/>
      <c r="E70" s="1358"/>
      <c r="F70" s="2281"/>
      <c r="G70" s="2258"/>
      <c r="H70" s="2258" t="s">
        <v>118</v>
      </c>
      <c r="I70" s="2259"/>
      <c r="J70" s="2260"/>
      <c r="K70" s="2261"/>
      <c r="L70" s="2250" t="s">
        <v>56</v>
      </c>
      <c r="M70" s="2262"/>
      <c r="N70" s="1367"/>
      <c r="O70" s="1366" t="s">
        <v>378</v>
      </c>
      <c r="P70" s="1367"/>
      <c r="Q70" s="1367"/>
      <c r="R70" s="1367"/>
      <c r="S70" s="1367"/>
      <c r="T70" s="1367"/>
      <c r="U70" s="1367"/>
      <c r="V70" s="1367"/>
      <c r="W70" s="1367"/>
      <c r="X70" s="1367"/>
      <c r="Y70" s="1367"/>
      <c r="Z70" s="1367"/>
      <c r="AA70" s="1367"/>
      <c r="AB70" s="1367"/>
      <c r="AC70" s="1367"/>
      <c r="AD70" s="1367"/>
      <c r="AE70" s="1367"/>
      <c r="AF70" s="2249"/>
      <c r="AG70" s="2250"/>
      <c r="AH70" s="2250"/>
      <c r="AI70" s="2249"/>
      <c r="AJ70" s="2250"/>
      <c r="AK70" s="2250"/>
      <c r="AL70" s="1361"/>
      <c r="AM70" s="1345"/>
      <c r="AN70" s="1345"/>
      <c r="AO70" s="1345"/>
      <c r="AP70" s="1345"/>
      <c r="AQ70" s="1345"/>
      <c r="AR70" s="1345"/>
      <c r="AS70" s="1345"/>
      <c r="AT70" s="1345"/>
      <c r="AU70" s="1345"/>
      <c r="AV70" s="1345"/>
      <c r="AW70" s="1345"/>
      <c r="AX70" s="1345"/>
      <c r="AY70" s="1345"/>
      <c r="AZ70" s="1345"/>
      <c r="BA70" s="1345"/>
      <c r="BB70" s="1345"/>
      <c r="BC70" s="1345"/>
      <c r="BD70" s="1345"/>
      <c r="BE70" s="1345"/>
      <c r="BF70" s="1345"/>
    </row>
    <row s="6104" customFormat="1" customHeight="1" ht="11.25">
      <c r="A71" s="1354"/>
      <c r="B71" s="1354"/>
      <c r="C71" s="1354"/>
      <c r="D71" s="1348"/>
      <c r="E71" s="1358"/>
      <c r="F71" s="2281"/>
      <c r="G71" s="2258"/>
      <c r="H71" s="2258"/>
      <c r="I71" s="2259"/>
      <c r="J71" s="2260"/>
      <c r="K71" s="2261"/>
      <c r="L71" s="2250"/>
      <c r="M71" s="2262"/>
      <c r="N71" s="2251"/>
      <c r="O71" s="2252">
        <v>1</v>
      </c>
      <c r="P71" s="3660" t="s">
        <v>56</v>
      </c>
      <c r="Q71" s="3661" t="s">
        <v>17</v>
      </c>
      <c r="R71" s="3661" t="s">
        <v>17</v>
      </c>
      <c r="S71" s="3661" t="s">
        <v>17</v>
      </c>
      <c r="T71" s="3661" t="s">
        <v>17</v>
      </c>
      <c r="U71" s="3661" t="s">
        <v>17</v>
      </c>
      <c r="V71" s="3661" t="s">
        <v>17</v>
      </c>
      <c r="W71" s="3661" t="s">
        <v>17</v>
      </c>
      <c r="X71" s="3661" t="s">
        <v>17</v>
      </c>
      <c r="Y71" s="3661"/>
      <c r="Z71" s="1364"/>
      <c r="AA71" s="1365"/>
      <c r="AB71" s="1365"/>
      <c r="AC71" s="3664"/>
      <c r="AD71" s="3664"/>
      <c r="AE71" s="3665"/>
      <c r="AF71" s="2249"/>
      <c r="AG71" s="2250"/>
      <c r="AH71" s="2250"/>
      <c r="AI71" s="2249"/>
      <c r="AJ71" s="2250"/>
      <c r="AK71" s="2250"/>
      <c r="AL71" s="1361"/>
      <c r="AM71" s="1345"/>
      <c r="AN71" s="1345"/>
      <c r="AO71" s="1345"/>
      <c r="AP71" s="1345"/>
      <c r="AQ71" s="1345"/>
      <c r="AR71" s="1345"/>
      <c r="AS71" s="1345"/>
      <c r="AT71" s="1345"/>
      <c r="AU71" s="1345"/>
      <c r="AV71" s="1345"/>
      <c r="AW71" s="1345"/>
      <c r="AX71" s="1345"/>
      <c r="AY71" s="1345"/>
      <c r="AZ71" s="1345"/>
      <c r="BA71" s="1345"/>
      <c r="BB71" s="1345"/>
      <c r="BC71" s="1345"/>
      <c r="BD71" s="1345"/>
      <c r="BE71" s="1345"/>
      <c r="BF71" s="1345"/>
    </row>
    <row s="6104" customFormat="1" customHeight="1" ht="11.25">
      <c r="A72" s="1354"/>
      <c r="B72" s="1354"/>
      <c r="C72" s="1354"/>
      <c r="D72" s="1348"/>
      <c r="E72" s="1358"/>
      <c r="F72" s="2281"/>
      <c r="G72" s="2258"/>
      <c r="H72" s="2258"/>
      <c r="I72" s="2259"/>
      <c r="J72" s="2260"/>
      <c r="K72" s="2261"/>
      <c r="L72" s="2250"/>
      <c r="M72" s="2262"/>
      <c r="N72" s="2251"/>
      <c r="O72" s="2252"/>
      <c r="P72" s="3666"/>
      <c r="Q72" s="3661"/>
      <c r="R72" s="3661"/>
      <c r="S72" s="3667"/>
      <c r="T72" s="3661"/>
      <c r="U72" s="3661"/>
      <c r="V72" s="3661"/>
      <c r="W72" s="3661"/>
      <c r="X72" s="3661"/>
      <c r="Y72" s="3661"/>
      <c r="Z72" s="1368"/>
      <c r="AA72" s="1369">
        <v>1</v>
      </c>
      <c r="AB72" s="3670"/>
      <c r="AC72" s="1357"/>
      <c r="AD72" s="3670">
        <f>AB72</f>
        <v>0</v>
      </c>
      <c r="AE72" s="1357"/>
      <c r="AF72" s="2249"/>
      <c r="AG72" s="2250"/>
      <c r="AH72" s="2250"/>
      <c r="AI72" s="2249"/>
      <c r="AJ72" s="2250"/>
      <c r="AK72" s="2250"/>
      <c r="AL72" s="1361"/>
      <c r="AM72" s="1345"/>
      <c r="AN72" s="1345"/>
      <c r="AO72" s="1345"/>
      <c r="AP72" s="1345"/>
      <c r="AQ72" s="1345"/>
      <c r="AR72" s="1345"/>
      <c r="AS72" s="1345"/>
      <c r="AT72" s="1345"/>
      <c r="AU72" s="1345"/>
      <c r="AV72" s="1345"/>
      <c r="AW72" s="1345"/>
      <c r="AX72" s="1345"/>
      <c r="AY72" s="1345"/>
      <c r="AZ72" s="1345"/>
      <c r="BA72" s="1345"/>
      <c r="BB72" s="1345"/>
      <c r="BC72" s="1345"/>
      <c r="BD72" s="1345"/>
      <c r="BE72" s="1345"/>
      <c r="BF72" s="1345"/>
    </row>
    <row s="6104" customFormat="1" customHeight="1" ht="11.25">
      <c r="A73" s="1354"/>
      <c r="B73" s="1354"/>
      <c r="C73" s="1354"/>
      <c r="D73" s="1348"/>
      <c r="E73" s="1358"/>
      <c r="F73" s="2281"/>
      <c r="G73" s="2258"/>
      <c r="H73" s="2258"/>
      <c r="I73" s="2259"/>
      <c r="J73" s="2260"/>
      <c r="K73" s="2261"/>
      <c r="L73" s="2250"/>
      <c r="M73" s="2262"/>
      <c r="N73" s="2251"/>
      <c r="O73" s="2252"/>
      <c r="P73" s="3672"/>
      <c r="Q73" s="3661"/>
      <c r="R73" s="3661"/>
      <c r="S73" s="3667"/>
      <c r="T73" s="3661"/>
      <c r="U73" s="3661"/>
      <c r="V73" s="3661"/>
      <c r="W73" s="3661"/>
      <c r="X73" s="3661"/>
      <c r="Y73" s="3661"/>
      <c r="Z73" s="1364"/>
      <c r="AA73" s="1365"/>
      <c r="AB73" s="1446" t="s">
        <v>1418</v>
      </c>
      <c r="AC73" s="3664"/>
      <c r="AD73" s="3664"/>
      <c r="AE73" s="3674"/>
      <c r="AF73" s="2249"/>
      <c r="AG73" s="2250"/>
      <c r="AH73" s="2250"/>
      <c r="AI73" s="2249"/>
      <c r="AJ73" s="2250"/>
      <c r="AK73" s="2250"/>
      <c r="AL73" s="1361"/>
      <c r="AM73" s="1345"/>
      <c r="AN73" s="1345"/>
      <c r="AO73" s="1345"/>
      <c r="AP73" s="1345"/>
      <c r="AQ73" s="1345"/>
      <c r="AR73" s="1345"/>
      <c r="AS73" s="1345"/>
      <c r="AT73" s="1345"/>
      <c r="AU73" s="1345"/>
      <c r="AV73" s="1345"/>
      <c r="AW73" s="1345"/>
      <c r="AX73" s="1345"/>
      <c r="AY73" s="1345"/>
      <c r="AZ73" s="1345"/>
      <c r="BA73" s="1345"/>
      <c r="BB73" s="1345"/>
      <c r="BC73" s="1345"/>
      <c r="BD73" s="1345"/>
      <c r="BE73" s="1345"/>
      <c r="BF73" s="1345"/>
    </row>
    <row s="6104" customFormat="1" customHeight="1" ht="11.25">
      <c r="A74" s="1354"/>
      <c r="B74" s="1354"/>
      <c r="C74" s="1354"/>
      <c r="D74" s="1348"/>
      <c r="E74" s="1358"/>
      <c r="F74" s="2281"/>
      <c r="G74" s="2258"/>
      <c r="H74" s="2258"/>
      <c r="I74" s="2259"/>
      <c r="J74" s="2260"/>
      <c r="K74" s="2261"/>
      <c r="L74" s="2250"/>
      <c r="M74" s="2262"/>
      <c r="N74" s="1365"/>
      <c r="O74" s="1365"/>
      <c r="P74" s="1356" t="s">
        <v>1419</v>
      </c>
      <c r="Q74" s="1365"/>
      <c r="R74" s="1365"/>
      <c r="S74" s="1365"/>
      <c r="T74" s="1365"/>
      <c r="U74" s="1365"/>
      <c r="V74" s="1365"/>
      <c r="W74" s="1365"/>
      <c r="X74" s="1365"/>
      <c r="Y74" s="1365"/>
      <c r="Z74" s="1365"/>
      <c r="AA74" s="1365"/>
      <c r="AB74" s="1365"/>
      <c r="AC74" s="1365"/>
      <c r="AD74" s="1365"/>
      <c r="AE74" s="1374"/>
      <c r="AF74" s="2249"/>
      <c r="AG74" s="2250"/>
      <c r="AH74" s="2250"/>
      <c r="AI74" s="2249"/>
      <c r="AJ74" s="2250"/>
      <c r="AK74" s="2250"/>
      <c r="AL74" s="1361"/>
      <c r="AM74" s="1345"/>
      <c r="AN74" s="1345"/>
      <c r="AO74" s="1345"/>
      <c r="AP74" s="1345"/>
      <c r="AQ74" s="1345"/>
      <c r="AR74" s="1345"/>
      <c r="AS74" s="1345"/>
      <c r="AT74" s="1345"/>
      <c r="AU74" s="1345"/>
      <c r="AV74" s="1345"/>
      <c r="AW74" s="1345"/>
      <c r="AX74" s="1345"/>
      <c r="AY74" s="1345"/>
      <c r="AZ74" s="1345"/>
      <c r="BA74" s="1345"/>
      <c r="BB74" s="1345"/>
      <c r="BC74" s="1345"/>
      <c r="BD74" s="1345"/>
      <c r="BE74" s="1345"/>
      <c r="BF74" s="1345"/>
    </row>
    <row s="6104" customFormat="1" customHeight="1" ht="12">
      <c r="A75" s="1354"/>
      <c r="B75" s="1354"/>
      <c r="C75" s="1354"/>
      <c r="D75" s="1348"/>
      <c r="E75" s="1358"/>
      <c r="F75" s="2282"/>
      <c r="G75" s="1382"/>
      <c r="H75" s="1382"/>
      <c r="I75" s="2280" t="s">
        <v>1420</v>
      </c>
      <c r="J75" s="2280"/>
      <c r="K75" s="2280"/>
      <c r="L75" s="1362"/>
      <c r="M75" s="1362"/>
      <c r="N75" s="1363"/>
      <c r="O75" s="1363"/>
      <c r="P75" s="1363"/>
      <c r="Q75" s="1363"/>
      <c r="R75" s="1363"/>
      <c r="S75" s="1363"/>
      <c r="T75" s="1363"/>
      <c r="U75" s="1363"/>
      <c r="V75" s="1363"/>
      <c r="W75" s="1363"/>
      <c r="X75" s="1363"/>
      <c r="Y75" s="1363"/>
      <c r="Z75" s="1363"/>
      <c r="AA75" s="1363"/>
      <c r="AB75" s="1363"/>
      <c r="AC75" s="1363"/>
      <c r="AD75" s="1363"/>
      <c r="AE75" s="1363"/>
      <c r="AF75" s="1363"/>
      <c r="AG75" s="1362"/>
      <c r="AH75" s="1362"/>
      <c r="AI75" s="1363"/>
      <c r="AJ75" s="1362"/>
      <c r="AK75" s="1375"/>
      <c r="AL75" s="1361"/>
      <c r="AM75" s="1345"/>
      <c r="AN75" s="1345"/>
      <c r="AO75" s="1345"/>
      <c r="AP75" s="1345"/>
      <c r="AQ75" s="1345"/>
      <c r="AR75" s="1345"/>
      <c r="AS75" s="1345"/>
      <c r="AT75" s="1345"/>
      <c r="AU75" s="1345"/>
      <c r="AV75" s="1345"/>
      <c r="AW75" s="1345"/>
      <c r="AX75" s="1345"/>
      <c r="AY75" s="1345"/>
      <c r="AZ75" s="1345"/>
      <c r="BA75" s="1345"/>
      <c r="BB75" s="1345"/>
      <c r="BC75" s="1345"/>
      <c r="BD75" s="1345"/>
      <c r="BE75" s="1345"/>
      <c r="BF75" s="1345"/>
    </row>
    <row s="6050" customFormat="1" customHeight="1" ht="17.25"/>
    <row s="6051" customFormat="1" customHeight="1" ht="11.25">
      <c r="A77" s="211" t="s">
        <v>1421</v>
      </c>
    </row>
    <row s="6050" customFormat="1" customHeight="1" ht="17.25"/>
    <row s="6130" customFormat="1" customHeight="1" ht="11.25">
      <c r="A79" s="1354"/>
      <c r="B79" s="1354"/>
      <c r="C79" s="1354"/>
      <c r="D79" s="1348"/>
      <c r="E79" s="1358"/>
      <c r="F79" s="2036"/>
      <c r="G79" s="2013"/>
      <c r="H79" s="2013"/>
      <c r="I79" s="3685"/>
      <c r="J79" s="3685"/>
      <c r="K79" s="2021"/>
      <c r="L79" s="3685"/>
      <c r="M79" s="2013"/>
      <c r="N79" s="2320"/>
      <c r="O79" s="2252">
        <v>1</v>
      </c>
      <c r="P79" s="3660" t="s">
        <v>56</v>
      </c>
      <c r="Q79" s="3661" t="s">
        <v>17</v>
      </c>
      <c r="R79" s="3661" t="s">
        <v>17</v>
      </c>
      <c r="S79" s="3661" t="s">
        <v>17</v>
      </c>
      <c r="T79" s="3661" t="s">
        <v>17</v>
      </c>
      <c r="U79" s="3661" t="s">
        <v>17</v>
      </c>
      <c r="V79" s="3661" t="s">
        <v>17</v>
      </c>
      <c r="W79" s="3661" t="s">
        <v>17</v>
      </c>
      <c r="X79" s="3661" t="s">
        <v>17</v>
      </c>
      <c r="Y79" s="3661"/>
      <c r="Z79" s="1364"/>
      <c r="AA79" s="1365"/>
      <c r="AB79" s="1365"/>
      <c r="AC79" s="3664"/>
      <c r="AD79" s="3664"/>
      <c r="AE79" s="3664"/>
      <c r="AF79" s="2020"/>
      <c r="AG79" s="2023"/>
      <c r="AH79" s="2023"/>
      <c r="AI79" s="2020"/>
      <c r="AJ79" s="2023"/>
      <c r="AK79" s="2023"/>
      <c r="AL79" s="1361"/>
      <c r="AM79" s="1345"/>
      <c r="AN79" s="1345"/>
      <c r="AO79" s="1345"/>
      <c r="AP79" s="1345"/>
      <c r="AQ79" s="1345"/>
      <c r="AR79" s="1345"/>
      <c r="AS79" s="1345"/>
      <c r="AT79" s="1345"/>
      <c r="AU79" s="1345"/>
      <c r="AV79" s="1345"/>
      <c r="AW79" s="1345"/>
      <c r="AX79" s="1345"/>
      <c r="AY79" s="1345"/>
      <c r="AZ79" s="1345"/>
      <c r="BA79" s="1345"/>
      <c r="BB79" s="1345"/>
      <c r="BC79" s="1345"/>
      <c r="BD79" s="1345"/>
      <c r="BE79" s="1345"/>
      <c r="BF79" s="1345"/>
    </row>
    <row s="6130" customFormat="1" customHeight="1" ht="11.25">
      <c r="A80" s="1354"/>
      <c r="B80" s="1354"/>
      <c r="C80" s="1354"/>
      <c r="D80" s="1348"/>
      <c r="E80" s="1358"/>
      <c r="F80" s="2036"/>
      <c r="G80" s="2013"/>
      <c r="H80" s="2013"/>
      <c r="I80" s="3690"/>
      <c r="J80" s="3690"/>
      <c r="K80" s="2021"/>
      <c r="L80" s="3690"/>
      <c r="M80" s="2013"/>
      <c r="N80" s="2320"/>
      <c r="O80" s="2252"/>
      <c r="P80" s="3666"/>
      <c r="Q80" s="3661"/>
      <c r="R80" s="3661"/>
      <c r="S80" s="3667"/>
      <c r="T80" s="3661"/>
      <c r="U80" s="3661"/>
      <c r="V80" s="3661"/>
      <c r="W80" s="3661"/>
      <c r="X80" s="3661"/>
      <c r="Y80" s="3661"/>
      <c r="Z80" s="1368"/>
      <c r="AA80" s="2001">
        <v>1</v>
      </c>
      <c r="AB80" s="3670"/>
      <c r="AC80" s="1357"/>
      <c r="AD80" s="3670">
        <f>AB80</f>
        <v>0</v>
      </c>
      <c r="AE80" s="889"/>
      <c r="AF80" s="2021"/>
      <c r="AG80" s="2023"/>
      <c r="AH80" s="2023"/>
      <c r="AI80" s="2021"/>
      <c r="AJ80" s="2023"/>
      <c r="AK80" s="2023"/>
      <c r="AL80" s="1361"/>
      <c r="AM80" s="1345"/>
      <c r="AN80" s="1345"/>
      <c r="AO80" s="1345"/>
      <c r="AP80" s="1345"/>
      <c r="AQ80" s="1345"/>
      <c r="AR80" s="1345"/>
      <c r="AS80" s="1345"/>
      <c r="AT80" s="1345"/>
      <c r="AU80" s="1345"/>
      <c r="AV80" s="1345"/>
      <c r="AW80" s="1345"/>
      <c r="AX80" s="1345"/>
      <c r="AY80" s="1345"/>
      <c r="AZ80" s="1345"/>
      <c r="BA80" s="1345"/>
      <c r="BB80" s="1345"/>
      <c r="BC80" s="1345"/>
      <c r="BD80" s="1345"/>
      <c r="BE80" s="1345"/>
      <c r="BF80" s="1345"/>
    </row>
    <row s="6130" customFormat="1" customHeight="1" ht="11.25">
      <c r="A81" s="1354"/>
      <c r="B81" s="1354"/>
      <c r="C81" s="1354"/>
      <c r="D81" s="1348"/>
      <c r="E81" s="1358"/>
      <c r="F81" s="2036"/>
      <c r="G81" s="2013"/>
      <c r="H81" s="2013"/>
      <c r="I81" s="3693"/>
      <c r="J81" s="3693"/>
      <c r="K81" s="2021"/>
      <c r="L81" s="3693"/>
      <c r="M81" s="2013"/>
      <c r="N81" s="2320"/>
      <c r="O81" s="2252"/>
      <c r="P81" s="3672"/>
      <c r="Q81" s="3661"/>
      <c r="R81" s="3661"/>
      <c r="S81" s="3667"/>
      <c r="T81" s="3661"/>
      <c r="U81" s="3661"/>
      <c r="V81" s="3661"/>
      <c r="W81" s="3661"/>
      <c r="X81" s="3661"/>
      <c r="Y81" s="3661"/>
      <c r="Z81" s="1364"/>
      <c r="AA81" s="1365"/>
      <c r="AB81" s="1446" t="s">
        <v>1418</v>
      </c>
      <c r="AC81" s="3664"/>
      <c r="AD81" s="3664"/>
      <c r="AE81" s="3664"/>
      <c r="AF81" s="2022"/>
      <c r="AG81" s="2023"/>
      <c r="AH81" s="2023"/>
      <c r="AI81" s="2022"/>
      <c r="AJ81" s="2023"/>
      <c r="AK81" s="2023"/>
      <c r="AL81" s="1361"/>
      <c r="AM81" s="1345"/>
      <c r="AN81" s="1345"/>
      <c r="AO81" s="1345"/>
      <c r="AP81" s="1345"/>
      <c r="AQ81" s="1345"/>
      <c r="AR81" s="1345"/>
      <c r="AS81" s="1345"/>
      <c r="AT81" s="1345"/>
      <c r="AU81" s="1345"/>
      <c r="AV81" s="1345"/>
      <c r="AW81" s="1345"/>
      <c r="AX81" s="1345"/>
      <c r="AY81" s="1345"/>
      <c r="AZ81" s="1345"/>
      <c r="BA81" s="1345"/>
      <c r="BB81" s="1345"/>
      <c r="BC81" s="1345"/>
      <c r="BD81" s="1345"/>
      <c r="BE81" s="1345"/>
      <c r="BF81" s="1345"/>
    </row>
    <row s="6050" customFormat="1" customHeight="1" ht="17.25"/>
    <row s="6051" customFormat="1" customHeight="1" ht="11.25">
      <c r="A83" s="211" t="s">
        <v>1422</v>
      </c>
    </row>
    <row s="6050" customFormat="1" customHeight="1" ht="17.25"/>
    <row s="6130" customFormat="1" customHeight="1" ht="11.25">
      <c r="A85" s="1354"/>
      <c r="B85" s="1354"/>
      <c r="C85" s="1354"/>
      <c r="D85" s="1348"/>
      <c r="E85" s="1358"/>
      <c r="F85" s="525"/>
      <c r="G85" s="525"/>
      <c r="H85" s="525"/>
      <c r="I85" s="525"/>
      <c r="J85" s="525"/>
      <c r="K85" s="525"/>
      <c r="L85" s="525"/>
      <c r="M85" s="525"/>
      <c r="N85" s="525"/>
      <c r="O85" s="525"/>
      <c r="P85" s="525"/>
      <c r="Q85" s="525"/>
      <c r="R85" s="525"/>
      <c r="S85" s="525"/>
      <c r="T85" s="525"/>
      <c r="U85" s="525"/>
      <c r="V85" s="525"/>
      <c r="W85" s="525"/>
      <c r="X85" s="525"/>
      <c r="Y85" s="525"/>
      <c r="Z85" s="1368"/>
      <c r="AA85" s="2001">
        <v>1</v>
      </c>
      <c r="AB85" s="3670"/>
      <c r="AC85" s="1357"/>
      <c r="AD85" s="3670">
        <f>AB85</f>
        <v>0</v>
      </c>
      <c r="AE85" s="1357"/>
      <c r="AF85" s="2021"/>
      <c r="AG85" s="2023"/>
      <c r="AH85" s="2023"/>
      <c r="AI85" s="2021"/>
      <c r="AJ85" s="2023"/>
      <c r="AK85" s="2023"/>
      <c r="AL85" s="1361"/>
      <c r="AM85" s="1345"/>
      <c r="AN85" s="1345"/>
      <c r="AO85" s="1345"/>
      <c r="AP85" s="1345"/>
      <c r="AQ85" s="1345"/>
      <c r="AR85" s="1345"/>
      <c r="AS85" s="1345"/>
      <c r="AT85" s="1345"/>
      <c r="AU85" s="1345"/>
      <c r="AV85" s="1345"/>
      <c r="AW85" s="1345"/>
      <c r="AX85" s="1345"/>
      <c r="AY85" s="1345"/>
      <c r="AZ85" s="1345"/>
      <c r="BA85" s="1345"/>
      <c r="BB85" s="1345"/>
      <c r="BC85" s="1345"/>
      <c r="BD85" s="1345"/>
      <c r="BE85" s="1345"/>
      <c r="BF85" s="1345"/>
    </row>
    <row s="6050" customFormat="1" customHeight="1" ht="17.25"/>
    <row s="6051" customFormat="1" customHeight="1" ht="11.25">
      <c r="A87" s="211" t="s">
        <v>1423</v>
      </c>
    </row>
    <row s="6050" customFormat="1" customHeight="1" ht="17.25"/>
    <row s="6130" customFormat="1" customHeight="1" ht="11.25">
      <c r="A89" s="1354"/>
      <c r="B89" s="1354"/>
      <c r="C89" s="1354"/>
      <c r="D89" s="1348"/>
      <c r="E89" s="1358"/>
      <c r="F89" s="2036"/>
      <c r="G89" s="2013"/>
      <c r="H89" s="2258" t="s">
        <v>118</v>
      </c>
      <c r="I89" s="2259"/>
      <c r="J89" s="2260"/>
      <c r="K89" s="2261"/>
      <c r="L89" s="2250" t="s">
        <v>56</v>
      </c>
      <c r="M89" s="2262"/>
      <c r="N89" s="1367"/>
      <c r="O89" s="1366" t="s">
        <v>378</v>
      </c>
      <c r="P89" s="1367"/>
      <c r="Q89" s="1367"/>
      <c r="R89" s="1367"/>
      <c r="S89" s="1367"/>
      <c r="T89" s="1367"/>
      <c r="U89" s="1367"/>
      <c r="V89" s="1367"/>
      <c r="W89" s="1367"/>
      <c r="X89" s="1367"/>
      <c r="Y89" s="1367"/>
      <c r="Z89" s="1367"/>
      <c r="AA89" s="1367"/>
      <c r="AB89" s="1367"/>
      <c r="AC89" s="1367"/>
      <c r="AD89" s="1367"/>
      <c r="AE89" s="1367"/>
      <c r="AF89" s="2249"/>
      <c r="AG89" s="2250"/>
      <c r="AH89" s="2250"/>
      <c r="AI89" s="2249"/>
      <c r="AJ89" s="2250"/>
      <c r="AK89" s="2250"/>
      <c r="AL89" s="1361"/>
      <c r="AM89" s="1345"/>
      <c r="AN89" s="1345"/>
      <c r="AO89" s="1345"/>
      <c r="AP89" s="1345"/>
      <c r="AQ89" s="1345"/>
      <c r="AR89" s="1345"/>
      <c r="AS89" s="1345"/>
      <c r="AT89" s="1345"/>
      <c r="AU89" s="1345"/>
      <c r="AV89" s="1345"/>
      <c r="AW89" s="1345"/>
      <c r="AX89" s="1345"/>
      <c r="AY89" s="1345"/>
      <c r="AZ89" s="1345"/>
      <c r="BA89" s="1345"/>
      <c r="BB89" s="1345"/>
      <c r="BC89" s="1345"/>
      <c r="BD89" s="1345"/>
      <c r="BE89" s="1345"/>
      <c r="BF89" s="1345"/>
    </row>
    <row s="6130" customFormat="1" customHeight="1" ht="11.25">
      <c r="A90" s="1354"/>
      <c r="B90" s="1354"/>
      <c r="C90" s="1354"/>
      <c r="D90" s="1348"/>
      <c r="E90" s="1358"/>
      <c r="F90" s="2036"/>
      <c r="G90" s="2013"/>
      <c r="H90" s="2258"/>
      <c r="I90" s="2259"/>
      <c r="J90" s="2260"/>
      <c r="K90" s="2261"/>
      <c r="L90" s="2250"/>
      <c r="M90" s="2262"/>
      <c r="N90" s="2251"/>
      <c r="O90" s="2252">
        <v>1</v>
      </c>
      <c r="P90" s="3660" t="s">
        <v>56</v>
      </c>
      <c r="Q90" s="3661" t="s">
        <v>17</v>
      </c>
      <c r="R90" s="3661" t="s">
        <v>17</v>
      </c>
      <c r="S90" s="3661" t="s">
        <v>17</v>
      </c>
      <c r="T90" s="3661" t="s">
        <v>17</v>
      </c>
      <c r="U90" s="3661" t="s">
        <v>17</v>
      </c>
      <c r="V90" s="3661" t="s">
        <v>17</v>
      </c>
      <c r="W90" s="3661" t="s">
        <v>17</v>
      </c>
      <c r="X90" s="3661" t="s">
        <v>17</v>
      </c>
      <c r="Y90" s="3661"/>
      <c r="Z90" s="1364"/>
      <c r="AA90" s="1365"/>
      <c r="AB90" s="1365"/>
      <c r="AC90" s="3664"/>
      <c r="AD90" s="3664"/>
      <c r="AE90" s="3665"/>
      <c r="AF90" s="2249"/>
      <c r="AG90" s="2250"/>
      <c r="AH90" s="2250"/>
      <c r="AI90" s="2249"/>
      <c r="AJ90" s="2250"/>
      <c r="AK90" s="2250"/>
      <c r="AL90" s="1361"/>
      <c r="AM90" s="1345"/>
      <c r="AN90" s="1345"/>
      <c r="AO90" s="1345"/>
      <c r="AP90" s="1345"/>
      <c r="AQ90" s="1345"/>
      <c r="AR90" s="1345"/>
      <c r="AS90" s="1345"/>
      <c r="AT90" s="1345"/>
      <c r="AU90" s="1345"/>
      <c r="AV90" s="1345"/>
      <c r="AW90" s="1345"/>
      <c r="AX90" s="1345"/>
      <c r="AY90" s="1345"/>
      <c r="AZ90" s="1345"/>
      <c r="BA90" s="1345"/>
      <c r="BB90" s="1345"/>
      <c r="BC90" s="1345"/>
      <c r="BD90" s="1345"/>
      <c r="BE90" s="1345"/>
      <c r="BF90" s="1345"/>
    </row>
    <row s="6130" customFormat="1" customHeight="1" ht="11.25">
      <c r="A91" s="1354"/>
      <c r="B91" s="1354"/>
      <c r="C91" s="1354"/>
      <c r="D91" s="1348"/>
      <c r="E91" s="1358"/>
      <c r="F91" s="2036"/>
      <c r="G91" s="2013"/>
      <c r="H91" s="2258"/>
      <c r="I91" s="2259"/>
      <c r="J91" s="2260"/>
      <c r="K91" s="2261"/>
      <c r="L91" s="2250"/>
      <c r="M91" s="2262"/>
      <c r="N91" s="2251"/>
      <c r="O91" s="2252"/>
      <c r="P91" s="3666"/>
      <c r="Q91" s="3661"/>
      <c r="R91" s="3661"/>
      <c r="S91" s="3667"/>
      <c r="T91" s="3661"/>
      <c r="U91" s="3661"/>
      <c r="V91" s="3661"/>
      <c r="W91" s="3661"/>
      <c r="X91" s="3661"/>
      <c r="Y91" s="3661"/>
      <c r="Z91" s="1368"/>
      <c r="AA91" s="2001">
        <v>1</v>
      </c>
      <c r="AB91" s="3670"/>
      <c r="AC91" s="1357"/>
      <c r="AD91" s="3670">
        <f>AB91</f>
        <v>0</v>
      </c>
      <c r="AE91" s="1357"/>
      <c r="AF91" s="2249"/>
      <c r="AG91" s="2250"/>
      <c r="AH91" s="2250"/>
      <c r="AI91" s="2249"/>
      <c r="AJ91" s="2250"/>
      <c r="AK91" s="2250"/>
      <c r="AL91" s="1361"/>
      <c r="AM91" s="1345"/>
      <c r="AN91" s="1345"/>
      <c r="AO91" s="1345"/>
      <c r="AP91" s="1345"/>
      <c r="AQ91" s="1345"/>
      <c r="AR91" s="1345"/>
      <c r="AS91" s="1345"/>
      <c r="AT91" s="1345"/>
      <c r="AU91" s="1345"/>
      <c r="AV91" s="1345"/>
      <c r="AW91" s="1345"/>
      <c r="AX91" s="1345"/>
      <c r="AY91" s="1345"/>
      <c r="AZ91" s="1345"/>
      <c r="BA91" s="1345"/>
      <c r="BB91" s="1345"/>
      <c r="BC91" s="1345"/>
      <c r="BD91" s="1345"/>
      <c r="BE91" s="1345"/>
      <c r="BF91" s="1345"/>
    </row>
    <row s="6130" customFormat="1" customHeight="1" ht="11.25">
      <c r="A92" s="1354"/>
      <c r="B92" s="1354"/>
      <c r="C92" s="1354"/>
      <c r="D92" s="1348"/>
      <c r="E92" s="1358"/>
      <c r="F92" s="2036"/>
      <c r="G92" s="2013"/>
      <c r="H92" s="2258"/>
      <c r="I92" s="2259"/>
      <c r="J92" s="2260"/>
      <c r="K92" s="2261"/>
      <c r="L92" s="2250"/>
      <c r="M92" s="2262"/>
      <c r="N92" s="2251"/>
      <c r="O92" s="2252"/>
      <c r="P92" s="3672"/>
      <c r="Q92" s="3661"/>
      <c r="R92" s="3661"/>
      <c r="S92" s="3667"/>
      <c r="T92" s="3661"/>
      <c r="U92" s="3661"/>
      <c r="V92" s="3661"/>
      <c r="W92" s="3661"/>
      <c r="X92" s="3661"/>
      <c r="Y92" s="3661"/>
      <c r="Z92" s="1364"/>
      <c r="AA92" s="1365"/>
      <c r="AB92" s="1446" t="s">
        <v>1418</v>
      </c>
      <c r="AC92" s="3664"/>
      <c r="AD92" s="3664"/>
      <c r="AE92" s="3674"/>
      <c r="AF92" s="2249"/>
      <c r="AG92" s="2250"/>
      <c r="AH92" s="2250"/>
      <c r="AI92" s="2249"/>
      <c r="AJ92" s="2250"/>
      <c r="AK92" s="2250"/>
      <c r="AL92" s="1361"/>
      <c r="AM92" s="1345"/>
      <c r="AN92" s="1345"/>
      <c r="AO92" s="1345"/>
      <c r="AP92" s="1345"/>
      <c r="AQ92" s="1345"/>
      <c r="AR92" s="1345"/>
      <c r="AS92" s="1345"/>
      <c r="AT92" s="1345"/>
      <c r="AU92" s="1345"/>
      <c r="AV92" s="1345"/>
      <c r="AW92" s="1345"/>
      <c r="AX92" s="1345"/>
      <c r="AY92" s="1345"/>
      <c r="AZ92" s="1345"/>
      <c r="BA92" s="1345"/>
      <c r="BB92" s="1345"/>
      <c r="BC92" s="1345"/>
      <c r="BD92" s="1345"/>
      <c r="BE92" s="1345"/>
      <c r="BF92" s="1345"/>
    </row>
    <row s="6130" customFormat="1" customHeight="1" ht="11.25">
      <c r="A93" s="1354"/>
      <c r="B93" s="1354"/>
      <c r="C93" s="1354"/>
      <c r="D93" s="1348"/>
      <c r="E93" s="1358"/>
      <c r="F93" s="2036"/>
      <c r="G93" s="2013"/>
      <c r="H93" s="2258"/>
      <c r="I93" s="2259"/>
      <c r="J93" s="2260"/>
      <c r="K93" s="2261"/>
      <c r="L93" s="2250"/>
      <c r="M93" s="2262"/>
      <c r="N93" s="1365"/>
      <c r="O93" s="1365"/>
      <c r="P93" s="1356" t="s">
        <v>1419</v>
      </c>
      <c r="Q93" s="1365"/>
      <c r="R93" s="1365"/>
      <c r="S93" s="1365"/>
      <c r="T93" s="1365"/>
      <c r="U93" s="1365"/>
      <c r="V93" s="1365"/>
      <c r="W93" s="1365"/>
      <c r="X93" s="1365"/>
      <c r="Y93" s="1365"/>
      <c r="Z93" s="1365"/>
      <c r="AA93" s="1365"/>
      <c r="AB93" s="1365"/>
      <c r="AC93" s="1365"/>
      <c r="AD93" s="1365"/>
      <c r="AE93" s="1374"/>
      <c r="AF93" s="2249"/>
      <c r="AG93" s="2250"/>
      <c r="AH93" s="2250"/>
      <c r="AI93" s="2249"/>
      <c r="AJ93" s="2250"/>
      <c r="AK93" s="2250"/>
      <c r="AL93" s="1361"/>
      <c r="AM93" s="1345"/>
      <c r="AN93" s="1345"/>
      <c r="AO93" s="1345"/>
      <c r="AP93" s="1345"/>
      <c r="AQ93" s="1345"/>
      <c r="AR93" s="1345"/>
      <c r="AS93" s="1345"/>
      <c r="AT93" s="1345"/>
      <c r="AU93" s="1345"/>
      <c r="AV93" s="1345"/>
      <c r="AW93" s="1345"/>
      <c r="AX93" s="1345"/>
      <c r="AY93" s="1345"/>
      <c r="AZ93" s="1345"/>
      <c r="BA93" s="1345"/>
      <c r="BB93" s="1345"/>
      <c r="BC93" s="1345"/>
      <c r="BD93" s="1345"/>
      <c r="BE93" s="1345"/>
      <c r="BF93" s="1345"/>
    </row>
    <row s="6050" customFormat="1" customHeight="1" ht="17.25"/>
    <row s="6051" customFormat="1" customHeight="1" ht="11.25">
      <c r="A95" s="211" t="s">
        <v>1424</v>
      </c>
    </row>
    <row s="6050" customFormat="1" customHeight="1" ht="17.25"/>
    <row s="6203" customFormat="1" customHeight="1" ht="21">
      <c r="A97" s="1355"/>
      <c r="B97" s="1122"/>
      <c r="D97" s="1106"/>
      <c r="E97" s="1121" t="s">
        <v>17</v>
      </c>
      <c r="F97" s="1309">
        <f>INDEX(IP_MAIN_LIST_NAME_IP,MATCH(A97,IP_MAIN_LIST_IP_ID,0))&amp;" ("&amp;INDEX(IP_MAIN_START_DATE,MATCH(A97,IP_MAIN_LIST_IP_ID,0))&amp;"-"&amp;INDEX(IP_MAIN_END_DATE,MATCH(A97,IP_MAIN_LIST_IP_ID,0))&amp;")"</f>
      </c>
      <c r="G97" s="1400"/>
      <c r="H97" s="1401"/>
      <c r="I97" s="1401"/>
      <c r="J97" s="1401"/>
      <c r="K97" s="1401"/>
      <c r="L97" s="1401"/>
      <c r="M97" s="1401"/>
      <c r="N97" s="1401"/>
      <c r="O97" s="1400"/>
      <c r="P97" s="1400"/>
      <c r="Q97" s="1400"/>
      <c r="R97" s="1400"/>
      <c r="S97" s="1400"/>
      <c r="T97" s="1400"/>
      <c r="U97" s="1402"/>
      <c r="V97" s="1402"/>
      <c r="W97" s="1402"/>
      <c r="X97" s="1402"/>
      <c r="Y97" s="1402"/>
      <c r="Z97" s="1402"/>
      <c r="AA97" s="1402"/>
      <c r="AB97" s="1400"/>
      <c r="AC97" s="1401"/>
      <c r="AD97" s="1401"/>
      <c r="AE97" s="1401"/>
      <c r="AF97" s="1401"/>
      <c r="AG97" s="1401"/>
      <c r="AH97" s="1401"/>
      <c r="AI97" s="1401"/>
      <c r="AJ97" s="1401"/>
      <c r="AK97" s="1401"/>
      <c r="AL97" s="1401"/>
      <c r="AM97" s="1401"/>
      <c r="AN97" s="1401"/>
      <c r="AO97" s="1401"/>
      <c r="AP97" s="1401"/>
      <c r="AQ97" s="1401"/>
      <c r="AR97" s="1401"/>
      <c r="AS97" s="1401"/>
      <c r="AT97" s="1401"/>
      <c r="AU97" s="1401"/>
      <c r="AV97" s="1401"/>
      <c r="AW97" s="1401"/>
      <c r="AX97" s="1401"/>
      <c r="AY97" s="1401"/>
      <c r="AZ97" s="1401"/>
      <c r="BA97" s="1401"/>
      <c r="BB97" s="1401"/>
      <c r="BC97" s="1401"/>
      <c r="BD97" s="1401"/>
      <c r="BE97" s="1401"/>
      <c r="BF97" s="1401"/>
      <c r="BG97" s="1401"/>
      <c r="BH97" s="1401"/>
      <c r="BI97" s="1401"/>
      <c r="BJ97" s="1401"/>
      <c r="BK97" s="1401"/>
      <c r="BL97" s="1401"/>
      <c r="BM97" s="1401"/>
      <c r="BN97" s="1401"/>
      <c r="BO97" s="1401"/>
      <c r="BP97" s="1401"/>
      <c r="BQ97" s="1401"/>
      <c r="BR97" s="1401"/>
      <c r="BS97" s="1401"/>
      <c r="BT97" s="1401"/>
      <c r="BU97" s="1401"/>
      <c r="BV97" s="1401"/>
      <c r="BW97" s="1401"/>
      <c r="BX97" s="1401"/>
      <c r="BY97" s="1401"/>
      <c r="BZ97" s="1401"/>
      <c r="CA97" s="1401"/>
      <c r="CB97" s="1401"/>
      <c r="CC97" s="1401"/>
      <c r="CD97" s="1401"/>
      <c r="CE97" s="1401"/>
      <c r="CF97" s="1401"/>
      <c r="CG97" s="1401"/>
      <c r="CH97" s="1401"/>
      <c r="CI97" s="1401"/>
      <c r="CJ97" s="1401"/>
      <c r="CK97" s="1401"/>
      <c r="CL97" s="1403"/>
      <c r="CM97" s="1403"/>
      <c r="CN97" s="1403"/>
      <c r="CO97" s="1403"/>
      <c r="CP97" s="1403"/>
      <c r="CQ97" s="1403"/>
      <c r="CR97" s="1403"/>
      <c r="CS97" s="1403"/>
      <c r="CT97" s="1403"/>
      <c r="CU97" s="1403"/>
      <c r="CV97" s="1403"/>
      <c r="CW97" s="1403"/>
      <c r="CX97" s="1403"/>
      <c r="CY97" s="1403"/>
      <c r="CZ97" s="1403"/>
      <c r="DA97" s="1403"/>
      <c r="DB97" s="1403"/>
      <c r="DC97" s="1403"/>
      <c r="DD97" s="1403"/>
      <c r="DE97" s="1403"/>
      <c r="DF97" s="1403"/>
      <c r="DG97" s="1403"/>
      <c r="DH97" s="1403"/>
      <c r="DI97" s="1403"/>
      <c r="DJ97" s="1403"/>
      <c r="DK97" s="1403"/>
      <c r="DL97" s="1403"/>
      <c r="DM97" s="1403"/>
      <c r="DN97" s="1403"/>
      <c r="DO97" s="1403"/>
      <c r="DP97" s="1403"/>
      <c r="DQ97" s="1403"/>
      <c r="DR97" s="1403"/>
      <c r="DS97" s="1403"/>
      <c r="DT97" s="1403"/>
      <c r="DU97" s="1403"/>
      <c r="DV97" s="1403"/>
      <c r="DW97" s="1403"/>
      <c r="DX97" s="1403"/>
      <c r="DY97" s="1403"/>
      <c r="DZ97" s="1403"/>
      <c r="EA97" s="1403"/>
      <c r="EB97" s="1403"/>
      <c r="EC97" s="1403"/>
      <c r="ED97" s="1403"/>
      <c r="EE97" s="1403"/>
      <c r="EF97" s="1403"/>
      <c r="EG97" s="1403"/>
      <c r="EH97" s="1403"/>
      <c r="EI97" s="1403"/>
      <c r="EJ97" s="1403"/>
      <c r="EK97" s="1403"/>
      <c r="EL97" s="1403"/>
      <c r="EM97" s="1403"/>
      <c r="EN97" s="1403"/>
      <c r="EO97" s="1403"/>
      <c r="EP97" s="1403"/>
      <c r="EQ97" s="1403"/>
      <c r="ER97" s="1403"/>
      <c r="ES97" s="1403"/>
      <c r="ET97" s="1403"/>
      <c r="EU97" s="1403"/>
      <c r="EV97" s="1403"/>
      <c r="EW97" s="1403"/>
      <c r="EX97" s="1403"/>
      <c r="EY97" s="1403"/>
      <c r="EZ97" s="1403"/>
      <c r="FA97" s="1403"/>
      <c r="FB97" s="1403"/>
      <c r="FC97" s="1403"/>
      <c r="FD97" s="1403"/>
      <c r="FE97" s="1403"/>
      <c r="FF97" s="1403"/>
      <c r="FG97" s="1403"/>
      <c r="FH97" s="1403"/>
      <c r="FI97" s="1403"/>
      <c r="FJ97" s="1403"/>
      <c r="FK97" s="1403"/>
      <c r="FL97" s="1403"/>
      <c r="FM97" s="1403"/>
      <c r="FN97" s="1403"/>
      <c r="FO97" s="1403"/>
      <c r="FP97" s="1403"/>
      <c r="FQ97" s="1403"/>
      <c r="FR97" s="1403"/>
      <c r="FS97" s="1403"/>
      <c r="FT97" s="1403"/>
      <c r="FU97" s="1403"/>
      <c r="FV97" s="1404"/>
      <c r="FW97" s="1398"/>
      <c r="FX97" s="1399"/>
    </row>
    <row s="6203" customFormat="1" customHeight="1" ht="24.75">
      <c r="B98" s="1105"/>
      <c r="C98" s="1106"/>
      <c r="D98" s="1106"/>
      <c r="E98" s="1383"/>
      <c r="F98" s="1405">
        <v>1</v>
      </c>
      <c r="G98" s="3710"/>
      <c r="H98" s="3711"/>
      <c r="I98" s="1415"/>
      <c r="J98" s="1408"/>
      <c r="K98" s="1408"/>
      <c r="L98" s="1408"/>
      <c r="M98" s="1408"/>
      <c r="N98" s="1408"/>
      <c r="O98" s="1409"/>
      <c r="P98" s="1409"/>
      <c r="Q98" s="1409"/>
      <c r="R98" s="1409"/>
      <c r="S98" s="1409"/>
      <c r="T98" s="1409"/>
      <c r="U98" s="1409"/>
      <c r="V98" s="1409"/>
      <c r="W98" s="1409"/>
      <c r="X98" s="1409"/>
      <c r="Y98" s="1409"/>
      <c r="Z98" s="1409"/>
      <c r="AA98" s="1409"/>
      <c r="AB98" s="1409"/>
      <c r="AC98" s="1408"/>
      <c r="AD98" s="1408"/>
      <c r="AE98" s="1408"/>
      <c r="AF98" s="1408"/>
      <c r="AG98" s="1408"/>
      <c r="AH98" s="1408"/>
      <c r="AI98" s="1408"/>
      <c r="AJ98" s="1408"/>
      <c r="AK98" s="1408"/>
      <c r="AL98" s="1408"/>
      <c r="AM98" s="1408"/>
      <c r="AN98" s="1408"/>
      <c r="AO98" s="1408"/>
      <c r="AP98" s="1408"/>
      <c r="AQ98" s="1408"/>
      <c r="AR98" s="1408"/>
      <c r="AS98" s="1408"/>
      <c r="AT98" s="1408"/>
      <c r="AU98" s="1408"/>
      <c r="AV98" s="1408"/>
      <c r="AW98" s="1408"/>
      <c r="AX98" s="1408"/>
      <c r="AY98" s="1408"/>
      <c r="AZ98" s="1408"/>
      <c r="BA98" s="1408"/>
      <c r="BB98" s="1408"/>
      <c r="BC98" s="1408"/>
      <c r="BD98" s="1408"/>
      <c r="BE98" s="1408"/>
      <c r="BF98" s="1408"/>
      <c r="BG98" s="1408"/>
      <c r="BH98" s="1408"/>
      <c r="BI98" s="1408"/>
      <c r="BJ98" s="1408"/>
      <c r="BK98" s="1408"/>
      <c r="BL98" s="1408"/>
      <c r="BM98" s="1408"/>
      <c r="BN98" s="1408"/>
      <c r="BO98" s="1408"/>
      <c r="BP98" s="1408"/>
      <c r="BQ98" s="1408"/>
      <c r="BR98" s="1408"/>
      <c r="BS98" s="1408"/>
      <c r="BT98" s="1410"/>
      <c r="BU98" s="1410"/>
      <c r="BV98" s="1410"/>
      <c r="BW98" s="1410"/>
      <c r="BX98" s="1410"/>
      <c r="BY98" s="1410"/>
      <c r="BZ98" s="1410"/>
      <c r="CA98" s="1410"/>
      <c r="CB98" s="1410"/>
      <c r="CC98" s="1410"/>
      <c r="CD98" s="1410"/>
      <c r="CE98" s="1410"/>
      <c r="CF98" s="1410"/>
      <c r="CG98" s="1410"/>
      <c r="CH98" s="1410"/>
      <c r="CI98" s="1410"/>
      <c r="CJ98" s="1410"/>
      <c r="CK98" s="1410"/>
      <c r="CL98" s="1408"/>
      <c r="CM98" s="1408"/>
      <c r="CN98" s="1408"/>
      <c r="CO98" s="1408"/>
      <c r="CP98" s="1408"/>
      <c r="CQ98" s="1408"/>
      <c r="CR98" s="1408"/>
      <c r="CS98" s="1408"/>
      <c r="CT98" s="1408"/>
      <c r="CU98" s="1408"/>
      <c r="CV98" s="1408"/>
      <c r="CW98" s="1408"/>
      <c r="CX98" s="1408"/>
      <c r="CY98" s="1409"/>
      <c r="CZ98" s="1409"/>
      <c r="DA98" s="1409"/>
      <c r="DB98" s="1409"/>
      <c r="DC98" s="1409"/>
      <c r="DD98" s="1409"/>
      <c r="DE98" s="1409"/>
      <c r="DF98" s="1409"/>
      <c r="DG98" s="1409"/>
      <c r="DH98" s="1409"/>
      <c r="DI98" s="1409"/>
      <c r="DJ98" s="1409"/>
      <c r="DK98" s="1408"/>
      <c r="DL98" s="1408"/>
      <c r="DM98" s="1408"/>
      <c r="DN98" s="1408"/>
      <c r="DO98" s="1408"/>
      <c r="DP98" s="1408"/>
      <c r="DQ98" s="1408"/>
      <c r="DR98" s="1408"/>
      <c r="DS98" s="1408"/>
      <c r="DT98" s="1408"/>
      <c r="DU98" s="1408"/>
      <c r="DV98" s="1408"/>
      <c r="DW98" s="1408"/>
      <c r="DX98" s="1408"/>
      <c r="DY98" s="1408"/>
      <c r="DZ98" s="1408"/>
      <c r="EA98" s="1408"/>
      <c r="EB98" s="1408"/>
      <c r="EC98" s="1408"/>
      <c r="ED98" s="1408"/>
      <c r="EE98" s="1408"/>
      <c r="EF98" s="1408"/>
      <c r="EG98" s="1408"/>
      <c r="EH98" s="1408"/>
      <c r="EI98" s="1408"/>
      <c r="EJ98" s="1408"/>
      <c r="EK98" s="1408"/>
      <c r="EL98" s="1408"/>
      <c r="EM98" s="1408"/>
      <c r="EN98" s="1408"/>
      <c r="EO98" s="1408"/>
      <c r="EP98" s="1408"/>
      <c r="EQ98" s="1408"/>
      <c r="ER98" s="1408"/>
      <c r="ES98" s="1408"/>
      <c r="ET98" s="1408"/>
      <c r="EU98" s="1408"/>
      <c r="EV98" s="1408"/>
      <c r="EW98" s="1408"/>
      <c r="EX98" s="1408"/>
      <c r="EY98" s="1408"/>
      <c r="EZ98" s="1408"/>
      <c r="FA98" s="1408"/>
      <c r="FB98" s="1408"/>
      <c r="FC98" s="1408"/>
      <c r="FD98" s="1408"/>
      <c r="FE98" s="1408"/>
      <c r="FF98" s="1408"/>
      <c r="FG98" s="1408"/>
      <c r="FH98" s="1408"/>
      <c r="FI98" s="1408"/>
      <c r="FJ98" s="1408"/>
      <c r="FK98" s="1408"/>
      <c r="FL98" s="1408"/>
      <c r="FM98" s="1408"/>
      <c r="FN98" s="1408"/>
      <c r="FO98" s="1408"/>
      <c r="FP98" s="1408"/>
      <c r="FQ98" s="1408"/>
      <c r="FR98" s="1408"/>
      <c r="FS98" s="1408"/>
      <c r="FT98" s="1408"/>
      <c r="FU98" s="1408"/>
      <c r="FV98" s="1408"/>
      <c r="FW98" s="1408"/>
      <c r="FX98" s="1399"/>
    </row>
    <row s="6203" customFormat="1" customHeight="1" ht="12">
      <c r="A99" s="1106"/>
      <c r="B99" s="1105"/>
      <c r="C99" s="1106"/>
      <c r="D99" s="1106"/>
      <c r="E99" s="1106"/>
      <c r="F99" s="1411"/>
      <c r="G99" s="1387" t="s">
        <v>1425</v>
      </c>
      <c r="H99" s="1412"/>
      <c r="I99" s="1412"/>
      <c r="J99" s="1412"/>
      <c r="K99" s="1412"/>
      <c r="L99" s="1412"/>
      <c r="M99" s="1412"/>
      <c r="N99" s="1412"/>
      <c r="O99" s="1412"/>
      <c r="P99" s="1412"/>
      <c r="Q99" s="1412"/>
      <c r="R99" s="1412"/>
      <c r="S99" s="1412"/>
      <c r="T99" s="1412"/>
      <c r="U99" s="1412"/>
      <c r="V99" s="1412"/>
      <c r="W99" s="1412"/>
      <c r="X99" s="1412"/>
      <c r="Y99" s="1412"/>
      <c r="Z99" s="1412"/>
      <c r="AA99" s="1412"/>
      <c r="AB99" s="1412"/>
      <c r="AC99" s="1412"/>
      <c r="AD99" s="1412"/>
      <c r="AE99" s="1412"/>
      <c r="AF99" s="1412"/>
      <c r="AG99" s="1412"/>
      <c r="AH99" s="1412"/>
      <c r="AI99" s="1412"/>
      <c r="AJ99" s="1412"/>
      <c r="AK99" s="1412"/>
      <c r="AL99" s="1412"/>
      <c r="AM99" s="1412"/>
      <c r="AN99" s="1412"/>
      <c r="AO99" s="1412"/>
      <c r="AP99" s="1412"/>
      <c r="AQ99" s="1412"/>
      <c r="AR99" s="1412"/>
      <c r="AS99" s="1412"/>
      <c r="AT99" s="1412"/>
      <c r="AU99" s="1412"/>
      <c r="AV99" s="1412"/>
      <c r="AW99" s="1412"/>
      <c r="AX99" s="1412"/>
      <c r="AY99" s="1412"/>
      <c r="AZ99" s="1412"/>
      <c r="BA99" s="1412"/>
      <c r="BB99" s="1412"/>
      <c r="BC99" s="1412"/>
      <c r="BD99" s="1412"/>
      <c r="BE99" s="1412"/>
      <c r="BF99" s="1412"/>
      <c r="BG99" s="1412"/>
      <c r="BH99" s="1412"/>
      <c r="BI99" s="1412"/>
      <c r="BJ99" s="1412"/>
      <c r="BK99" s="1412"/>
      <c r="BL99" s="1412"/>
      <c r="BM99" s="1412"/>
      <c r="BN99" s="1412"/>
      <c r="BO99" s="1412"/>
      <c r="BP99" s="1412"/>
      <c r="BQ99" s="1412"/>
      <c r="BR99" s="1412"/>
      <c r="BS99" s="1412"/>
      <c r="BT99" s="1412"/>
      <c r="BU99" s="1412"/>
      <c r="BV99" s="1412"/>
      <c r="BW99" s="1412"/>
      <c r="BX99" s="1412"/>
      <c r="BY99" s="1412"/>
      <c r="BZ99" s="1412"/>
      <c r="CA99" s="1412"/>
      <c r="CB99" s="1412"/>
      <c r="CC99" s="1412"/>
      <c r="CD99" s="1412"/>
      <c r="CE99" s="1412"/>
      <c r="CF99" s="1412"/>
      <c r="CG99" s="1412"/>
      <c r="CH99" s="1412"/>
      <c r="CI99" s="1412"/>
      <c r="CJ99" s="1412"/>
      <c r="CK99" s="1412"/>
      <c r="CL99" s="1412"/>
      <c r="CM99" s="1412"/>
      <c r="CN99" s="1412"/>
      <c r="CO99" s="1412"/>
      <c r="CP99" s="1412"/>
      <c r="CQ99" s="1412"/>
      <c r="CR99" s="1412"/>
      <c r="CS99" s="1412"/>
      <c r="CT99" s="1412"/>
      <c r="CU99" s="1412"/>
      <c r="CV99" s="1412"/>
      <c r="CW99" s="1412"/>
      <c r="CX99" s="1412"/>
      <c r="CY99" s="1412"/>
      <c r="CZ99" s="1412"/>
      <c r="DA99" s="1412"/>
      <c r="DB99" s="1412"/>
      <c r="DC99" s="1412"/>
      <c r="DD99" s="1412"/>
      <c r="DE99" s="1412"/>
      <c r="DF99" s="1412"/>
      <c r="DG99" s="1412"/>
      <c r="DH99" s="1412"/>
      <c r="DI99" s="1412"/>
      <c r="DJ99" s="1412"/>
      <c r="DK99" s="1412"/>
      <c r="DL99" s="1412"/>
      <c r="DM99" s="1412"/>
      <c r="DN99" s="1412"/>
      <c r="DO99" s="1412"/>
      <c r="DP99" s="1412"/>
      <c r="DQ99" s="1412"/>
      <c r="DR99" s="1412"/>
      <c r="DS99" s="1412"/>
      <c r="DT99" s="1412"/>
      <c r="DU99" s="1412"/>
      <c r="DV99" s="1412"/>
      <c r="DW99" s="1412"/>
      <c r="DX99" s="1412"/>
      <c r="DY99" s="1412"/>
      <c r="DZ99" s="1412"/>
      <c r="EA99" s="1412"/>
      <c r="EB99" s="1412"/>
      <c r="EC99" s="1412"/>
      <c r="ED99" s="1412"/>
      <c r="EE99" s="1412"/>
      <c r="EF99" s="1412"/>
      <c r="EG99" s="1412"/>
      <c r="EH99" s="1412"/>
      <c r="EI99" s="1412"/>
      <c r="EJ99" s="1412"/>
      <c r="EK99" s="1412"/>
      <c r="EL99" s="1412"/>
      <c r="EM99" s="1412"/>
      <c r="EN99" s="1412"/>
      <c r="EO99" s="1412"/>
      <c r="EP99" s="1412"/>
      <c r="EQ99" s="1412"/>
      <c r="ER99" s="1412"/>
      <c r="ES99" s="1412"/>
      <c r="ET99" s="1412"/>
      <c r="EU99" s="1412"/>
      <c r="EV99" s="1412"/>
      <c r="EW99" s="1412"/>
      <c r="EX99" s="1412"/>
      <c r="EY99" s="1412"/>
      <c r="EZ99" s="1412"/>
      <c r="FA99" s="1412"/>
      <c r="FB99" s="1412"/>
      <c r="FC99" s="1412"/>
      <c r="FD99" s="1412"/>
      <c r="FE99" s="1412"/>
      <c r="FF99" s="1412"/>
      <c r="FG99" s="1412"/>
      <c r="FH99" s="1412"/>
      <c r="FI99" s="1412"/>
      <c r="FJ99" s="1412"/>
      <c r="FK99" s="1412"/>
      <c r="FL99" s="1412"/>
      <c r="FM99" s="1412"/>
      <c r="FN99" s="1412"/>
      <c r="FO99" s="1412"/>
      <c r="FP99" s="1412"/>
      <c r="FQ99" s="1412"/>
      <c r="FR99" s="1412"/>
      <c r="FS99" s="1412"/>
      <c r="FT99" s="1412"/>
      <c r="FU99" s="1412"/>
      <c r="FV99" s="1412"/>
      <c r="FW99" s="1413"/>
      <c r="FX99" s="1414"/>
      <c r="FY99" s="1123"/>
      <c r="FZ99" s="1123"/>
      <c r="GA99" s="1123"/>
      <c r="GB99" s="1123"/>
    </row>
    <row s="6050" customFormat="1" customHeight="1" ht="17.25"/>
    <row s="6051" customFormat="1" customHeight="1" ht="11.25">
      <c r="A101" s="211" t="s">
        <v>1426</v>
      </c>
    </row>
    <row s="6050" customFormat="1" customHeight="1" ht="17.25"/>
    <row s="5661" customFormat="1" customHeight="1" ht="15">
      <c r="A103" s="787"/>
      <c r="B103" s="788"/>
      <c r="C103" s="788"/>
      <c r="D103" s="2317" t="s">
        <v>118</v>
      </c>
      <c r="E103" s="2301" t="s">
        <v>114</v>
      </c>
      <c r="F103" s="2302"/>
      <c r="G103" s="2303"/>
      <c r="H103" s="2304" t="str">
        <f>IF(A103="","",INDEX(DIFFERENTIATION_UNMERGE_VD,MATCH(A103,DIFFERENTIATION_ID_DIFF,0)))</f>
        <v/>
      </c>
      <c r="I103" s="2304"/>
      <c r="J103" s="2304"/>
      <c r="K103" s="2304"/>
      <c r="L103" s="2304"/>
      <c r="M103" s="2304"/>
      <c r="N103" s="2304"/>
      <c r="O103" s="2304"/>
      <c r="P103" s="2304"/>
      <c r="Q103" s="2304"/>
      <c r="R103" s="2304"/>
      <c r="S103" s="883"/>
      <c r="T103" s="880"/>
      <c r="U103" s="789"/>
      <c r="V103" s="789"/>
      <c r="W103" s="790"/>
      <c r="X103" s="790"/>
      <c r="Y103" s="790"/>
      <c r="Z103" s="790"/>
      <c r="AA103" s="791"/>
      <c r="AB103" s="792"/>
      <c r="AC103" s="2300"/>
      <c r="AD103" s="793"/>
      <c r="AE103" s="794" t="s">
        <v>17</v>
      </c>
      <c r="AF103" s="794"/>
      <c r="AG103" s="795" t="s">
        <v>1427</v>
      </c>
      <c r="AH103" s="796">
        <v>3</v>
      </c>
      <c r="AI103" s="789"/>
      <c r="AJ103" s="789"/>
      <c r="AK103" s="789"/>
      <c r="AL103" s="789"/>
      <c r="AM103" s="789"/>
      <c r="AN103" s="789"/>
      <c r="AO103" s="789"/>
      <c r="AP103" s="789"/>
      <c r="AQ103" s="789"/>
      <c r="AR103" s="789"/>
      <c r="AS103" s="789"/>
      <c r="AT103" s="789"/>
      <c r="AU103" s="789"/>
      <c r="AV103" s="789"/>
      <c r="AW103" s="789"/>
      <c r="AX103" s="789"/>
      <c r="AY103" s="789"/>
      <c r="AZ103" s="789"/>
      <c r="BA103" s="789"/>
      <c r="BB103" s="789"/>
      <c r="BC103" s="789"/>
      <c r="BD103" s="789"/>
      <c r="BE103" s="789"/>
      <c r="BF103" s="789"/>
      <c r="BG103" s="789"/>
      <c r="BH103" s="789"/>
      <c r="BI103" s="789"/>
      <c r="BJ103" s="789"/>
      <c r="BK103" s="789"/>
      <c r="BL103" s="789"/>
      <c r="BM103" s="789"/>
      <c r="BN103" s="789"/>
      <c r="BO103" s="789"/>
      <c r="BP103" s="789"/>
      <c r="BQ103" s="789"/>
      <c r="BR103" s="789"/>
      <c r="BS103" s="789"/>
      <c r="BT103" s="789"/>
      <c r="BU103" s="789"/>
      <c r="BV103" s="790"/>
      <c r="BW103" s="790"/>
      <c r="BX103" s="790"/>
      <c r="BY103" s="790"/>
      <c r="BZ103" s="790"/>
      <c r="CA103" s="790"/>
      <c r="CB103" s="790"/>
      <c r="CC103" s="790"/>
      <c r="CD103" s="790"/>
      <c r="CE103" s="790"/>
    </row>
    <row s="5661" customFormat="1" customHeight="1" ht="15">
      <c r="A104" s="787"/>
      <c r="B104" s="788"/>
      <c r="C104" s="788"/>
      <c r="D104" s="2318"/>
      <c r="E104" s="2301" t="s">
        <v>1428</v>
      </c>
      <c r="F104" s="2302"/>
      <c r="G104" s="2303"/>
      <c r="H104" s="2304" t="str">
        <f>IF(A103="","",INDEX(DIFFERENTIATION_UNMERGE_AREA,MATCH(A103,DIFFERENTIATION_ID_DIFF,0)))</f>
        <v/>
      </c>
      <c r="I104" s="2304"/>
      <c r="J104" s="2304"/>
      <c r="K104" s="2304"/>
      <c r="L104" s="2304"/>
      <c r="M104" s="2304"/>
      <c r="N104" s="2304"/>
      <c r="O104" s="2304"/>
      <c r="P104" s="2304"/>
      <c r="Q104" s="2304"/>
      <c r="R104" s="2304"/>
      <c r="S104" s="883"/>
      <c r="T104" s="880"/>
      <c r="U104" s="789"/>
      <c r="V104" s="789"/>
      <c r="W104" s="790"/>
      <c r="X104" s="790"/>
      <c r="Y104" s="790"/>
      <c r="Z104" s="790"/>
      <c r="AA104" s="791"/>
      <c r="AB104" s="792"/>
      <c r="AC104" s="2300"/>
      <c r="AD104" s="793"/>
      <c r="AE104" s="794"/>
      <c r="AF104" s="794"/>
      <c r="AG104" s="795"/>
      <c r="AH104" s="796"/>
      <c r="AI104" s="789"/>
      <c r="AJ104" s="789"/>
      <c r="AK104" s="789"/>
      <c r="AL104" s="789"/>
      <c r="AM104" s="789"/>
      <c r="AN104" s="789"/>
      <c r="AO104" s="789"/>
      <c r="AP104" s="789"/>
      <c r="AQ104" s="789"/>
      <c r="AR104" s="789"/>
      <c r="AS104" s="789"/>
      <c r="AT104" s="789"/>
      <c r="AU104" s="789"/>
      <c r="AV104" s="789"/>
      <c r="AW104" s="789"/>
      <c r="AX104" s="789"/>
      <c r="AY104" s="789"/>
      <c r="AZ104" s="789"/>
      <c r="BA104" s="789"/>
      <c r="BB104" s="789"/>
      <c r="BC104" s="789"/>
      <c r="BD104" s="789"/>
      <c r="BE104" s="789"/>
      <c r="BF104" s="789"/>
      <c r="BG104" s="789"/>
      <c r="BH104" s="789"/>
      <c r="BI104" s="789"/>
      <c r="BJ104" s="789"/>
      <c r="BK104" s="789"/>
      <c r="BL104" s="789"/>
      <c r="BM104" s="789"/>
      <c r="BN104" s="789"/>
      <c r="BO104" s="789"/>
      <c r="BP104" s="789"/>
      <c r="BQ104" s="789"/>
      <c r="BR104" s="789"/>
      <c r="BS104" s="789"/>
      <c r="BT104" s="789"/>
      <c r="BU104" s="789"/>
      <c r="BV104" s="790"/>
      <c r="BW104" s="790"/>
      <c r="BX104" s="790"/>
      <c r="BY104" s="790"/>
      <c r="BZ104" s="790"/>
      <c r="CA104" s="790"/>
      <c r="CB104" s="790"/>
      <c r="CC104" s="790"/>
      <c r="CD104" s="790"/>
      <c r="CE104" s="790"/>
    </row>
    <row s="5661" customFormat="1" customHeight="1" ht="15">
      <c r="A105" s="787"/>
      <c r="B105" s="788"/>
      <c r="C105" s="788"/>
      <c r="D105" s="2318"/>
      <c r="E105" s="2301" t="s">
        <v>1429</v>
      </c>
      <c r="F105" s="2302"/>
      <c r="G105" s="2303"/>
      <c r="H105" s="2304" t="str">
        <f>IF(A103="","",INDEX(DIFFERENTIATION_UNMERGE_SYSTEM,MATCH(A103,DIFFERENTIATION_ID_DIFF,0)))</f>
        <v/>
      </c>
      <c r="I105" s="2304"/>
      <c r="J105" s="2304"/>
      <c r="K105" s="2304"/>
      <c r="L105" s="2304"/>
      <c r="M105" s="2304"/>
      <c r="N105" s="2304"/>
      <c r="O105" s="2304"/>
      <c r="P105" s="2304"/>
      <c r="Q105" s="2304"/>
      <c r="R105" s="2304"/>
      <c r="S105" s="883"/>
      <c r="T105" s="880"/>
      <c r="U105" s="789"/>
      <c r="V105" s="789"/>
      <c r="W105" s="790"/>
      <c r="X105" s="790"/>
      <c r="Y105" s="790"/>
      <c r="Z105" s="790"/>
      <c r="AA105" s="791"/>
      <c r="AB105" s="792"/>
      <c r="AC105" s="2300"/>
      <c r="AD105" s="793"/>
      <c r="AE105" s="794"/>
      <c r="AF105" s="794"/>
      <c r="AG105" s="795"/>
      <c r="AH105" s="796"/>
      <c r="AI105" s="789"/>
      <c r="AJ105" s="789"/>
      <c r="AK105" s="789"/>
      <c r="AL105" s="789"/>
      <c r="AM105" s="789"/>
      <c r="AN105" s="789"/>
      <c r="AO105" s="789"/>
      <c r="AP105" s="789"/>
      <c r="AQ105" s="789"/>
      <c r="AR105" s="789"/>
      <c r="AS105" s="789"/>
      <c r="AT105" s="789"/>
      <c r="AU105" s="789"/>
      <c r="AV105" s="789"/>
      <c r="AW105" s="789"/>
      <c r="AX105" s="789"/>
      <c r="AY105" s="789"/>
      <c r="AZ105" s="789"/>
      <c r="BA105" s="789"/>
      <c r="BB105" s="789"/>
      <c r="BC105" s="789"/>
      <c r="BD105" s="789"/>
      <c r="BE105" s="789"/>
      <c r="BF105" s="789"/>
      <c r="BG105" s="789"/>
      <c r="BH105" s="789"/>
      <c r="BI105" s="789"/>
      <c r="BJ105" s="789"/>
      <c r="BK105" s="789"/>
      <c r="BL105" s="789"/>
      <c r="BM105" s="789"/>
      <c r="BN105" s="789"/>
      <c r="BO105" s="789"/>
      <c r="BP105" s="789"/>
      <c r="BQ105" s="789"/>
      <c r="BR105" s="789"/>
      <c r="BS105" s="789"/>
      <c r="BT105" s="789"/>
      <c r="BU105" s="789"/>
      <c r="BV105" s="790"/>
      <c r="BW105" s="790"/>
      <c r="BX105" s="790"/>
      <c r="BY105" s="790"/>
      <c r="BZ105" s="790"/>
      <c r="CA105" s="790"/>
      <c r="CB105" s="790"/>
      <c r="CC105" s="790"/>
      <c r="CD105" s="790"/>
      <c r="CE105" s="790"/>
    </row>
    <row s="5661" customFormat="1" customHeight="1" ht="24.75">
      <c r="A106" s="797"/>
      <c r="B106" s="580"/>
      <c r="C106" s="575"/>
      <c r="D106" s="2318"/>
      <c r="E106" s="2315" t="s">
        <v>1430</v>
      </c>
      <c r="F106" s="2315"/>
      <c r="G106" s="2315"/>
      <c r="H106" s="2315"/>
      <c r="I106" s="2315"/>
      <c r="J106" s="2315"/>
      <c r="K106" s="2315"/>
      <c r="L106" s="2315"/>
      <c r="M106" s="2315"/>
      <c r="N106" s="2315"/>
      <c r="O106" s="2315"/>
      <c r="P106" s="2315"/>
      <c r="Q106" s="722">
        <f>SUMIF(T107:T108,"i",Q107:Q108)</f>
        <v>0</v>
      </c>
      <c r="R106" s="1200"/>
      <c r="S106" s="1075" t="s">
        <v>1431</v>
      </c>
      <c r="T106" s="881" t="s">
        <v>1432</v>
      </c>
      <c r="U106" s="2316">
        <v>1</v>
      </c>
      <c r="V106" s="2316" t="s">
        <v>1433</v>
      </c>
      <c r="W106" s="580"/>
      <c r="X106" s="580"/>
      <c r="Y106" s="580"/>
      <c r="Z106" s="580"/>
      <c r="AA106" s="675"/>
      <c r="AB106" s="580"/>
      <c r="AC106" s="2300"/>
      <c r="AD106" s="793"/>
      <c r="AE106" s="580"/>
      <c r="AF106" s="580"/>
      <c r="AG106" s="675"/>
      <c r="AH106" s="675"/>
      <c r="AI106" s="675"/>
      <c r="AJ106" s="675"/>
      <c r="AK106" s="675"/>
      <c r="AL106" s="675"/>
      <c r="AM106" s="675"/>
      <c r="AN106" s="675"/>
      <c r="AO106" s="675"/>
      <c r="AP106" s="675"/>
      <c r="AQ106" s="675"/>
      <c r="AR106" s="675"/>
      <c r="AS106" s="675"/>
      <c r="AT106" s="675"/>
      <c r="AU106" s="675"/>
      <c r="AV106" s="675"/>
      <c r="AW106" s="675"/>
      <c r="AX106" s="675"/>
      <c r="AY106" s="675"/>
      <c r="AZ106" s="675"/>
      <c r="BA106" s="675"/>
      <c r="BB106" s="675"/>
      <c r="BC106" s="675"/>
      <c r="BD106" s="675"/>
      <c r="BE106" s="675"/>
      <c r="BF106" s="675"/>
      <c r="BG106" s="675"/>
      <c r="BH106" s="675"/>
      <c r="BI106" s="675"/>
      <c r="BJ106" s="675"/>
      <c r="BK106" s="675"/>
      <c r="BL106" s="675"/>
      <c r="BM106" s="675"/>
      <c r="BN106" s="675"/>
      <c r="BO106" s="675"/>
      <c r="BP106" s="675"/>
      <c r="BQ106" s="675"/>
      <c r="BR106" s="675"/>
      <c r="BS106" s="675"/>
      <c r="BT106" s="675"/>
      <c r="BU106" s="675"/>
      <c r="BV106" s="580"/>
      <c r="BW106" s="580"/>
      <c r="BX106" s="580"/>
      <c r="BY106" s="580"/>
      <c r="BZ106" s="580"/>
      <c r="CA106" s="580"/>
      <c r="CB106" s="580"/>
      <c r="CC106" s="580"/>
      <c r="CD106" s="580"/>
      <c r="CE106" s="580"/>
    </row>
    <row s="5661" customFormat="1" customHeight="1" ht="11.25" hidden="1">
      <c r="A107" s="1081"/>
      <c r="B107" s="675"/>
      <c r="C107" s="675"/>
      <c r="D107" s="2318"/>
      <c r="E107" s="799"/>
      <c r="F107" s="799">
        <v>0</v>
      </c>
      <c r="G107" s="799"/>
      <c r="H107" s="799"/>
      <c r="I107" s="799"/>
      <c r="J107" s="799"/>
      <c r="K107" s="799"/>
      <c r="L107" s="799"/>
      <c r="M107" s="799"/>
      <c r="N107" s="799"/>
      <c r="O107" s="799"/>
      <c r="P107" s="799"/>
      <c r="Q107" s="799"/>
      <c r="R107" s="799"/>
      <c r="S107" s="800"/>
      <c r="T107" s="882"/>
      <c r="U107" s="2316"/>
      <c r="V107" s="2316"/>
      <c r="W107" s="675"/>
      <c r="X107" s="675"/>
      <c r="Y107" s="675"/>
      <c r="Z107" s="675"/>
      <c r="AA107" s="675"/>
      <c r="AB107" s="580"/>
      <c r="AC107" s="2300"/>
      <c r="AD107" s="793"/>
      <c r="AE107" s="580"/>
      <c r="AF107" s="580"/>
      <c r="AG107" s="675"/>
      <c r="AH107" s="675"/>
      <c r="AI107" s="675"/>
      <c r="AJ107" s="675"/>
      <c r="AK107" s="675"/>
      <c r="AL107" s="675"/>
      <c r="AM107" s="675"/>
      <c r="AN107" s="675"/>
      <c r="AO107" s="675"/>
      <c r="AP107" s="675"/>
      <c r="AQ107" s="675"/>
      <c r="AR107" s="675"/>
      <c r="AS107" s="675"/>
      <c r="AT107" s="675"/>
      <c r="AU107" s="675"/>
      <c r="AV107" s="675"/>
      <c r="AW107" s="675"/>
      <c r="AX107" s="675"/>
      <c r="AY107" s="675"/>
      <c r="AZ107" s="675"/>
      <c r="BA107" s="675"/>
      <c r="BB107" s="675"/>
      <c r="BC107" s="675"/>
      <c r="BD107" s="675"/>
      <c r="BE107" s="675"/>
      <c r="BF107" s="675"/>
      <c r="BG107" s="675"/>
      <c r="BH107" s="675"/>
      <c r="BI107" s="675"/>
      <c r="BJ107" s="675"/>
      <c r="BK107" s="675"/>
      <c r="BL107" s="675"/>
      <c r="BM107" s="675"/>
      <c r="BN107" s="675"/>
      <c r="BO107" s="675"/>
      <c r="BP107" s="675"/>
      <c r="BQ107" s="675"/>
      <c r="BR107" s="675"/>
      <c r="BS107" s="675"/>
      <c r="BT107" s="675"/>
      <c r="BU107" s="675"/>
      <c r="BV107" s="675"/>
      <c r="BW107" s="675"/>
      <c r="BX107" s="675"/>
      <c r="BY107" s="675"/>
      <c r="BZ107" s="675"/>
      <c r="CA107" s="675"/>
      <c r="CB107" s="675"/>
      <c r="CC107" s="675"/>
      <c r="CD107" s="675"/>
      <c r="CE107" s="675"/>
    </row>
    <row s="5661" customFormat="1" customHeight="1" ht="11.25">
      <c r="A108" s="797"/>
      <c r="B108" s="580"/>
      <c r="C108" s="575"/>
      <c r="D108" s="2318"/>
      <c r="E108" s="813" t="s">
        <v>17</v>
      </c>
      <c r="F108" s="814" t="s">
        <v>17</v>
      </c>
      <c r="G108" s="814" t="s">
        <v>1434</v>
      </c>
      <c r="H108" s="815" t="s">
        <v>17</v>
      </c>
      <c r="I108" s="815"/>
      <c r="J108" s="815"/>
      <c r="K108" s="815"/>
      <c r="L108" s="815"/>
      <c r="M108" s="815"/>
      <c r="N108" s="815"/>
      <c r="O108" s="815"/>
      <c r="P108" s="815"/>
      <c r="Q108" s="815"/>
      <c r="R108" s="816"/>
      <c r="S108" s="817"/>
      <c r="T108" s="882"/>
      <c r="U108" s="2316"/>
      <c r="V108" s="2316"/>
      <c r="W108" s="580"/>
      <c r="X108" s="580"/>
      <c r="Y108" s="580"/>
      <c r="Z108" s="580"/>
      <c r="AA108" s="675"/>
      <c r="AB108" s="580"/>
      <c r="AC108" s="2300"/>
      <c r="AD108" s="793"/>
      <c r="AE108" s="580"/>
      <c r="AF108" s="580"/>
      <c r="AG108" s="675"/>
      <c r="AH108" s="675"/>
      <c r="AI108" s="675"/>
      <c r="AJ108" s="675"/>
      <c r="AK108" s="675"/>
      <c r="AL108" s="675"/>
      <c r="AM108" s="675"/>
      <c r="AN108" s="675"/>
      <c r="AO108" s="675"/>
      <c r="AP108" s="675"/>
      <c r="AQ108" s="675"/>
      <c r="AR108" s="675"/>
      <c r="AS108" s="675"/>
      <c r="AT108" s="675"/>
      <c r="AU108" s="675"/>
      <c r="AV108" s="675"/>
      <c r="AW108" s="675"/>
      <c r="AX108" s="675"/>
      <c r="AY108" s="675"/>
      <c r="AZ108" s="675"/>
      <c r="BA108" s="675"/>
      <c r="BB108" s="675"/>
      <c r="BC108" s="675"/>
      <c r="BD108" s="675"/>
      <c r="BE108" s="675"/>
      <c r="BF108" s="675"/>
      <c r="BG108" s="675"/>
      <c r="BH108" s="675"/>
      <c r="BI108" s="675"/>
      <c r="BJ108" s="675"/>
      <c r="BK108" s="675"/>
      <c r="BL108" s="675"/>
      <c r="BM108" s="675"/>
      <c r="BN108" s="675"/>
      <c r="BO108" s="675"/>
      <c r="BP108" s="675"/>
      <c r="BQ108" s="675"/>
      <c r="BR108" s="675"/>
      <c r="BS108" s="675"/>
      <c r="BT108" s="675"/>
      <c r="BU108" s="675"/>
      <c r="BV108" s="580"/>
      <c r="BW108" s="580"/>
      <c r="BX108" s="580"/>
      <c r="BY108" s="580"/>
      <c r="BZ108" s="580"/>
      <c r="CA108" s="580"/>
      <c r="CB108" s="580"/>
      <c r="CC108" s="580"/>
      <c r="CD108" s="580"/>
      <c r="CE108" s="580"/>
    </row>
    <row s="5661" customFormat="1" customHeight="1" ht="24.75">
      <c r="A109" s="797"/>
      <c r="B109" s="580"/>
      <c r="C109" s="575"/>
      <c r="D109" s="2318"/>
      <c r="E109" s="2315" t="s">
        <v>1435</v>
      </c>
      <c r="F109" s="2315"/>
      <c r="G109" s="2315"/>
      <c r="H109" s="2315"/>
      <c r="I109" s="2315"/>
      <c r="J109" s="2315"/>
      <c r="K109" s="2315"/>
      <c r="L109" s="2315"/>
      <c r="M109" s="2315"/>
      <c r="N109" s="2315"/>
      <c r="O109" s="2315"/>
      <c r="P109" s="2315"/>
      <c r="Q109" s="722">
        <f>SUMIF(T110:T111,"i",Q110:Q111)</f>
        <v>0</v>
      </c>
      <c r="R109" s="1200"/>
      <c r="S109" s="1075" t="s">
        <v>1436</v>
      </c>
      <c r="T109" s="881" t="s">
        <v>1432</v>
      </c>
      <c r="U109" s="2316">
        <v>1</v>
      </c>
      <c r="V109" s="2316" t="s">
        <v>1433</v>
      </c>
      <c r="W109" s="580"/>
      <c r="X109" s="580"/>
      <c r="Y109" s="580"/>
      <c r="Z109" s="580"/>
      <c r="AA109" s="675"/>
      <c r="AB109" s="580"/>
      <c r="AC109" s="1083"/>
      <c r="AD109" s="793"/>
      <c r="AE109" s="580"/>
      <c r="AF109" s="580"/>
      <c r="AG109" s="675"/>
      <c r="AH109" s="675"/>
      <c r="AI109" s="675"/>
      <c r="AJ109" s="675"/>
      <c r="AK109" s="675"/>
      <c r="AL109" s="675"/>
      <c r="AM109" s="675"/>
      <c r="AN109" s="675"/>
      <c r="AO109" s="675"/>
      <c r="AP109" s="675"/>
      <c r="AQ109" s="675"/>
      <c r="AR109" s="675"/>
      <c r="AS109" s="675"/>
      <c r="AT109" s="675"/>
      <c r="AU109" s="675"/>
      <c r="AV109" s="675"/>
      <c r="AW109" s="675"/>
      <c r="AX109" s="675"/>
      <c r="AY109" s="675"/>
      <c r="AZ109" s="675"/>
      <c r="BA109" s="675"/>
      <c r="BB109" s="675"/>
      <c r="BC109" s="675"/>
      <c r="BD109" s="675"/>
      <c r="BE109" s="675"/>
      <c r="BF109" s="675"/>
      <c r="BG109" s="675"/>
      <c r="BH109" s="675"/>
      <c r="BI109" s="675"/>
      <c r="BJ109" s="675"/>
      <c r="BK109" s="675"/>
      <c r="BL109" s="675"/>
      <c r="BM109" s="675"/>
      <c r="BN109" s="675"/>
      <c r="BO109" s="675"/>
      <c r="BP109" s="675"/>
      <c r="BQ109" s="675"/>
      <c r="BR109" s="675"/>
      <c r="BS109" s="675"/>
      <c r="BT109" s="675"/>
      <c r="BU109" s="675"/>
      <c r="BV109" s="580"/>
      <c r="BW109" s="580"/>
      <c r="BX109" s="580"/>
      <c r="BY109" s="580"/>
      <c r="BZ109" s="580"/>
      <c r="CA109" s="580"/>
      <c r="CB109" s="580"/>
      <c r="CC109" s="580"/>
      <c r="CD109" s="580"/>
      <c r="CE109" s="580"/>
    </row>
    <row s="5661" customFormat="1" customHeight="1" ht="11.25" hidden="1">
      <c r="A110" s="1081"/>
      <c r="B110" s="675"/>
      <c r="C110" s="675"/>
      <c r="D110" s="2318"/>
      <c r="E110" s="799"/>
      <c r="F110" s="799">
        <v>0</v>
      </c>
      <c r="G110" s="799"/>
      <c r="H110" s="799"/>
      <c r="I110" s="799"/>
      <c r="J110" s="799"/>
      <c r="K110" s="799"/>
      <c r="L110" s="799"/>
      <c r="M110" s="799"/>
      <c r="N110" s="799"/>
      <c r="O110" s="799"/>
      <c r="P110" s="799"/>
      <c r="Q110" s="799"/>
      <c r="R110" s="799"/>
      <c r="S110" s="800"/>
      <c r="T110" s="882"/>
      <c r="U110" s="2316"/>
      <c r="V110" s="2316"/>
      <c r="W110" s="675"/>
      <c r="X110" s="675"/>
      <c r="Y110" s="675"/>
      <c r="Z110" s="675"/>
      <c r="AA110" s="675"/>
      <c r="AB110" s="580"/>
      <c r="AC110" s="1083"/>
      <c r="AD110" s="793"/>
      <c r="AE110" s="580"/>
      <c r="AF110" s="580"/>
      <c r="AG110" s="675"/>
      <c r="AH110" s="675"/>
      <c r="AI110" s="675"/>
      <c r="AJ110" s="675"/>
      <c r="AK110" s="675"/>
      <c r="AL110" s="675"/>
      <c r="AM110" s="675"/>
      <c r="AN110" s="675"/>
      <c r="AO110" s="675"/>
      <c r="AP110" s="675"/>
      <c r="AQ110" s="675"/>
      <c r="AR110" s="675"/>
      <c r="AS110" s="675"/>
      <c r="AT110" s="675"/>
      <c r="AU110" s="675"/>
      <c r="AV110" s="675"/>
      <c r="AW110" s="675"/>
      <c r="AX110" s="675"/>
      <c r="AY110" s="675"/>
      <c r="AZ110" s="675"/>
      <c r="BA110" s="675"/>
      <c r="BB110" s="675"/>
      <c r="BC110" s="675"/>
      <c r="BD110" s="675"/>
      <c r="BE110" s="675"/>
      <c r="BF110" s="675"/>
      <c r="BG110" s="675"/>
      <c r="BH110" s="675"/>
      <c r="BI110" s="675"/>
      <c r="BJ110" s="675"/>
      <c r="BK110" s="675"/>
      <c r="BL110" s="675"/>
      <c r="BM110" s="675"/>
      <c r="BN110" s="675"/>
      <c r="BO110" s="675"/>
      <c r="BP110" s="675"/>
      <c r="BQ110" s="675"/>
      <c r="BR110" s="675"/>
      <c r="BS110" s="675"/>
      <c r="BT110" s="675"/>
      <c r="BU110" s="675"/>
      <c r="BV110" s="675"/>
      <c r="BW110" s="675"/>
      <c r="BX110" s="675"/>
      <c r="BY110" s="675"/>
      <c r="BZ110" s="675"/>
      <c r="CA110" s="675"/>
      <c r="CB110" s="675"/>
      <c r="CC110" s="675"/>
      <c r="CD110" s="675"/>
      <c r="CE110" s="675"/>
    </row>
    <row s="5661" customFormat="1" customHeight="1" ht="11.25">
      <c r="A111" s="797"/>
      <c r="B111" s="580"/>
      <c r="C111" s="575"/>
      <c r="D111" s="2319"/>
      <c r="E111" s="813" t="s">
        <v>17</v>
      </c>
      <c r="F111" s="814" t="s">
        <v>17</v>
      </c>
      <c r="G111" s="814" t="s">
        <v>1434</v>
      </c>
      <c r="H111" s="815" t="s">
        <v>17</v>
      </c>
      <c r="I111" s="815"/>
      <c r="J111" s="815"/>
      <c r="K111" s="815"/>
      <c r="L111" s="815"/>
      <c r="M111" s="815"/>
      <c r="N111" s="815"/>
      <c r="O111" s="815"/>
      <c r="P111" s="815"/>
      <c r="Q111" s="815"/>
      <c r="R111" s="816"/>
      <c r="S111" s="817"/>
      <c r="T111" s="882"/>
      <c r="U111" s="2316"/>
      <c r="V111" s="2316"/>
      <c r="W111" s="580"/>
      <c r="X111" s="580"/>
      <c r="Y111" s="580"/>
      <c r="Z111" s="580"/>
      <c r="AA111" s="675"/>
      <c r="AB111" s="580"/>
      <c r="AC111" s="1083"/>
      <c r="AD111" s="793"/>
      <c r="AE111" s="580"/>
      <c r="AF111" s="580"/>
      <c r="AG111" s="675"/>
      <c r="AH111" s="675"/>
      <c r="AI111" s="675"/>
      <c r="AJ111" s="675"/>
      <c r="AK111" s="675"/>
      <c r="AL111" s="675"/>
      <c r="AM111" s="675"/>
      <c r="AN111" s="675"/>
      <c r="AO111" s="675"/>
      <c r="AP111" s="675"/>
      <c r="AQ111" s="675"/>
      <c r="AR111" s="675"/>
      <c r="AS111" s="675"/>
      <c r="AT111" s="675"/>
      <c r="AU111" s="675"/>
      <c r="AV111" s="675"/>
      <c r="AW111" s="675"/>
      <c r="AX111" s="675"/>
      <c r="AY111" s="675"/>
      <c r="AZ111" s="675"/>
      <c r="BA111" s="675"/>
      <c r="BB111" s="675"/>
      <c r="BC111" s="675"/>
      <c r="BD111" s="675"/>
      <c r="BE111" s="675"/>
      <c r="BF111" s="675"/>
      <c r="BG111" s="675"/>
      <c r="BH111" s="675"/>
      <c r="BI111" s="675"/>
      <c r="BJ111" s="675"/>
      <c r="BK111" s="675"/>
      <c r="BL111" s="675"/>
      <c r="BM111" s="675"/>
      <c r="BN111" s="675"/>
      <c r="BO111" s="675"/>
      <c r="BP111" s="675"/>
      <c r="BQ111" s="675"/>
      <c r="BR111" s="675"/>
      <c r="BS111" s="675"/>
      <c r="BT111" s="675"/>
      <c r="BU111" s="675"/>
      <c r="BV111" s="580"/>
      <c r="BW111" s="580"/>
      <c r="BX111" s="580"/>
      <c r="BY111" s="580"/>
      <c r="BZ111" s="580"/>
      <c r="CA111" s="580"/>
      <c r="CB111" s="580"/>
      <c r="CC111" s="580"/>
      <c r="CD111" s="580"/>
      <c r="CE111" s="580"/>
    </row>
    <row s="6050" customFormat="1" customHeight="1" ht="17.25"/>
    <row s="6051" customFormat="1" customHeight="1" ht="11.25">
      <c r="A113" s="211" t="s">
        <v>1437</v>
      </c>
    </row>
    <row s="6050" customFormat="1" customHeight="1" ht="17.25"/>
    <row s="5661" customFormat="1" customHeight="1" ht="15">
      <c r="A115" s="787"/>
      <c r="B115" s="788"/>
      <c r="C115" s="788"/>
      <c r="D115" s="2317" t="s">
        <v>118</v>
      </c>
      <c r="E115" s="2301" t="s">
        <v>114</v>
      </c>
      <c r="F115" s="2302"/>
      <c r="G115" s="2303"/>
      <c r="H115" s="2304" t="str">
        <f>IF(A115="","",INDEX(DIFFERENTIATION_UNMERGE_VD,MATCH(A115,DIFFERENTIATION_ID_DIFF,0)))</f>
        <v/>
      </c>
      <c r="I115" s="2304"/>
      <c r="J115" s="2304"/>
      <c r="K115" s="2304"/>
      <c r="L115" s="2304"/>
      <c r="M115" s="2304"/>
      <c r="N115" s="2304"/>
      <c r="O115" s="2304"/>
      <c r="P115" s="2304"/>
      <c r="Q115" s="2304"/>
      <c r="R115" s="2304"/>
      <c r="S115" s="883"/>
      <c r="T115" s="880"/>
      <c r="U115" s="789"/>
      <c r="V115" s="789"/>
      <c r="W115" s="790"/>
      <c r="X115" s="790"/>
      <c r="Y115" s="790"/>
      <c r="Z115" s="790"/>
      <c r="AA115" s="791"/>
      <c r="AB115" s="792"/>
      <c r="AC115" s="2300"/>
      <c r="AD115" s="793"/>
      <c r="AE115" s="794" t="s">
        <v>17</v>
      </c>
      <c r="AF115" s="794"/>
      <c r="AG115" s="795" t="s">
        <v>1427</v>
      </c>
      <c r="AH115" s="796">
        <v>3</v>
      </c>
      <c r="AI115" s="789"/>
      <c r="AJ115" s="789"/>
      <c r="AK115" s="789"/>
      <c r="AL115" s="789"/>
      <c r="AM115" s="789"/>
      <c r="AN115" s="789"/>
      <c r="AO115" s="789"/>
      <c r="AP115" s="789"/>
      <c r="AQ115" s="789"/>
      <c r="AR115" s="789"/>
      <c r="AS115" s="789"/>
      <c r="AT115" s="789"/>
      <c r="AU115" s="789"/>
      <c r="AV115" s="789"/>
      <c r="AW115" s="789"/>
      <c r="AX115" s="789"/>
      <c r="AY115" s="789"/>
      <c r="AZ115" s="789"/>
      <c r="BA115" s="789"/>
      <c r="BB115" s="789"/>
      <c r="BC115" s="789"/>
      <c r="BD115" s="789"/>
      <c r="BE115" s="789"/>
      <c r="BF115" s="789"/>
      <c r="BG115" s="789"/>
      <c r="BH115" s="789"/>
      <c r="BI115" s="789"/>
      <c r="BJ115" s="789"/>
      <c r="BK115" s="789"/>
      <c r="BL115" s="789"/>
      <c r="BM115" s="789"/>
      <c r="BN115" s="789"/>
      <c r="BO115" s="789"/>
      <c r="BP115" s="789"/>
      <c r="BQ115" s="789"/>
      <c r="BR115" s="789"/>
      <c r="BS115" s="789"/>
      <c r="BT115" s="789"/>
      <c r="BU115" s="789"/>
      <c r="BV115" s="790"/>
      <c r="BW115" s="790"/>
      <c r="BX115" s="790"/>
      <c r="BY115" s="790"/>
      <c r="BZ115" s="790"/>
      <c r="CA115" s="790"/>
      <c r="CB115" s="790"/>
      <c r="CC115" s="790"/>
      <c r="CD115" s="790"/>
      <c r="CE115" s="790"/>
    </row>
    <row s="5661" customFormat="1" customHeight="1" ht="15">
      <c r="A116" s="787"/>
      <c r="B116" s="788"/>
      <c r="C116" s="788"/>
      <c r="D116" s="2318"/>
      <c r="E116" s="2301" t="s">
        <v>1428</v>
      </c>
      <c r="F116" s="2302"/>
      <c r="G116" s="2303"/>
      <c r="H116" s="2304" t="str">
        <f>IF(A115="","",INDEX(DIFFERENTIATION_UNMERGE_AREA,MATCH(A115,DIFFERENTIATION_ID_DIFF,0)))</f>
        <v/>
      </c>
      <c r="I116" s="2304"/>
      <c r="J116" s="2304"/>
      <c r="K116" s="2304"/>
      <c r="L116" s="2304"/>
      <c r="M116" s="2304"/>
      <c r="N116" s="2304"/>
      <c r="O116" s="2304"/>
      <c r="P116" s="2304"/>
      <c r="Q116" s="2304"/>
      <c r="R116" s="2304"/>
      <c r="S116" s="883"/>
      <c r="T116" s="880"/>
      <c r="U116" s="789"/>
      <c r="V116" s="789"/>
      <c r="W116" s="790"/>
      <c r="X116" s="790"/>
      <c r="Y116" s="790"/>
      <c r="Z116" s="790"/>
      <c r="AA116" s="791"/>
      <c r="AB116" s="792"/>
      <c r="AC116" s="2300"/>
      <c r="AD116" s="793"/>
      <c r="AE116" s="794"/>
      <c r="AF116" s="794"/>
      <c r="AG116" s="795"/>
      <c r="AH116" s="796"/>
      <c r="AI116" s="789"/>
      <c r="AJ116" s="789"/>
      <c r="AK116" s="789"/>
      <c r="AL116" s="789"/>
      <c r="AM116" s="789"/>
      <c r="AN116" s="789"/>
      <c r="AO116" s="789"/>
      <c r="AP116" s="789"/>
      <c r="AQ116" s="789"/>
      <c r="AR116" s="789"/>
      <c r="AS116" s="789"/>
      <c r="AT116" s="789"/>
      <c r="AU116" s="789"/>
      <c r="AV116" s="789"/>
      <c r="AW116" s="789"/>
      <c r="AX116" s="789"/>
      <c r="AY116" s="789"/>
      <c r="AZ116" s="789"/>
      <c r="BA116" s="789"/>
      <c r="BB116" s="789"/>
      <c r="BC116" s="789"/>
      <c r="BD116" s="789"/>
      <c r="BE116" s="789"/>
      <c r="BF116" s="789"/>
      <c r="BG116" s="789"/>
      <c r="BH116" s="789"/>
      <c r="BI116" s="789"/>
      <c r="BJ116" s="789"/>
      <c r="BK116" s="789"/>
      <c r="BL116" s="789"/>
      <c r="BM116" s="789"/>
      <c r="BN116" s="789"/>
      <c r="BO116" s="789"/>
      <c r="BP116" s="789"/>
      <c r="BQ116" s="789"/>
      <c r="BR116" s="789"/>
      <c r="BS116" s="789"/>
      <c r="BT116" s="789"/>
      <c r="BU116" s="789"/>
      <c r="BV116" s="790"/>
      <c r="BW116" s="790"/>
      <c r="BX116" s="790"/>
      <c r="BY116" s="790"/>
      <c r="BZ116" s="790"/>
      <c r="CA116" s="790"/>
      <c r="CB116" s="790"/>
      <c r="CC116" s="790"/>
      <c r="CD116" s="790"/>
      <c r="CE116" s="790"/>
    </row>
    <row s="5661" customFormat="1" customHeight="1" ht="15">
      <c r="A117" s="787"/>
      <c r="B117" s="788"/>
      <c r="C117" s="788"/>
      <c r="D117" s="2318"/>
      <c r="E117" s="2301" t="s">
        <v>1429</v>
      </c>
      <c r="F117" s="2302"/>
      <c r="G117" s="2303"/>
      <c r="H117" s="2304" t="str">
        <f>IF(A115="","",INDEX(DIFFERENTIATION_UNMERGE_SYSTEM,MATCH(A115,DIFFERENTIATION_ID_DIFF,0)))</f>
        <v/>
      </c>
      <c r="I117" s="2304"/>
      <c r="J117" s="2304"/>
      <c r="K117" s="2304"/>
      <c r="L117" s="2304"/>
      <c r="M117" s="2304"/>
      <c r="N117" s="2304"/>
      <c r="O117" s="2304"/>
      <c r="P117" s="2304"/>
      <c r="Q117" s="2304"/>
      <c r="R117" s="2304"/>
      <c r="S117" s="883"/>
      <c r="T117" s="880"/>
      <c r="U117" s="789"/>
      <c r="V117" s="789"/>
      <c r="W117" s="790"/>
      <c r="X117" s="790"/>
      <c r="Y117" s="790"/>
      <c r="Z117" s="790"/>
      <c r="AA117" s="791"/>
      <c r="AB117" s="792"/>
      <c r="AC117" s="2300"/>
      <c r="AD117" s="793"/>
      <c r="AE117" s="794"/>
      <c r="AF117" s="794"/>
      <c r="AG117" s="795"/>
      <c r="AH117" s="796"/>
      <c r="AI117" s="789"/>
      <c r="AJ117" s="789"/>
      <c r="AK117" s="789"/>
      <c r="AL117" s="789"/>
      <c r="AM117" s="789"/>
      <c r="AN117" s="789"/>
      <c r="AO117" s="789"/>
      <c r="AP117" s="789"/>
      <c r="AQ117" s="789"/>
      <c r="AR117" s="789"/>
      <c r="AS117" s="789"/>
      <c r="AT117" s="789"/>
      <c r="AU117" s="789"/>
      <c r="AV117" s="789"/>
      <c r="AW117" s="789"/>
      <c r="AX117" s="789"/>
      <c r="AY117" s="789"/>
      <c r="AZ117" s="789"/>
      <c r="BA117" s="789"/>
      <c r="BB117" s="789"/>
      <c r="BC117" s="789"/>
      <c r="BD117" s="789"/>
      <c r="BE117" s="789"/>
      <c r="BF117" s="789"/>
      <c r="BG117" s="789"/>
      <c r="BH117" s="789"/>
      <c r="BI117" s="789"/>
      <c r="BJ117" s="789"/>
      <c r="BK117" s="789"/>
      <c r="BL117" s="789"/>
      <c r="BM117" s="789"/>
      <c r="BN117" s="789"/>
      <c r="BO117" s="789"/>
      <c r="BP117" s="789"/>
      <c r="BQ117" s="789"/>
      <c r="BR117" s="789"/>
      <c r="BS117" s="789"/>
      <c r="BT117" s="789"/>
      <c r="BU117" s="789"/>
      <c r="BV117" s="790"/>
      <c r="BW117" s="790"/>
      <c r="BX117" s="790"/>
      <c r="BY117" s="790"/>
      <c r="BZ117" s="790"/>
      <c r="CA117" s="790"/>
      <c r="CB117" s="790"/>
      <c r="CC117" s="790"/>
      <c r="CD117" s="790"/>
      <c r="CE117" s="790"/>
    </row>
    <row s="5661" customFormat="1" customHeight="1" ht="24.75">
      <c r="A118" s="797"/>
      <c r="B118" s="580"/>
      <c r="C118" s="575"/>
      <c r="D118" s="2318"/>
      <c r="E118" s="2315" t="s">
        <v>1430</v>
      </c>
      <c r="F118" s="2315"/>
      <c r="G118" s="2315"/>
      <c r="H118" s="2315"/>
      <c r="I118" s="2315"/>
      <c r="J118" s="2315"/>
      <c r="K118" s="2315"/>
      <c r="L118" s="2315"/>
      <c r="M118" s="2315"/>
      <c r="N118" s="2315"/>
      <c r="O118" s="2315"/>
      <c r="P118" s="2315"/>
      <c r="Q118" s="722">
        <f>SUMIF(T119:T120,"i",Q119:Q120)</f>
        <v>0</v>
      </c>
      <c r="R118" s="1200"/>
      <c r="S118" s="1205" t="s">
        <v>1431</v>
      </c>
      <c r="T118" s="881" t="s">
        <v>1432</v>
      </c>
      <c r="U118" s="2316">
        <v>1</v>
      </c>
      <c r="V118" s="2316" t="s">
        <v>1433</v>
      </c>
      <c r="W118" s="580"/>
      <c r="X118" s="580"/>
      <c r="Y118" s="580"/>
      <c r="Z118" s="580"/>
      <c r="AA118" s="675"/>
      <c r="AB118" s="580"/>
      <c r="AC118" s="2300"/>
      <c r="AD118" s="793"/>
      <c r="AE118" s="580"/>
      <c r="AF118" s="580"/>
      <c r="AG118" s="675"/>
      <c r="AH118" s="675"/>
      <c r="AI118" s="675"/>
      <c r="AJ118" s="675"/>
      <c r="AK118" s="675"/>
      <c r="AL118" s="675"/>
      <c r="AM118" s="675"/>
      <c r="AN118" s="675"/>
      <c r="AO118" s="675"/>
      <c r="AP118" s="675"/>
      <c r="AQ118" s="675"/>
      <c r="AR118" s="675"/>
      <c r="AS118" s="675"/>
      <c r="AT118" s="675"/>
      <c r="AU118" s="675"/>
      <c r="AV118" s="675"/>
      <c r="AW118" s="675"/>
      <c r="AX118" s="675"/>
      <c r="AY118" s="675"/>
      <c r="AZ118" s="675"/>
      <c r="BA118" s="675"/>
      <c r="BB118" s="675"/>
      <c r="BC118" s="675"/>
      <c r="BD118" s="675"/>
      <c r="BE118" s="675"/>
      <c r="BF118" s="675"/>
      <c r="BG118" s="675"/>
      <c r="BH118" s="675"/>
      <c r="BI118" s="675"/>
      <c r="BJ118" s="675"/>
      <c r="BK118" s="675"/>
      <c r="BL118" s="675"/>
      <c r="BM118" s="675"/>
      <c r="BN118" s="675"/>
      <c r="BO118" s="675"/>
      <c r="BP118" s="675"/>
      <c r="BQ118" s="675"/>
      <c r="BR118" s="675"/>
      <c r="BS118" s="675"/>
      <c r="BT118" s="675"/>
      <c r="BU118" s="675"/>
      <c r="BV118" s="580"/>
      <c r="BW118" s="580"/>
      <c r="BX118" s="580"/>
      <c r="BY118" s="580"/>
      <c r="BZ118" s="580"/>
      <c r="CA118" s="580"/>
      <c r="CB118" s="580"/>
      <c r="CC118" s="580"/>
      <c r="CD118" s="580"/>
      <c r="CE118" s="580"/>
    </row>
    <row s="5661" customFormat="1" customHeight="1" ht="11.25" hidden="1">
      <c r="A119" s="1204"/>
      <c r="B119" s="675"/>
      <c r="C119" s="675"/>
      <c r="D119" s="2318"/>
      <c r="E119" s="799"/>
      <c r="F119" s="799">
        <v>0</v>
      </c>
      <c r="G119" s="799"/>
      <c r="H119" s="799"/>
      <c r="I119" s="799"/>
      <c r="J119" s="799"/>
      <c r="K119" s="799"/>
      <c r="L119" s="799"/>
      <c r="M119" s="799"/>
      <c r="N119" s="799"/>
      <c r="O119" s="799"/>
      <c r="P119" s="799"/>
      <c r="Q119" s="799"/>
      <c r="R119" s="799"/>
      <c r="S119" s="800"/>
      <c r="T119" s="882"/>
      <c r="U119" s="2316"/>
      <c r="V119" s="2316"/>
      <c r="W119" s="675"/>
      <c r="X119" s="675"/>
      <c r="Y119" s="675"/>
      <c r="Z119" s="675"/>
      <c r="AA119" s="675"/>
      <c r="AB119" s="580"/>
      <c r="AC119" s="2300"/>
      <c r="AD119" s="793"/>
      <c r="AE119" s="580"/>
      <c r="AF119" s="580"/>
      <c r="AG119" s="675"/>
      <c r="AH119" s="675"/>
      <c r="AI119" s="675"/>
      <c r="AJ119" s="675"/>
      <c r="AK119" s="675"/>
      <c r="AL119" s="675"/>
      <c r="AM119" s="675"/>
      <c r="AN119" s="675"/>
      <c r="AO119" s="675"/>
      <c r="AP119" s="675"/>
      <c r="AQ119" s="675"/>
      <c r="AR119" s="675"/>
      <c r="AS119" s="675"/>
      <c r="AT119" s="675"/>
      <c r="AU119" s="675"/>
      <c r="AV119" s="675"/>
      <c r="AW119" s="675"/>
      <c r="AX119" s="675"/>
      <c r="AY119" s="675"/>
      <c r="AZ119" s="675"/>
      <c r="BA119" s="675"/>
      <c r="BB119" s="675"/>
      <c r="BC119" s="675"/>
      <c r="BD119" s="675"/>
      <c r="BE119" s="675"/>
      <c r="BF119" s="675"/>
      <c r="BG119" s="675"/>
      <c r="BH119" s="675"/>
      <c r="BI119" s="675"/>
      <c r="BJ119" s="675"/>
      <c r="BK119" s="675"/>
      <c r="BL119" s="675"/>
      <c r="BM119" s="675"/>
      <c r="BN119" s="675"/>
      <c r="BO119" s="675"/>
      <c r="BP119" s="675"/>
      <c r="BQ119" s="675"/>
      <c r="BR119" s="675"/>
      <c r="BS119" s="675"/>
      <c r="BT119" s="675"/>
      <c r="BU119" s="675"/>
      <c r="BV119" s="675"/>
      <c r="BW119" s="675"/>
      <c r="BX119" s="675"/>
      <c r="BY119" s="675"/>
      <c r="BZ119" s="675"/>
      <c r="CA119" s="675"/>
      <c r="CB119" s="675"/>
      <c r="CC119" s="675"/>
      <c r="CD119" s="675"/>
      <c r="CE119" s="675"/>
    </row>
    <row s="5661" customFormat="1" customHeight="1" ht="11.25">
      <c r="A120" s="797"/>
      <c r="B120" s="580"/>
      <c r="C120" s="575"/>
      <c r="D120" s="2318"/>
      <c r="E120" s="813" t="s">
        <v>17</v>
      </c>
      <c r="F120" s="814" t="s">
        <v>17</v>
      </c>
      <c r="G120" s="814" t="s">
        <v>1434</v>
      </c>
      <c r="H120" s="815" t="s">
        <v>17</v>
      </c>
      <c r="I120" s="815"/>
      <c r="J120" s="815"/>
      <c r="K120" s="815"/>
      <c r="L120" s="815"/>
      <c r="M120" s="815"/>
      <c r="N120" s="815"/>
      <c r="O120" s="815"/>
      <c r="P120" s="815"/>
      <c r="Q120" s="815"/>
      <c r="R120" s="816"/>
      <c r="S120" s="817"/>
      <c r="T120" s="882"/>
      <c r="U120" s="2316"/>
      <c r="V120" s="2316"/>
      <c r="W120" s="580"/>
      <c r="X120" s="580"/>
      <c r="Y120" s="580"/>
      <c r="Z120" s="580"/>
      <c r="AA120" s="675"/>
      <c r="AB120" s="580"/>
      <c r="AC120" s="2300"/>
      <c r="AD120" s="793"/>
      <c r="AE120" s="580"/>
      <c r="AF120" s="580"/>
      <c r="AG120" s="675"/>
      <c r="AH120" s="675"/>
      <c r="AI120" s="675"/>
      <c r="AJ120" s="675"/>
      <c r="AK120" s="675"/>
      <c r="AL120" s="675"/>
      <c r="AM120" s="675"/>
      <c r="AN120" s="675"/>
      <c r="AO120" s="675"/>
      <c r="AP120" s="675"/>
      <c r="AQ120" s="675"/>
      <c r="AR120" s="675"/>
      <c r="AS120" s="675"/>
      <c r="AT120" s="675"/>
      <c r="AU120" s="675"/>
      <c r="AV120" s="675"/>
      <c r="AW120" s="675"/>
      <c r="AX120" s="675"/>
      <c r="AY120" s="675"/>
      <c r="AZ120" s="675"/>
      <c r="BA120" s="675"/>
      <c r="BB120" s="675"/>
      <c r="BC120" s="675"/>
      <c r="BD120" s="675"/>
      <c r="BE120" s="675"/>
      <c r="BF120" s="675"/>
      <c r="BG120" s="675"/>
      <c r="BH120" s="675"/>
      <c r="BI120" s="675"/>
      <c r="BJ120" s="675"/>
      <c r="BK120" s="675"/>
      <c r="BL120" s="675"/>
      <c r="BM120" s="675"/>
      <c r="BN120" s="675"/>
      <c r="BO120" s="675"/>
      <c r="BP120" s="675"/>
      <c r="BQ120" s="675"/>
      <c r="BR120" s="675"/>
      <c r="BS120" s="675"/>
      <c r="BT120" s="675"/>
      <c r="BU120" s="675"/>
      <c r="BV120" s="580"/>
      <c r="BW120" s="580"/>
      <c r="BX120" s="580"/>
      <c r="BY120" s="580"/>
      <c r="BZ120" s="580"/>
      <c r="CA120" s="580"/>
      <c r="CB120" s="580"/>
      <c r="CC120" s="580"/>
      <c r="CD120" s="580"/>
      <c r="CE120" s="580"/>
    </row>
    <row s="5579" customFormat="1" customHeight="1" ht="5.25" hidden="1">
      <c r="A121" s="1204"/>
      <c r="B121" s="675"/>
      <c r="C121" s="675"/>
      <c r="D121" s="2318"/>
      <c r="E121" s="1224"/>
      <c r="F121" s="1224"/>
      <c r="G121" s="1224"/>
      <c r="H121" s="1224"/>
      <c r="I121" s="1224"/>
      <c r="J121" s="1224"/>
      <c r="K121" s="1224"/>
      <c r="L121" s="1224"/>
      <c r="M121" s="1224"/>
      <c r="N121" s="1224"/>
      <c r="O121" s="1224"/>
      <c r="P121" s="1224"/>
      <c r="Q121" s="1225"/>
      <c r="R121" s="1226"/>
      <c r="S121" s="1227"/>
      <c r="T121" s="881" t="s">
        <v>1432</v>
      </c>
      <c r="U121" s="2316">
        <v>1</v>
      </c>
      <c r="V121" s="2316" t="s">
        <v>1433</v>
      </c>
      <c r="W121" s="675"/>
      <c r="X121" s="675"/>
      <c r="Y121" s="675"/>
      <c r="Z121" s="675"/>
      <c r="AA121" s="675"/>
      <c r="AB121" s="675"/>
      <c r="AC121" s="1222"/>
      <c r="AD121" s="1223"/>
      <c r="AE121" s="675"/>
      <c r="AF121" s="675"/>
      <c r="AG121" s="675"/>
      <c r="AH121" s="675"/>
      <c r="AI121" s="675"/>
      <c r="AJ121" s="675"/>
      <c r="AK121" s="675"/>
      <c r="AL121" s="675"/>
      <c r="AM121" s="675"/>
      <c r="AN121" s="675"/>
      <c r="AO121" s="675"/>
      <c r="AP121" s="675"/>
      <c r="AQ121" s="675"/>
      <c r="AR121" s="675"/>
      <c r="AS121" s="675"/>
      <c r="AT121" s="675"/>
      <c r="AU121" s="675"/>
      <c r="AV121" s="675"/>
      <c r="AW121" s="675"/>
      <c r="AX121" s="675"/>
      <c r="AY121" s="675"/>
      <c r="AZ121" s="675"/>
      <c r="BA121" s="675"/>
      <c r="BB121" s="675"/>
      <c r="BC121" s="675"/>
      <c r="BD121" s="675"/>
      <c r="BE121" s="675"/>
      <c r="BF121" s="675"/>
      <c r="BG121" s="675"/>
      <c r="BH121" s="675"/>
      <c r="BI121" s="675"/>
      <c r="BJ121" s="675"/>
      <c r="BK121" s="675"/>
      <c r="BL121" s="675"/>
      <c r="BM121" s="675"/>
      <c r="BN121" s="675"/>
      <c r="BO121" s="675"/>
      <c r="BP121" s="675"/>
      <c r="BQ121" s="675"/>
      <c r="BR121" s="675"/>
      <c r="BS121" s="675"/>
      <c r="BT121" s="675"/>
      <c r="BU121" s="675"/>
      <c r="BV121" s="675"/>
      <c r="BW121" s="675"/>
      <c r="BX121" s="675"/>
      <c r="BY121" s="675"/>
      <c r="BZ121" s="675"/>
      <c r="CA121" s="675"/>
      <c r="CB121" s="675"/>
      <c r="CC121" s="675"/>
      <c r="CD121" s="675"/>
      <c r="CE121" s="675"/>
    </row>
    <row s="5579" customFormat="1" customHeight="1" ht="5.25" hidden="1">
      <c r="A122" s="1204"/>
      <c r="B122" s="675"/>
      <c r="C122" s="675"/>
      <c r="D122" s="2318"/>
      <c r="E122" s="799"/>
      <c r="F122" s="799"/>
      <c r="G122" s="799"/>
      <c r="H122" s="799"/>
      <c r="I122" s="799"/>
      <c r="J122" s="799"/>
      <c r="K122" s="799"/>
      <c r="L122" s="799"/>
      <c r="M122" s="799"/>
      <c r="N122" s="799"/>
      <c r="O122" s="799"/>
      <c r="P122" s="799"/>
      <c r="Q122" s="799"/>
      <c r="R122" s="799"/>
      <c r="S122" s="800"/>
      <c r="T122" s="882"/>
      <c r="U122" s="2316"/>
      <c r="V122" s="2316"/>
      <c r="W122" s="675"/>
      <c r="X122" s="675"/>
      <c r="Y122" s="675"/>
      <c r="Z122" s="675"/>
      <c r="AA122" s="675"/>
      <c r="AB122" s="675"/>
      <c r="AC122" s="1222"/>
      <c r="AD122" s="1223"/>
      <c r="AE122" s="675"/>
      <c r="AF122" s="675"/>
      <c r="AG122" s="675"/>
      <c r="AH122" s="675"/>
      <c r="AI122" s="675"/>
      <c r="AJ122" s="675"/>
      <c r="AK122" s="675"/>
      <c r="AL122" s="675"/>
      <c r="AM122" s="675"/>
      <c r="AN122" s="675"/>
      <c r="AO122" s="675"/>
      <c r="AP122" s="675"/>
      <c r="AQ122" s="675"/>
      <c r="AR122" s="675"/>
      <c r="AS122" s="675"/>
      <c r="AT122" s="675"/>
      <c r="AU122" s="675"/>
      <c r="AV122" s="675"/>
      <c r="AW122" s="675"/>
      <c r="AX122" s="675"/>
      <c r="AY122" s="675"/>
      <c r="AZ122" s="675"/>
      <c r="BA122" s="675"/>
      <c r="BB122" s="675"/>
      <c r="BC122" s="675"/>
      <c r="BD122" s="675"/>
      <c r="BE122" s="675"/>
      <c r="BF122" s="675"/>
      <c r="BG122" s="675"/>
      <c r="BH122" s="675"/>
      <c r="BI122" s="675"/>
      <c r="BJ122" s="675"/>
      <c r="BK122" s="675"/>
      <c r="BL122" s="675"/>
      <c r="BM122" s="675"/>
      <c r="BN122" s="675"/>
      <c r="BO122" s="675"/>
      <c r="BP122" s="675"/>
      <c r="BQ122" s="675"/>
      <c r="BR122" s="675"/>
      <c r="BS122" s="675"/>
      <c r="BT122" s="675"/>
      <c r="BU122" s="675"/>
      <c r="BV122" s="675"/>
      <c r="BW122" s="675"/>
      <c r="BX122" s="675"/>
      <c r="BY122" s="675"/>
      <c r="BZ122" s="675"/>
      <c r="CA122" s="675"/>
      <c r="CB122" s="675"/>
      <c r="CC122" s="675"/>
      <c r="CD122" s="675"/>
      <c r="CE122" s="675"/>
    </row>
    <row s="5579" customFormat="1" customHeight="1" ht="5.25" hidden="1">
      <c r="A123" s="1204"/>
      <c r="B123" s="675"/>
      <c r="C123" s="675"/>
      <c r="D123" s="2319"/>
      <c r="E123" s="1228"/>
      <c r="F123" s="1229"/>
      <c r="G123" s="1229"/>
      <c r="H123" s="1230"/>
      <c r="I123" s="1230"/>
      <c r="J123" s="1230"/>
      <c r="K123" s="1230"/>
      <c r="L123" s="1230"/>
      <c r="M123" s="1230"/>
      <c r="N123" s="1230"/>
      <c r="O123" s="1230"/>
      <c r="P123" s="1230"/>
      <c r="Q123" s="1230"/>
      <c r="R123" s="1129"/>
      <c r="S123" s="1231"/>
      <c r="T123" s="882"/>
      <c r="U123" s="2316"/>
      <c r="V123" s="2316"/>
      <c r="W123" s="675"/>
      <c r="X123" s="675"/>
      <c r="Y123" s="675"/>
      <c r="Z123" s="675"/>
      <c r="AA123" s="675"/>
      <c r="AB123" s="675"/>
      <c r="AC123" s="1222"/>
      <c r="AD123" s="1223"/>
      <c r="AE123" s="675"/>
      <c r="AF123" s="675"/>
      <c r="AG123" s="675"/>
      <c r="AH123" s="675"/>
      <c r="AI123" s="675"/>
      <c r="AJ123" s="675"/>
      <c r="AK123" s="675"/>
      <c r="AL123" s="675"/>
      <c r="AM123" s="675"/>
      <c r="AN123" s="675"/>
      <c r="AO123" s="675"/>
      <c r="AP123" s="675"/>
      <c r="AQ123" s="675"/>
      <c r="AR123" s="675"/>
      <c r="AS123" s="675"/>
      <c r="AT123" s="675"/>
      <c r="AU123" s="675"/>
      <c r="AV123" s="675"/>
      <c r="AW123" s="675"/>
      <c r="AX123" s="675"/>
      <c r="AY123" s="675"/>
      <c r="AZ123" s="675"/>
      <c r="BA123" s="675"/>
      <c r="BB123" s="675"/>
      <c r="BC123" s="675"/>
      <c r="BD123" s="675"/>
      <c r="BE123" s="675"/>
      <c r="BF123" s="675"/>
      <c r="BG123" s="675"/>
      <c r="BH123" s="675"/>
      <c r="BI123" s="675"/>
      <c r="BJ123" s="675"/>
      <c r="BK123" s="675"/>
      <c r="BL123" s="675"/>
      <c r="BM123" s="675"/>
      <c r="BN123" s="675"/>
      <c r="BO123" s="675"/>
      <c r="BP123" s="675"/>
      <c r="BQ123" s="675"/>
      <c r="BR123" s="675"/>
      <c r="BS123" s="675"/>
      <c r="BT123" s="675"/>
      <c r="BU123" s="675"/>
      <c r="BV123" s="675"/>
      <c r="BW123" s="675"/>
      <c r="BX123" s="675"/>
      <c r="BY123" s="675"/>
      <c r="BZ123" s="675"/>
      <c r="CA123" s="675"/>
      <c r="CB123" s="675"/>
      <c r="CC123" s="675"/>
      <c r="CD123" s="675"/>
      <c r="CE123" s="675"/>
    </row>
    <row s="6050" customFormat="1" customHeight="1" ht="17.25">
      <c r="D124" s="1232"/>
    </row>
    <row s="6051" customFormat="1" customHeight="1" ht="11.25">
      <c r="A125" s="211" t="s">
        <v>1438</v>
      </c>
    </row>
    <row s="6050" customFormat="1" customHeight="1" ht="17.25"/>
    <row s="5661" customFormat="1" customHeight="1" ht="45">
      <c r="A127" s="797"/>
      <c r="B127" s="580"/>
      <c r="C127" s="575"/>
      <c r="D127" s="525"/>
      <c r="E127" s="2305"/>
      <c r="F127" s="2262" t="s">
        <v>118</v>
      </c>
      <c r="G127" s="2308" t="s">
        <v>17</v>
      </c>
      <c r="H127" s="426"/>
      <c r="I127" s="801" t="s">
        <v>118</v>
      </c>
      <c r="J127" s="1076" t="s">
        <v>1439</v>
      </c>
      <c r="K127" s="802" t="s">
        <v>1440</v>
      </c>
      <c r="L127" s="2206" t="s">
        <v>1440</v>
      </c>
      <c r="M127" s="2310"/>
      <c r="N127" s="802" t="s">
        <v>1440</v>
      </c>
      <c r="O127" s="802" t="s">
        <v>1440</v>
      </c>
      <c r="P127" s="802" t="s">
        <v>1440</v>
      </c>
      <c r="Q127" s="803">
        <f>SUM(Q128:Q130)</f>
        <v>0</v>
      </c>
      <c r="R127" s="803">
        <f>IF(R124=0,0,(Q124/R124)*100)</f>
        <v>0</v>
      </c>
      <c r="S127" s="2311"/>
      <c r="T127" s="881" t="s">
        <v>1432</v>
      </c>
      <c r="U127" s="525"/>
      <c r="V127" s="525"/>
      <c r="AC127" s="525"/>
    </row>
    <row s="5661" customFormat="1" customHeight="1" ht="11.25">
      <c r="A128" s="797"/>
      <c r="B128" s="580"/>
      <c r="C128" s="575"/>
      <c r="D128" s="525"/>
      <c r="E128" s="2306"/>
      <c r="F128" s="2262"/>
      <c r="G128" s="2308"/>
      <c r="H128" s="2204"/>
      <c r="I128" s="2258" t="s">
        <v>627</v>
      </c>
      <c r="J128" s="2312"/>
      <c r="K128" s="2313"/>
      <c r="L128" s="804"/>
      <c r="M128" s="805" t="s">
        <v>118</v>
      </c>
      <c r="N128" s="1082"/>
      <c r="O128" s="806"/>
      <c r="P128" s="807"/>
      <c r="Q128" s="806"/>
      <c r="R128" s="808">
        <v>0</v>
      </c>
      <c r="S128" s="2311"/>
      <c r="T128" s="881"/>
      <c r="U128" s="525"/>
      <c r="V128" s="525"/>
      <c r="AC128" s="525"/>
    </row>
    <row s="5661" customFormat="1" customHeight="1" ht="11.25">
      <c r="A129" s="797"/>
      <c r="B129" s="580"/>
      <c r="C129" s="575"/>
      <c r="D129" s="525"/>
      <c r="E129" s="2306"/>
      <c r="F129" s="2262"/>
      <c r="G129" s="2308"/>
      <c r="H129" s="2204"/>
      <c r="I129" s="2258"/>
      <c r="J129" s="2312"/>
      <c r="K129" s="2314"/>
      <c r="L129" s="809"/>
      <c r="M129" s="810"/>
      <c r="N129" s="811" t="s">
        <v>1441</v>
      </c>
      <c r="O129" s="811"/>
      <c r="P129" s="811"/>
      <c r="Q129" s="811"/>
      <c r="R129" s="812"/>
      <c r="S129" s="2311"/>
      <c r="T129" s="881"/>
      <c r="U129" s="525"/>
      <c r="V129" s="525"/>
      <c r="AC129" s="525"/>
    </row>
    <row s="5661" customFormat="1" customHeight="1" ht="11.25">
      <c r="A130" s="797"/>
      <c r="B130" s="580"/>
      <c r="C130" s="575"/>
      <c r="D130" s="525"/>
      <c r="E130" s="2307"/>
      <c r="F130" s="2262"/>
      <c r="G130" s="2309"/>
      <c r="H130" s="809" t="s">
        <v>17</v>
      </c>
      <c r="I130" s="810"/>
      <c r="J130" s="811" t="s">
        <v>1442</v>
      </c>
      <c r="K130" s="811"/>
      <c r="L130" s="811"/>
      <c r="M130" s="811"/>
      <c r="N130" s="811"/>
      <c r="O130" s="811"/>
      <c r="P130" s="811"/>
      <c r="Q130" s="811"/>
      <c r="R130" s="812"/>
      <c r="S130" s="2311"/>
      <c r="T130" s="881"/>
      <c r="U130" s="525"/>
      <c r="V130" s="525"/>
      <c r="AC130" s="525"/>
    </row>
    <row s="6050" customFormat="1" customHeight="1" ht="17.25"/>
    <row s="6050" customFormat="1" customHeight="1" ht="17.25"/>
    <row s="6050" customFormat="1" customHeight="1" ht="17.25"/>
    <row r="135" s="5661" customFormat="1" customHeight="1" ht="11.25">
      <c r="A135" s="2032"/>
      <c r="B135" s="1348"/>
      <c r="C135" s="575"/>
      <c r="D135" s="525"/>
      <c r="E135" s="2013"/>
      <c r="F135" s="2013"/>
      <c r="G135" s="2013"/>
      <c r="H135" s="2204"/>
      <c r="I135" s="2258" t="s">
        <v>627</v>
      </c>
      <c r="J135" s="2312"/>
      <c r="K135" s="2313"/>
      <c r="L135" s="804"/>
      <c r="M135" s="805" t="s">
        <v>118</v>
      </c>
      <c r="N135" s="2031"/>
      <c r="O135" s="806"/>
      <c r="P135" s="807"/>
      <c r="Q135" s="806"/>
      <c r="R135" s="808">
        <v>0</v>
      </c>
      <c r="S135" s="525"/>
      <c r="T135" s="881"/>
      <c r="U135" s="525"/>
      <c r="V135" s="525"/>
      <c r="AC135" s="525"/>
    </row>
    <row s="5661" customFormat="1" customHeight="1" ht="11.25">
      <c r="A136" s="2032"/>
      <c r="B136" s="1348"/>
      <c r="C136" s="575"/>
      <c r="D136" s="525"/>
      <c r="E136" s="2013"/>
      <c r="F136" s="2013"/>
      <c r="G136" s="2013"/>
      <c r="H136" s="2204"/>
      <c r="I136" s="2258"/>
      <c r="J136" s="2312"/>
      <c r="K136" s="2314"/>
      <c r="L136" s="809"/>
      <c r="M136" s="810"/>
      <c r="N136" s="811" t="s">
        <v>1441</v>
      </c>
      <c r="O136" s="811"/>
      <c r="P136" s="811"/>
      <c r="Q136" s="811"/>
      <c r="R136" s="812"/>
      <c r="S136" s="525"/>
      <c r="T136" s="881"/>
      <c r="U136" s="525"/>
      <c r="V136" s="525"/>
      <c r="AC136" s="525"/>
    </row>
    <row s="6050" customFormat="1" customHeight="1" ht="17.25"/>
    <row s="5661" customFormat="1" customHeight="1" ht="11.25">
      <c r="A138" s="2032"/>
      <c r="B138" s="1348"/>
      <c r="C138" s="575"/>
      <c r="D138" s="525"/>
      <c r="E138" s="2037"/>
      <c r="F138" s="1736"/>
      <c r="G138" s="1736"/>
      <c r="H138" s="507"/>
      <c r="I138" s="2013"/>
      <c r="J138" s="2021"/>
      <c r="K138" s="2021"/>
      <c r="L138" s="804"/>
      <c r="M138" s="805" t="s">
        <v>118</v>
      </c>
      <c r="N138" s="2031"/>
      <c r="O138" s="806"/>
      <c r="P138" s="807"/>
      <c r="Q138" s="806"/>
      <c r="R138" s="808">
        <v>0</v>
      </c>
      <c r="S138" s="525"/>
      <c r="T138" s="881"/>
      <c r="U138" s="525"/>
      <c r="V138" s="525"/>
      <c r="AC138" s="525"/>
    </row>
    <row s="6050" customFormat="1" customHeight="1" ht="17.25"/>
    <row s="6051" customFormat="1" customHeight="1" ht="17.25">
      <c r="A140" s="211" t="s">
        <v>1443</v>
      </c>
    </row>
    <row s="6050" customFormat="1" customHeight="1" ht="17.25">
      <c r="G141" s="232"/>
      <c r="H141" s="232"/>
      <c r="I141" s="232"/>
      <c r="M141" s="1074"/>
      <c r="X141" s="182"/>
      <c r="Y141" s="182"/>
      <c r="Z141" s="182"/>
      <c r="AA141" s="182"/>
      <c r="AB141" s="182"/>
      <c r="AC141" s="182"/>
      <c r="AD141" s="182"/>
      <c r="AE141" s="182"/>
      <c r="AF141" s="182"/>
      <c r="AG141" s="182"/>
      <c r="AH141" s="182"/>
      <c r="AI141" s="182"/>
      <c r="AJ141" s="182"/>
      <c r="AK141" s="182"/>
      <c r="AL141" s="182"/>
      <c r="AM141" s="182"/>
      <c r="AN141" s="182"/>
      <c r="AO141" s="182"/>
      <c r="AP141" s="182"/>
      <c r="AQ141" s="182"/>
      <c r="AR141" s="182"/>
      <c r="AS141" s="182"/>
      <c r="AT141" s="182"/>
      <c r="AU141" s="182"/>
      <c r="AV141" s="182"/>
      <c r="AW141" s="182"/>
      <c r="AX141" s="182"/>
      <c r="AY141" s="182"/>
      <c r="AZ141" s="182"/>
      <c r="BA141" s="182"/>
      <c r="BB141" s="182"/>
      <c r="BC141" s="182"/>
      <c r="BD141" s="182"/>
      <c r="BE141" s="182"/>
      <c r="BF141" s="182"/>
      <c r="BG141" s="182"/>
      <c r="BH141" s="182"/>
      <c r="BI141" s="182"/>
      <c r="BJ141" s="182"/>
      <c r="BK141" s="182"/>
      <c r="BL141" s="182"/>
      <c r="BM141" s="182"/>
      <c r="BN141" s="182"/>
      <c r="BO141" s="182"/>
      <c r="BP141" s="182"/>
      <c r="BQ141" s="182"/>
      <c r="BR141" s="182"/>
      <c r="BS141" s="182"/>
      <c r="BT141" s="182"/>
      <c r="BU141" s="182"/>
      <c r="BV141" s="182"/>
      <c r="BW141" s="182"/>
      <c r="BX141" s="182"/>
      <c r="BY141" s="182"/>
      <c r="BZ141" s="182"/>
      <c r="CA141" s="182"/>
      <c r="CB141" s="182"/>
      <c r="CC141" s="182"/>
      <c r="CD141" s="182"/>
      <c r="CE141" s="182"/>
      <c r="CF141" s="182"/>
      <c r="CG141" s="182"/>
      <c r="CH141" s="182"/>
      <c r="CI141" s="182"/>
      <c r="CJ141" s="182"/>
      <c r="CK141" s="182"/>
      <c r="CL141" s="182"/>
      <c r="CM141" s="182"/>
      <c r="CN141" s="182"/>
      <c r="CO141" s="182"/>
      <c r="CP141" s="182"/>
      <c r="CQ141" s="182"/>
      <c r="CR141" s="182"/>
      <c r="CS141" s="182"/>
      <c r="CT141" s="182"/>
      <c r="CU141" s="182"/>
      <c r="CV141" s="182"/>
      <c r="CW141" s="182"/>
      <c r="CX141" s="182"/>
      <c r="CY141" s="182"/>
      <c r="CZ141" s="182"/>
      <c r="DA141" s="182"/>
      <c r="DB141" s="182"/>
      <c r="DC141" s="182"/>
      <c r="DD141" s="182"/>
      <c r="DE141" s="182"/>
      <c r="DF141" s="182"/>
      <c r="DG141" s="182"/>
      <c r="DH141" s="182"/>
      <c r="DI141" s="182"/>
      <c r="DJ141" s="182"/>
      <c r="DK141" s="182"/>
      <c r="DL141" s="182"/>
      <c r="DM141" s="182"/>
      <c r="DN141" s="182"/>
      <c r="DO141" s="182"/>
      <c r="DP141" s="182"/>
      <c r="DQ141" s="182"/>
      <c r="DR141" s="182"/>
      <c r="DS141" s="182"/>
      <c r="DT141" s="182"/>
      <c r="DU141" s="182"/>
      <c r="DV141" s="182"/>
      <c r="DW141" s="182"/>
      <c r="DX141" s="182"/>
      <c r="DY141" s="182"/>
      <c r="DZ141" s="182"/>
      <c r="EA141" s="182"/>
      <c r="EB141" s="182"/>
      <c r="EC141" s="182"/>
      <c r="ED141" s="182"/>
      <c r="EE141" s="182"/>
      <c r="EF141" s="182"/>
      <c r="EG141" s="182"/>
      <c r="EH141" s="182"/>
      <c r="EI141" s="182"/>
      <c r="EJ141" s="182"/>
      <c r="EK141" s="182"/>
      <c r="EL141" s="182"/>
      <c r="EM141" s="182"/>
      <c r="EN141" s="182"/>
      <c r="EO141" s="182"/>
      <c r="EP141" s="182"/>
      <c r="EQ141" s="182"/>
      <c r="ER141" s="182"/>
      <c r="ES141" s="182"/>
      <c r="ET141" s="182"/>
      <c r="EU141" s="182"/>
      <c r="EV141" s="182"/>
      <c r="EW141" s="182"/>
      <c r="EX141" s="182"/>
      <c r="EY141" s="182"/>
      <c r="EZ141" s="182"/>
      <c r="FA141" s="182"/>
      <c r="FB141" s="182"/>
      <c r="FC141" s="182"/>
      <c r="FD141" s="182"/>
      <c r="FE141" s="182"/>
      <c r="FF141" s="182"/>
      <c r="FG141" s="182"/>
      <c r="FH141" s="182"/>
      <c r="FI141" s="182"/>
      <c r="FJ141" s="182"/>
      <c r="FK141" s="182"/>
      <c r="FL141" s="182"/>
      <c r="FM141" s="182"/>
      <c r="FN141" s="182"/>
      <c r="FO141" s="182"/>
      <c r="FP141" s="182"/>
      <c r="FQ141" s="182"/>
      <c r="FR141" s="182"/>
      <c r="FS141" s="182"/>
      <c r="FT141" s="182"/>
      <c r="FU141" s="182"/>
      <c r="FV141" s="182"/>
      <c r="FW141" s="182"/>
      <c r="FX141" s="182"/>
      <c r="FY141" s="182"/>
      <c r="FZ141" s="182"/>
      <c r="GA141" s="182"/>
      <c r="GB141" s="182"/>
      <c r="GC141" s="182"/>
      <c r="GD141" s="182"/>
      <c r="GE141" s="182"/>
      <c r="GF141" s="182"/>
      <c r="GG141" s="182"/>
      <c r="GH141" s="182"/>
      <c r="GI141" s="182"/>
      <c r="GJ141" s="182"/>
      <c r="GK141" s="182"/>
      <c r="GL141" s="182"/>
      <c r="GM141" s="182"/>
      <c r="GN141" s="182"/>
      <c r="GO141" s="182"/>
      <c r="GP141" s="182"/>
      <c r="GQ141" s="182"/>
      <c r="GR141" s="182"/>
      <c r="GS141" s="182"/>
      <c r="GT141" s="182"/>
      <c r="GU141" s="182"/>
      <c r="GV141" s="182"/>
      <c r="GW141" s="182"/>
      <c r="GX141" s="182"/>
      <c r="GY141" s="182"/>
      <c r="GZ141" s="182"/>
      <c r="HA141" s="182"/>
      <c r="HB141" s="182"/>
      <c r="HC141" s="182"/>
      <c r="HD141" s="182"/>
      <c r="HE141" s="182"/>
      <c r="HF141" s="182"/>
      <c r="HG141" s="182"/>
      <c r="HH141" s="182"/>
      <c r="HI141" s="182"/>
      <c r="HJ141" s="182"/>
      <c r="HK141" s="182"/>
      <c r="HL141" s="182"/>
    </row>
    <row s="5546" customFormat="1" customHeight="1" ht="17.25">
      <c r="A142" s="466"/>
      <c r="C142" s="344"/>
      <c r="D142" s="2246"/>
      <c r="E142" s="2107"/>
      <c r="F142" s="2109"/>
      <c r="G142" s="2112"/>
      <c r="H142" s="2246"/>
      <c r="I142" s="2246">
        <v>1</v>
      </c>
      <c r="J142" s="2247"/>
      <c r="K142" s="2159" t="s">
        <v>66</v>
      </c>
      <c r="L142" s="2070"/>
      <c r="M142" s="2070" t="s">
        <v>118</v>
      </c>
      <c r="N142" s="2244" t="str">
        <f>IF(Z142="","",INDEX(TERRITORY_MR_LIST,MATCH(Z142,TERRITORY_LIST_ID,0)))</f>
        <v/>
      </c>
      <c r="O142" s="2159" t="s">
        <v>66</v>
      </c>
      <c r="P142" s="2070"/>
      <c r="Q142" s="2070" t="s">
        <v>118</v>
      </c>
      <c r="R142" s="2240" t="s">
        <v>17</v>
      </c>
      <c r="S142" s="2069" t="s">
        <v>66</v>
      </c>
      <c r="T142" s="1512"/>
      <c r="U142" s="1512" t="s">
        <v>118</v>
      </c>
      <c r="V142" s="1525" t="s">
        <v>17</v>
      </c>
      <c r="W142" s="343"/>
      <c r="Y142" s="1483"/>
      <c r="Z142" s="1483"/>
      <c r="AA142" s="1483"/>
      <c r="AB142" s="1483"/>
      <c r="AC142" s="1483"/>
      <c r="AD142" s="1483"/>
      <c r="AE142" s="1483"/>
      <c r="AF142" s="1483"/>
      <c r="AG142" s="1483"/>
      <c r="AH142" s="1483"/>
      <c r="AI142" s="1483"/>
      <c r="AJ142" s="1483"/>
      <c r="AK142" s="1483"/>
      <c r="AL142" s="381"/>
      <c r="AM142" s="381"/>
      <c r="AN142" s="1483"/>
      <c r="AO142" s="1483"/>
      <c r="AP142" s="1483"/>
      <c r="AQ142" s="1483"/>
    </row>
    <row s="5546" customFormat="1" customHeight="1" ht="17.25">
      <c r="A143" s="466"/>
      <c r="C143" s="465"/>
      <c r="D143" s="2246"/>
      <c r="E143" s="2107"/>
      <c r="F143" s="2110"/>
      <c r="G143" s="2112"/>
      <c r="H143" s="2246"/>
      <c r="I143" s="2246"/>
      <c r="J143" s="2247"/>
      <c r="K143" s="2160"/>
      <c r="L143" s="2070"/>
      <c r="M143" s="2070"/>
      <c r="N143" s="2244"/>
      <c r="O143" s="2160"/>
      <c r="P143" s="2070"/>
      <c r="Q143" s="2070"/>
      <c r="R143" s="2240"/>
      <c r="S143" s="2069"/>
      <c r="T143" s="462"/>
      <c r="U143" s="463"/>
      <c r="V143" s="463" t="s">
        <v>1444</v>
      </c>
      <c r="W143" s="464"/>
      <c r="Y143" s="1475"/>
      <c r="Z143" s="1475"/>
      <c r="AA143" s="1475"/>
      <c r="AB143" s="1475"/>
      <c r="AC143" s="1475"/>
      <c r="AD143" s="1475"/>
      <c r="AE143" s="1475"/>
      <c r="AF143" s="1475"/>
      <c r="AG143" s="1475"/>
      <c r="AH143" s="1475"/>
      <c r="AI143" s="1475"/>
      <c r="AJ143" s="1475"/>
      <c r="AK143" s="1475"/>
    </row>
    <row s="5546" customFormat="1" customHeight="1" ht="17.25">
      <c r="A144" s="466"/>
      <c r="C144" s="465"/>
      <c r="D144" s="2243"/>
      <c r="E144" s="2108"/>
      <c r="F144" s="2110"/>
      <c r="G144" s="2113"/>
      <c r="H144" s="2243"/>
      <c r="I144" s="2243"/>
      <c r="J144" s="2248"/>
      <c r="K144" s="2160"/>
      <c r="L144" s="2243"/>
      <c r="M144" s="2243"/>
      <c r="N144" s="2245"/>
      <c r="O144" s="2074"/>
      <c r="P144" s="462"/>
      <c r="Q144" s="463"/>
      <c r="R144" s="463" t="s">
        <v>1445</v>
      </c>
      <c r="S144" s="459"/>
      <c r="T144" s="459"/>
      <c r="U144" s="459"/>
      <c r="V144" s="459"/>
      <c r="W144" s="464"/>
      <c r="Y144" s="1475"/>
      <c r="Z144" s="1475"/>
      <c r="AA144" s="1475"/>
      <c r="AB144" s="1475"/>
      <c r="AC144" s="1475"/>
      <c r="AD144" s="1475"/>
      <c r="AE144" s="1475"/>
      <c r="AF144" s="1475"/>
      <c r="AG144" s="1475"/>
      <c r="AH144" s="1475"/>
      <c r="AI144" s="1475"/>
      <c r="AJ144" s="1475"/>
      <c r="AK144" s="1475"/>
    </row>
    <row s="5546" customFormat="1" customHeight="1" ht="17.25">
      <c r="A145" s="466"/>
      <c r="C145" s="465"/>
      <c r="D145" s="2243"/>
      <c r="E145" s="2108"/>
      <c r="F145" s="2110"/>
      <c r="G145" s="2113"/>
      <c r="H145" s="2243"/>
      <c r="I145" s="2243"/>
      <c r="J145" s="2248"/>
      <c r="K145" s="2074"/>
      <c r="L145" s="462"/>
      <c r="M145" s="463"/>
      <c r="N145" s="463" t="s">
        <v>1446</v>
      </c>
      <c r="O145" s="463"/>
      <c r="P145" s="463"/>
      <c r="Q145" s="463"/>
      <c r="R145" s="463"/>
      <c r="S145" s="459"/>
      <c r="T145" s="459"/>
      <c r="U145" s="459"/>
      <c r="V145" s="459"/>
      <c r="W145" s="464"/>
      <c r="Y145" s="1475"/>
      <c r="Z145" s="1475"/>
      <c r="AA145" s="1475"/>
      <c r="AB145" s="1475"/>
      <c r="AC145" s="1475"/>
      <c r="AD145" s="1475"/>
      <c r="AE145" s="1475"/>
      <c r="AF145" s="1475"/>
      <c r="AG145" s="1475"/>
      <c r="AH145" s="1475"/>
      <c r="AI145" s="1475"/>
      <c r="AJ145" s="1475"/>
      <c r="AK145" s="1475"/>
    </row>
    <row s="5546" customFormat="1" customHeight="1" ht="17.25">
      <c r="A146" s="466"/>
      <c r="C146" s="465"/>
      <c r="D146" s="2243"/>
      <c r="E146" s="2108"/>
      <c r="F146" s="2111"/>
      <c r="G146" s="2113"/>
      <c r="H146" s="462"/>
      <c r="I146" s="463"/>
      <c r="J146" s="463" t="s">
        <v>1447</v>
      </c>
      <c r="K146" s="463"/>
      <c r="L146" s="463"/>
      <c r="M146" s="463"/>
      <c r="N146" s="463"/>
      <c r="O146" s="463"/>
      <c r="P146" s="463"/>
      <c r="Q146" s="463"/>
      <c r="R146" s="463"/>
      <c r="S146" s="459"/>
      <c r="T146" s="459"/>
      <c r="U146" s="459"/>
      <c r="V146" s="459"/>
      <c r="W146" s="464"/>
      <c r="Y146" s="1475"/>
      <c r="Z146" s="1475"/>
      <c r="AA146" s="1475"/>
      <c r="AB146" s="1475"/>
      <c r="AC146" s="1475"/>
      <c r="AD146" s="1475"/>
      <c r="AE146" s="1475"/>
      <c r="AF146" s="1475"/>
      <c r="AG146" s="1475"/>
      <c r="AH146" s="1475"/>
      <c r="AI146" s="1475"/>
      <c r="AJ146" s="1475"/>
      <c r="AK146" s="1475"/>
    </row>
    <row s="6050" customFormat="1" customHeight="1" ht="17.25">
      <c r="G147" s="232"/>
      <c r="H147" s="232"/>
      <c r="I147" s="232"/>
      <c r="M147" s="1736"/>
    </row>
    <row s="5573" customFormat="1" customHeight="1" ht="17.25">
      <c r="A148" s="466"/>
      <c r="C148" s="344"/>
      <c r="D148" s="2013"/>
      <c r="E148" s="2014"/>
      <c r="F148" s="1997"/>
      <c r="G148" s="2015"/>
      <c r="H148" s="2246"/>
      <c r="I148" s="2246">
        <v>1</v>
      </c>
      <c r="J148" s="2247"/>
      <c r="K148" s="2159" t="s">
        <v>66</v>
      </c>
      <c r="L148" s="2070"/>
      <c r="M148" s="2070" t="s">
        <v>118</v>
      </c>
      <c r="N148" s="2244" t="str">
        <f>IF(Z148="","",INDEX(TERRITORY_MR_LIST,MATCH(Z148,TERRITORY_LIST_ID,0)))</f>
        <v/>
      </c>
      <c r="O148" s="2159" t="s">
        <v>66</v>
      </c>
      <c r="P148" s="2070"/>
      <c r="Q148" s="2070" t="s">
        <v>118</v>
      </c>
      <c r="R148" s="2240" t="s">
        <v>17</v>
      </c>
      <c r="S148" s="2069" t="s">
        <v>66</v>
      </c>
      <c r="T148" s="2003"/>
      <c r="U148" s="2003" t="s">
        <v>118</v>
      </c>
      <c r="V148" s="2002" t="s">
        <v>17</v>
      </c>
      <c r="W148" s="2000"/>
      <c r="Y148" s="1483"/>
      <c r="Z148" s="1483"/>
      <c r="AA148" s="1483"/>
      <c r="AB148" s="1483"/>
      <c r="AC148" s="1483"/>
      <c r="AD148" s="1483"/>
      <c r="AE148" s="1483"/>
      <c r="AF148" s="1483"/>
      <c r="AG148" s="1483"/>
      <c r="AH148" s="1483"/>
      <c r="AI148" s="1483"/>
      <c r="AJ148" s="1483"/>
      <c r="AK148" s="1483"/>
      <c r="AL148" s="381"/>
      <c r="AM148" s="381"/>
      <c r="AN148" s="1483"/>
      <c r="AO148" s="1483"/>
      <c r="AP148" s="1483"/>
      <c r="AQ148" s="1483"/>
    </row>
    <row s="5573" customFormat="1" customHeight="1" ht="17.25">
      <c r="A149" s="466"/>
      <c r="C149" s="465"/>
      <c r="D149" s="2013"/>
      <c r="E149" s="2014"/>
      <c r="F149" s="1997"/>
      <c r="G149" s="2015"/>
      <c r="H149" s="2246"/>
      <c r="I149" s="2246"/>
      <c r="J149" s="2247"/>
      <c r="K149" s="2160"/>
      <c r="L149" s="2070"/>
      <c r="M149" s="2070"/>
      <c r="N149" s="2244"/>
      <c r="O149" s="2160"/>
      <c r="P149" s="2070"/>
      <c r="Q149" s="2070"/>
      <c r="R149" s="2240"/>
      <c r="S149" s="2069"/>
      <c r="T149" s="462"/>
      <c r="U149" s="463"/>
      <c r="V149" s="463" t="s">
        <v>1444</v>
      </c>
      <c r="W149" s="464"/>
      <c r="Y149" s="1475"/>
      <c r="Z149" s="1475"/>
      <c r="AA149" s="1475"/>
      <c r="AB149" s="1475"/>
      <c r="AC149" s="1475"/>
      <c r="AD149" s="1475"/>
      <c r="AE149" s="1475"/>
      <c r="AF149" s="1475"/>
      <c r="AG149" s="1475"/>
      <c r="AH149" s="1475"/>
      <c r="AI149" s="1475"/>
      <c r="AJ149" s="1475"/>
      <c r="AK149" s="1475"/>
    </row>
    <row s="5573" customFormat="1" customHeight="1" ht="17.25">
      <c r="A150" s="466"/>
      <c r="C150" s="465"/>
      <c r="D150" s="2013"/>
      <c r="E150" s="2014"/>
      <c r="F150" s="1997"/>
      <c r="G150" s="2015"/>
      <c r="H150" s="2243"/>
      <c r="I150" s="2243"/>
      <c r="J150" s="2248"/>
      <c r="K150" s="2160"/>
      <c r="L150" s="2243"/>
      <c r="M150" s="2243"/>
      <c r="N150" s="2245"/>
      <c r="O150" s="2074"/>
      <c r="P150" s="462"/>
      <c r="Q150" s="463"/>
      <c r="R150" s="463" t="s">
        <v>1445</v>
      </c>
      <c r="S150" s="459"/>
      <c r="T150" s="459"/>
      <c r="U150" s="459"/>
      <c r="V150" s="459"/>
      <c r="W150" s="464"/>
      <c r="Y150" s="1475"/>
      <c r="Z150" s="1475"/>
      <c r="AA150" s="1475"/>
      <c r="AB150" s="1475"/>
      <c r="AC150" s="1475"/>
      <c r="AD150" s="1475"/>
      <c r="AE150" s="1475"/>
      <c r="AF150" s="1475"/>
      <c r="AG150" s="1475"/>
      <c r="AH150" s="1475"/>
      <c r="AI150" s="1475"/>
      <c r="AJ150" s="1475"/>
      <c r="AK150" s="1475"/>
    </row>
    <row s="5573" customFormat="1" customHeight="1" ht="17.25">
      <c r="A151" s="466"/>
      <c r="C151" s="465"/>
      <c r="D151" s="2013"/>
      <c r="E151" s="2014"/>
      <c r="F151" s="1997"/>
      <c r="G151" s="2015"/>
      <c r="H151" s="2243"/>
      <c r="I151" s="2243"/>
      <c r="J151" s="2248"/>
      <c r="K151" s="2074"/>
      <c r="L151" s="462"/>
      <c r="M151" s="463"/>
      <c r="N151" s="463" t="s">
        <v>1446</v>
      </c>
      <c r="O151" s="463"/>
      <c r="P151" s="463"/>
      <c r="Q151" s="463"/>
      <c r="R151" s="463"/>
      <c r="S151" s="459"/>
      <c r="T151" s="459"/>
      <c r="U151" s="459"/>
      <c r="V151" s="459"/>
      <c r="W151" s="464"/>
      <c r="Y151" s="1475"/>
      <c r="Z151" s="1475"/>
      <c r="AA151" s="1475"/>
      <c r="AB151" s="1475"/>
      <c r="AC151" s="1475"/>
      <c r="AD151" s="1475"/>
      <c r="AE151" s="1475"/>
      <c r="AF151" s="1475"/>
      <c r="AG151" s="1475"/>
      <c r="AH151" s="1475"/>
      <c r="AI151" s="1475"/>
      <c r="AJ151" s="1475"/>
      <c r="AK151" s="1475"/>
    </row>
    <row s="6050" customFormat="1" customHeight="1" ht="17.25">
      <c r="G152" s="232"/>
      <c r="H152" s="232"/>
      <c r="I152" s="232"/>
      <c r="M152" s="1736"/>
    </row>
    <row s="5573" customFormat="1" customHeight="1" ht="17.25">
      <c r="A153" s="466"/>
      <c r="C153" s="344"/>
      <c r="D153" s="2013"/>
      <c r="E153" s="2014"/>
      <c r="F153" s="1997"/>
      <c r="G153" s="2015"/>
      <c r="H153" s="2013"/>
      <c r="I153" s="2013"/>
      <c r="J153" s="2027"/>
      <c r="K153" s="2024"/>
      <c r="L153" s="2070"/>
      <c r="M153" s="2070" t="s">
        <v>118</v>
      </c>
      <c r="N153" s="2244" t="str">
        <f>IF(Z153="","",INDEX(TERRITORY_MR_LIST,MATCH(Z153,TERRITORY_LIST_ID,0)))</f>
        <v/>
      </c>
      <c r="O153" s="2159" t="s">
        <v>66</v>
      </c>
      <c r="P153" s="2070"/>
      <c r="Q153" s="2070" t="s">
        <v>118</v>
      </c>
      <c r="R153" s="2240" t="s">
        <v>17</v>
      </c>
      <c r="S153" s="2069" t="s">
        <v>66</v>
      </c>
      <c r="T153" s="2003"/>
      <c r="U153" s="2003" t="s">
        <v>118</v>
      </c>
      <c r="V153" s="2002" t="s">
        <v>17</v>
      </c>
      <c r="W153" s="2000"/>
      <c r="Y153" s="1483"/>
      <c r="Z153" s="1483"/>
      <c r="AA153" s="1483"/>
      <c r="AB153" s="1483"/>
      <c r="AC153" s="1483"/>
      <c r="AD153" s="1483"/>
      <c r="AE153" s="1483"/>
      <c r="AF153" s="1483"/>
      <c r="AG153" s="1483"/>
      <c r="AH153" s="1483"/>
      <c r="AI153" s="1483"/>
      <c r="AJ153" s="1483"/>
      <c r="AK153" s="1483"/>
      <c r="AL153" s="381"/>
      <c r="AM153" s="381"/>
      <c r="AN153" s="1483"/>
      <c r="AO153" s="1483"/>
      <c r="AP153" s="1483"/>
      <c r="AQ153" s="1483"/>
    </row>
    <row s="5573" customFormat="1" customHeight="1" ht="17.25">
      <c r="A154" s="466"/>
      <c r="C154" s="465"/>
      <c r="D154" s="2013"/>
      <c r="E154" s="2014"/>
      <c r="F154" s="1997"/>
      <c r="G154" s="2015"/>
      <c r="H154" s="2013"/>
      <c r="I154" s="2013"/>
      <c r="J154" s="2027"/>
      <c r="K154" s="2024"/>
      <c r="L154" s="2070"/>
      <c r="M154" s="2070"/>
      <c r="N154" s="2244"/>
      <c r="O154" s="2160"/>
      <c r="P154" s="2070"/>
      <c r="Q154" s="2070"/>
      <c r="R154" s="2240"/>
      <c r="S154" s="2069"/>
      <c r="T154" s="462"/>
      <c r="U154" s="463"/>
      <c r="V154" s="463" t="s">
        <v>1444</v>
      </c>
      <c r="W154" s="464"/>
      <c r="Y154" s="1475"/>
      <c r="Z154" s="1475"/>
      <c r="AA154" s="1475"/>
      <c r="AB154" s="1475"/>
      <c r="AC154" s="1475"/>
      <c r="AD154" s="1475"/>
      <c r="AE154" s="1475"/>
      <c r="AF154" s="1475"/>
      <c r="AG154" s="1475"/>
      <c r="AH154" s="1475"/>
      <c r="AI154" s="1475"/>
      <c r="AJ154" s="1475"/>
      <c r="AK154" s="1475"/>
    </row>
    <row s="5573" customFormat="1" customHeight="1" ht="17.25">
      <c r="A155" s="466"/>
      <c r="C155" s="465"/>
      <c r="D155" s="2013"/>
      <c r="E155" s="2014"/>
      <c r="F155" s="1997"/>
      <c r="G155" s="2015"/>
      <c r="H155" s="2013"/>
      <c r="I155" s="2013"/>
      <c r="J155" s="2027"/>
      <c r="K155" s="2024"/>
      <c r="L155" s="2243"/>
      <c r="M155" s="2243"/>
      <c r="N155" s="2245"/>
      <c r="O155" s="2074"/>
      <c r="P155" s="462"/>
      <c r="Q155" s="463"/>
      <c r="R155" s="463" t="s">
        <v>1445</v>
      </c>
      <c r="S155" s="459"/>
      <c r="T155" s="459"/>
      <c r="U155" s="459"/>
      <c r="V155" s="459"/>
      <c r="W155" s="464"/>
      <c r="Y155" s="1475"/>
      <c r="Z155" s="1475"/>
      <c r="AA155" s="1475"/>
      <c r="AB155" s="1475"/>
      <c r="AC155" s="1475"/>
      <c r="AD155" s="1475"/>
      <c r="AE155" s="1475"/>
      <c r="AF155" s="1475"/>
      <c r="AG155" s="1475"/>
      <c r="AH155" s="1475"/>
      <c r="AI155" s="1475"/>
      <c r="AJ155" s="1475"/>
      <c r="AK155" s="1475"/>
    </row>
    <row s="6050" customFormat="1" customHeight="1" ht="17.25">
      <c r="G156" s="232"/>
      <c r="H156" s="232"/>
      <c r="I156" s="232"/>
      <c r="M156" s="1736"/>
    </row>
    <row s="5573" customFormat="1" customHeight="1" ht="17.25">
      <c r="A157" s="466"/>
      <c r="C157" s="344"/>
      <c r="D157" s="2013"/>
      <c r="E157" s="2014"/>
      <c r="F157" s="1997"/>
      <c r="G157" s="2015"/>
      <c r="H157" s="2013"/>
      <c r="I157" s="2013"/>
      <c r="J157" s="2027"/>
      <c r="K157" s="2024"/>
      <c r="L157" s="2016"/>
      <c r="M157" s="2016"/>
      <c r="N157" s="2026"/>
      <c r="O157" s="2019"/>
      <c r="P157" s="2070"/>
      <c r="Q157" s="2070" t="s">
        <v>118</v>
      </c>
      <c r="R157" s="2240" t="s">
        <v>17</v>
      </c>
      <c r="S157" s="2069" t="s">
        <v>66</v>
      </c>
      <c r="T157" s="2003"/>
      <c r="U157" s="2003" t="s">
        <v>118</v>
      </c>
      <c r="V157" s="2002" t="s">
        <v>17</v>
      </c>
      <c r="W157" s="2000"/>
      <c r="Y157" s="1483"/>
      <c r="Z157" s="1483"/>
      <c r="AA157" s="1483"/>
      <c r="AB157" s="1483"/>
      <c r="AC157" s="1483"/>
      <c r="AD157" s="1483"/>
      <c r="AE157" s="1483"/>
      <c r="AF157" s="1483"/>
      <c r="AG157" s="1483"/>
      <c r="AH157" s="1483"/>
      <c r="AI157" s="1483"/>
      <c r="AJ157" s="1483"/>
      <c r="AK157" s="1483"/>
      <c r="AL157" s="381"/>
      <c r="AM157" s="381"/>
      <c r="AN157" s="1483"/>
      <c r="AO157" s="1483"/>
      <c r="AP157" s="1483"/>
      <c r="AQ157" s="1483"/>
    </row>
    <row s="5573" customFormat="1" customHeight="1" ht="17.25">
      <c r="A158" s="466"/>
      <c r="C158" s="465"/>
      <c r="D158" s="2013"/>
      <c r="E158" s="2014"/>
      <c r="F158" s="1997"/>
      <c r="G158" s="2015"/>
      <c r="H158" s="2013"/>
      <c r="I158" s="2013"/>
      <c r="J158" s="2027"/>
      <c r="K158" s="2024"/>
      <c r="L158" s="2016"/>
      <c r="M158" s="2016"/>
      <c r="N158" s="2026"/>
      <c r="O158" s="2019"/>
      <c r="P158" s="2070"/>
      <c r="Q158" s="2070"/>
      <c r="R158" s="2240"/>
      <c r="S158" s="2069"/>
      <c r="T158" s="462"/>
      <c r="U158" s="463"/>
      <c r="V158" s="463" t="s">
        <v>1444</v>
      </c>
      <c r="W158" s="464"/>
      <c r="Y158" s="1475"/>
      <c r="Z158" s="1475"/>
      <c r="AA158" s="1475"/>
      <c r="AB158" s="1475"/>
      <c r="AC158" s="1475"/>
      <c r="AD158" s="1475"/>
      <c r="AE158" s="1475"/>
      <c r="AF158" s="1475"/>
      <c r="AG158" s="1475"/>
      <c r="AH158" s="1475"/>
      <c r="AI158" s="1475"/>
      <c r="AJ158" s="1475"/>
      <c r="AK158" s="1475"/>
    </row>
    <row s="6050" customFormat="1" customHeight="1" ht="17.25">
      <c r="G159" s="232"/>
      <c r="H159" s="232"/>
      <c r="I159" s="232"/>
      <c r="M159" s="1736"/>
    </row>
    <row s="5573" customFormat="1" customHeight="1" ht="17.25">
      <c r="A160" s="466"/>
      <c r="C160" s="344"/>
      <c r="D160" s="2013"/>
      <c r="E160" s="2014"/>
      <c r="F160" s="1989"/>
      <c r="G160" s="2015"/>
      <c r="H160" s="2016"/>
      <c r="I160" s="2016"/>
      <c r="J160" s="2017"/>
      <c r="K160" s="2015"/>
      <c r="L160" s="2016"/>
      <c r="M160" s="2016"/>
      <c r="N160" s="2015"/>
      <c r="O160" s="2015"/>
      <c r="P160" s="2016"/>
      <c r="Q160" s="2016"/>
      <c r="R160" s="2018"/>
      <c r="S160" s="2015"/>
      <c r="T160" s="1993"/>
      <c r="U160" s="1993" t="s">
        <v>118</v>
      </c>
      <c r="V160" s="1990" t="s">
        <v>17</v>
      </c>
      <c r="W160" s="1992"/>
      <c r="Y160" s="1483"/>
      <c r="Z160" s="1483"/>
      <c r="AA160" s="1483"/>
      <c r="AB160" s="1483"/>
      <c r="AC160" s="1483"/>
      <c r="AD160" s="1483"/>
      <c r="AE160" s="1483"/>
      <c r="AF160" s="1483"/>
      <c r="AG160" s="1483"/>
      <c r="AH160" s="1483"/>
      <c r="AI160" s="1483"/>
      <c r="AJ160" s="1483"/>
      <c r="AK160" s="1483"/>
      <c r="AL160" s="381"/>
      <c r="AM160" s="381"/>
      <c r="AN160" s="1483"/>
      <c r="AO160" s="1483"/>
      <c r="AP160" s="1483"/>
      <c r="AQ160" s="1483"/>
    </row>
    <row s="6050" customFormat="1" customHeight="1" ht="17.25"/>
    <row s="6051" customFormat="1" customHeight="1" ht="17.25">
      <c r="A162" s="211" t="s">
        <v>1448</v>
      </c>
    </row>
    <row s="6050" customFormat="1" customHeight="1" ht="17.25">
      <c r="G163" s="232"/>
      <c r="H163" s="232"/>
      <c r="I163" s="232"/>
      <c r="M163" s="1572"/>
    </row>
    <row s="5568" customFormat="1" customHeight="1" ht="17.25">
      <c r="A164" s="466"/>
      <c r="C164" s="344"/>
      <c r="D164" s="2246"/>
      <c r="E164" s="2107"/>
      <c r="F164" s="2109"/>
      <c r="G164" s="2112"/>
      <c r="H164" s="2246"/>
      <c r="I164" s="2246">
        <v>1</v>
      </c>
      <c r="J164" s="2247"/>
      <c r="K164" s="2159" t="s">
        <v>66</v>
      </c>
      <c r="L164" s="2070"/>
      <c r="M164" s="2070" t="s">
        <v>118</v>
      </c>
      <c r="N164" s="2244" t="str">
        <f>IF(Z164="","",INDEX(TERRITORY_MR_LIST,MATCH(Z164,TERRITORY_LIST_ID,0)))</f>
        <v/>
      </c>
      <c r="O164" s="2159" t="s">
        <v>66</v>
      </c>
      <c r="P164" s="2070"/>
      <c r="Q164" s="2070" t="s">
        <v>118</v>
      </c>
      <c r="R164" s="2240" t="s">
        <v>17</v>
      </c>
      <c r="S164" s="2241" t="s">
        <v>56</v>
      </c>
      <c r="T164" s="1626"/>
      <c r="U164" s="1626" t="s">
        <v>118</v>
      </c>
      <c r="V164" s="1658"/>
      <c r="W164" s="2242"/>
      <c r="Y164" s="1483"/>
      <c r="Z164" s="1483"/>
      <c r="AA164" s="1483"/>
      <c r="AB164" s="1483"/>
      <c r="AC164" s="1483"/>
      <c r="AD164" s="1483"/>
      <c r="AE164" s="1483"/>
      <c r="AF164" s="1483"/>
      <c r="AG164" s="1483"/>
      <c r="AH164" s="1483"/>
      <c r="AI164" s="1483"/>
      <c r="AJ164" s="1483"/>
      <c r="AK164" s="1483"/>
      <c r="AL164" s="381"/>
      <c r="AM164" s="381"/>
      <c r="AN164" s="1483"/>
      <c r="AO164" s="1483"/>
      <c r="AP164" s="1483"/>
      <c r="AQ164" s="1483"/>
    </row>
    <row s="5568" customFormat="1" customHeight="1" ht="17.25">
      <c r="A165" s="466"/>
      <c r="C165" s="465"/>
      <c r="D165" s="2246"/>
      <c r="E165" s="2107"/>
      <c r="F165" s="2110"/>
      <c r="G165" s="2112"/>
      <c r="H165" s="2246"/>
      <c r="I165" s="2246"/>
      <c r="J165" s="2247"/>
      <c r="K165" s="2160"/>
      <c r="L165" s="2070"/>
      <c r="M165" s="2070"/>
      <c r="N165" s="2244"/>
      <c r="O165" s="2160"/>
      <c r="P165" s="2070"/>
      <c r="Q165" s="2070"/>
      <c r="R165" s="2240"/>
      <c r="S165" s="2241"/>
      <c r="T165" s="1659"/>
      <c r="U165" s="1660"/>
      <c r="V165" s="1660"/>
      <c r="W165" s="2242"/>
      <c r="Y165" s="1475"/>
      <c r="Z165" s="1475"/>
      <c r="AA165" s="1475"/>
      <c r="AB165" s="1475"/>
      <c r="AC165" s="1475"/>
      <c r="AD165" s="1475"/>
      <c r="AE165" s="1475"/>
      <c r="AF165" s="1475"/>
      <c r="AG165" s="1475"/>
      <c r="AH165" s="1475"/>
      <c r="AI165" s="1475"/>
      <c r="AJ165" s="1475"/>
      <c r="AK165" s="1475"/>
    </row>
    <row s="5568" customFormat="1" customHeight="1" ht="17.25">
      <c r="A166" s="466"/>
      <c r="C166" s="465"/>
      <c r="D166" s="2243"/>
      <c r="E166" s="2108"/>
      <c r="F166" s="2110"/>
      <c r="G166" s="2113"/>
      <c r="H166" s="2243"/>
      <c r="I166" s="2243"/>
      <c r="J166" s="2248"/>
      <c r="K166" s="2160"/>
      <c r="L166" s="2243"/>
      <c r="M166" s="2243"/>
      <c r="N166" s="2245"/>
      <c r="O166" s="2074"/>
      <c r="P166" s="462"/>
      <c r="Q166" s="463"/>
      <c r="R166" s="463" t="s">
        <v>1445</v>
      </c>
      <c r="S166" s="459"/>
      <c r="T166" s="459"/>
      <c r="U166" s="459"/>
      <c r="V166" s="459"/>
      <c r="W166" s="1657"/>
      <c r="Y166" s="1475"/>
      <c r="Z166" s="1475"/>
      <c r="AA166" s="1475"/>
      <c r="AB166" s="1475"/>
      <c r="AC166" s="1475"/>
      <c r="AD166" s="1475"/>
      <c r="AE166" s="1475"/>
      <c r="AF166" s="1475"/>
      <c r="AG166" s="1475"/>
      <c r="AH166" s="1475"/>
      <c r="AI166" s="1475"/>
      <c r="AJ166" s="1475"/>
      <c r="AK166" s="1475"/>
    </row>
    <row s="5568" customFormat="1" customHeight="1" ht="17.25">
      <c r="A167" s="466"/>
      <c r="C167" s="465"/>
      <c r="D167" s="2243"/>
      <c r="E167" s="2108"/>
      <c r="F167" s="2110"/>
      <c r="G167" s="2113"/>
      <c r="H167" s="2243"/>
      <c r="I167" s="2243"/>
      <c r="J167" s="2248"/>
      <c r="K167" s="2074"/>
      <c r="L167" s="462"/>
      <c r="M167" s="463"/>
      <c r="N167" s="463" t="s">
        <v>1446</v>
      </c>
      <c r="O167" s="463"/>
      <c r="P167" s="463"/>
      <c r="Q167" s="463"/>
      <c r="R167" s="463"/>
      <c r="S167" s="459"/>
      <c r="T167" s="459"/>
      <c r="U167" s="459"/>
      <c r="V167" s="459"/>
      <c r="W167" s="464"/>
      <c r="Y167" s="1475"/>
      <c r="Z167" s="1475"/>
      <c r="AA167" s="1475"/>
      <c r="AB167" s="1475"/>
      <c r="AC167" s="1475"/>
      <c r="AD167" s="1475"/>
      <c r="AE167" s="1475"/>
      <c r="AF167" s="1475"/>
      <c r="AG167" s="1475"/>
      <c r="AH167" s="1475"/>
      <c r="AI167" s="1475"/>
      <c r="AJ167" s="1475"/>
      <c r="AK167" s="1475"/>
    </row>
    <row s="5568" customFormat="1" customHeight="1" ht="17.25">
      <c r="A168" s="466"/>
      <c r="C168" s="465"/>
      <c r="D168" s="2243"/>
      <c r="E168" s="2108"/>
      <c r="F168" s="2111"/>
      <c r="G168" s="2113"/>
      <c r="H168" s="462"/>
      <c r="I168" s="463"/>
      <c r="J168" s="463" t="s">
        <v>1447</v>
      </c>
      <c r="K168" s="463"/>
      <c r="L168" s="463"/>
      <c r="M168" s="463"/>
      <c r="N168" s="463"/>
      <c r="O168" s="463"/>
      <c r="P168" s="463"/>
      <c r="Q168" s="463"/>
      <c r="R168" s="463"/>
      <c r="S168" s="459"/>
      <c r="T168" s="459"/>
      <c r="U168" s="459"/>
      <c r="V168" s="459"/>
      <c r="W168" s="464"/>
      <c r="Y168" s="1475"/>
      <c r="Z168" s="1475"/>
      <c r="AA168" s="1475"/>
      <c r="AB168" s="1475"/>
      <c r="AC168" s="1475"/>
      <c r="AD168" s="1475"/>
      <c r="AE168" s="1475"/>
      <c r="AF168" s="1475"/>
      <c r="AG168" s="1475"/>
      <c r="AH168" s="1475"/>
      <c r="AI168" s="1475"/>
      <c r="AJ168" s="1475"/>
      <c r="AK168" s="1475"/>
    </row>
    <row s="6050" customFormat="1" customHeight="1" ht="17.25">
      <c r="A169" s="287"/>
    </row>
    <row s="5573" customFormat="1" customHeight="1" ht="17.25">
      <c r="A170" s="466"/>
      <c r="C170" s="344"/>
      <c r="D170" s="2013"/>
      <c r="E170" s="2014"/>
      <c r="F170" s="1997"/>
      <c r="G170" s="2015"/>
      <c r="H170" s="2246"/>
      <c r="I170" s="2246">
        <v>1</v>
      </c>
      <c r="J170" s="2247"/>
      <c r="K170" s="2159" t="s">
        <v>66</v>
      </c>
      <c r="L170" s="2070"/>
      <c r="M170" s="2070" t="s">
        <v>118</v>
      </c>
      <c r="N170" s="2244" t="str">
        <f>IF(Z170="","",INDEX(TERRITORY_MR_LIST,MATCH(Z170,TERRITORY_LIST_ID,0)))</f>
        <v/>
      </c>
      <c r="O170" s="2159" t="s">
        <v>66</v>
      </c>
      <c r="P170" s="2070"/>
      <c r="Q170" s="2070" t="s">
        <v>118</v>
      </c>
      <c r="R170" s="2240" t="s">
        <v>17</v>
      </c>
      <c r="S170" s="2241" t="s">
        <v>56</v>
      </c>
      <c r="T170" s="1999"/>
      <c r="U170" s="1999" t="s">
        <v>118</v>
      </c>
      <c r="V170" s="1658"/>
      <c r="W170" s="2242"/>
      <c r="Y170" s="1483"/>
      <c r="Z170" s="1483"/>
      <c r="AA170" s="1483"/>
      <c r="AB170" s="1483"/>
      <c r="AC170" s="1483"/>
      <c r="AD170" s="1483"/>
      <c r="AE170" s="1483"/>
      <c r="AF170" s="1483"/>
      <c r="AG170" s="1483"/>
      <c r="AH170" s="1483"/>
      <c r="AI170" s="1483"/>
      <c r="AJ170" s="1483"/>
      <c r="AK170" s="1483"/>
      <c r="AL170" s="381"/>
      <c r="AM170" s="381"/>
      <c r="AN170" s="1483"/>
      <c r="AO170" s="1483"/>
      <c r="AP170" s="1483"/>
      <c r="AQ170" s="1483"/>
    </row>
    <row s="5573" customFormat="1" customHeight="1" ht="17.25">
      <c r="A171" s="466"/>
      <c r="C171" s="465"/>
      <c r="D171" s="2013"/>
      <c r="E171" s="2014"/>
      <c r="F171" s="1997"/>
      <c r="G171" s="2015"/>
      <c r="H171" s="2246"/>
      <c r="I171" s="2246"/>
      <c r="J171" s="2247"/>
      <c r="K171" s="2160"/>
      <c r="L171" s="2070"/>
      <c r="M171" s="2070"/>
      <c r="N171" s="2244"/>
      <c r="O171" s="2160"/>
      <c r="P171" s="2070"/>
      <c r="Q171" s="2070"/>
      <c r="R171" s="2240"/>
      <c r="S171" s="2241"/>
      <c r="T171" s="1659"/>
      <c r="U171" s="1660"/>
      <c r="V171" s="1660"/>
      <c r="W171" s="2242"/>
      <c r="Y171" s="1475"/>
      <c r="Z171" s="1475"/>
      <c r="AA171" s="1475"/>
      <c r="AB171" s="1475"/>
      <c r="AC171" s="1475"/>
      <c r="AD171" s="1475"/>
      <c r="AE171" s="1475"/>
      <c r="AF171" s="1475"/>
      <c r="AG171" s="1475"/>
      <c r="AH171" s="1475"/>
      <c r="AI171" s="1475"/>
      <c r="AJ171" s="1475"/>
      <c r="AK171" s="1475"/>
    </row>
    <row s="5573" customFormat="1" customHeight="1" ht="17.25">
      <c r="A172" s="466"/>
      <c r="C172" s="465"/>
      <c r="D172" s="2013"/>
      <c r="E172" s="2014"/>
      <c r="F172" s="1997"/>
      <c r="G172" s="2015"/>
      <c r="H172" s="2243"/>
      <c r="I172" s="2243"/>
      <c r="J172" s="2248"/>
      <c r="K172" s="2160"/>
      <c r="L172" s="2243"/>
      <c r="M172" s="2243"/>
      <c r="N172" s="2245"/>
      <c r="O172" s="2074"/>
      <c r="P172" s="462"/>
      <c r="Q172" s="463"/>
      <c r="R172" s="463" t="s">
        <v>1445</v>
      </c>
      <c r="S172" s="459"/>
      <c r="T172" s="459"/>
      <c r="U172" s="459"/>
      <c r="V172" s="459"/>
      <c r="W172" s="1657"/>
      <c r="Y172" s="1475"/>
      <c r="Z172" s="1475"/>
      <c r="AA172" s="1475"/>
      <c r="AB172" s="1475"/>
      <c r="AC172" s="1475"/>
      <c r="AD172" s="1475"/>
      <c r="AE172" s="1475"/>
      <c r="AF172" s="1475"/>
      <c r="AG172" s="1475"/>
      <c r="AH172" s="1475"/>
      <c r="AI172" s="1475"/>
      <c r="AJ172" s="1475"/>
      <c r="AK172" s="1475"/>
    </row>
    <row s="5573" customFormat="1" customHeight="1" ht="17.25">
      <c r="A173" s="466"/>
      <c r="C173" s="465"/>
      <c r="D173" s="2013"/>
      <c r="E173" s="2014"/>
      <c r="F173" s="1997"/>
      <c r="G173" s="2015"/>
      <c r="H173" s="2243"/>
      <c r="I173" s="2243"/>
      <c r="J173" s="2248"/>
      <c r="K173" s="2074"/>
      <c r="L173" s="462"/>
      <c r="M173" s="463"/>
      <c r="N173" s="463" t="s">
        <v>1446</v>
      </c>
      <c r="O173" s="463"/>
      <c r="P173" s="463"/>
      <c r="Q173" s="463"/>
      <c r="R173" s="463"/>
      <c r="S173" s="459"/>
      <c r="T173" s="459"/>
      <c r="U173" s="459"/>
      <c r="V173" s="459"/>
      <c r="W173" s="464"/>
      <c r="Y173" s="1475"/>
      <c r="Z173" s="1475"/>
      <c r="AA173" s="1475"/>
      <c r="AB173" s="1475"/>
      <c r="AC173" s="1475"/>
      <c r="AD173" s="1475"/>
      <c r="AE173" s="1475"/>
      <c r="AF173" s="1475"/>
      <c r="AG173" s="1475"/>
      <c r="AH173" s="1475"/>
      <c r="AI173" s="1475"/>
      <c r="AJ173" s="1475"/>
      <c r="AK173" s="1475"/>
    </row>
    <row customHeight="1" ht="17.25">
      <c r="A174" s="287"/>
    </row>
    <row s="5573" customFormat="1" customHeight="1" ht="17.25">
      <c r="A175" s="466"/>
      <c r="C175" s="344"/>
      <c r="D175" s="2013"/>
      <c r="E175" s="2014"/>
      <c r="F175" s="1997"/>
      <c r="G175" s="2015"/>
      <c r="H175" s="2013"/>
      <c r="I175" s="2013"/>
      <c r="J175" s="2025"/>
      <c r="K175" s="2015"/>
      <c r="L175" s="2070"/>
      <c r="M175" s="2070" t="s">
        <v>118</v>
      </c>
      <c r="N175" s="2244" t="str">
        <f>IF(Z175="","",INDEX(TERRITORY_MR_LIST,MATCH(Z175,TERRITORY_LIST_ID,0)))</f>
        <v/>
      </c>
      <c r="O175" s="2159" t="s">
        <v>66</v>
      </c>
      <c r="P175" s="2070"/>
      <c r="Q175" s="2070" t="s">
        <v>118</v>
      </c>
      <c r="R175" s="2240" t="s">
        <v>17</v>
      </c>
      <c r="S175" s="2241" t="s">
        <v>56</v>
      </c>
      <c r="T175" s="1999"/>
      <c r="U175" s="1999" t="s">
        <v>118</v>
      </c>
      <c r="V175" s="1658"/>
      <c r="W175" s="2242"/>
      <c r="Y175" s="1483"/>
      <c r="Z175" s="1483"/>
      <c r="AA175" s="1483"/>
      <c r="AB175" s="1483"/>
      <c r="AC175" s="1483"/>
      <c r="AD175" s="1483"/>
      <c r="AE175" s="1483"/>
      <c r="AF175" s="1483"/>
      <c r="AG175" s="1483"/>
      <c r="AH175" s="1483"/>
      <c r="AI175" s="1483"/>
      <c r="AJ175" s="1483"/>
      <c r="AK175" s="1483"/>
      <c r="AL175" s="381"/>
      <c r="AM175" s="381"/>
      <c r="AN175" s="1483"/>
      <c r="AO175" s="1483"/>
      <c r="AP175" s="1483"/>
      <c r="AQ175" s="1483"/>
    </row>
    <row s="5573" customFormat="1" customHeight="1" ht="17.25">
      <c r="A176" s="466"/>
      <c r="C176" s="465"/>
      <c r="D176" s="2013"/>
      <c r="E176" s="2014"/>
      <c r="F176" s="1997"/>
      <c r="G176" s="2015"/>
      <c r="H176" s="2013"/>
      <c r="I176" s="2013"/>
      <c r="J176" s="2025"/>
      <c r="K176" s="2015"/>
      <c r="L176" s="2070"/>
      <c r="M176" s="2070"/>
      <c r="N176" s="2244"/>
      <c r="O176" s="2160"/>
      <c r="P176" s="2070"/>
      <c r="Q176" s="2070"/>
      <c r="R176" s="2240"/>
      <c r="S176" s="2241"/>
      <c r="T176" s="1659"/>
      <c r="U176" s="1660"/>
      <c r="V176" s="1660"/>
      <c r="W176" s="2242"/>
      <c r="Y176" s="1475"/>
      <c r="Z176" s="1475"/>
      <c r="AA176" s="1475"/>
      <c r="AB176" s="1475"/>
      <c r="AC176" s="1475"/>
      <c r="AD176" s="1475"/>
      <c r="AE176" s="1475"/>
      <c r="AF176" s="1475"/>
      <c r="AG176" s="1475"/>
      <c r="AH176" s="1475"/>
      <c r="AI176" s="1475"/>
      <c r="AJ176" s="1475"/>
      <c r="AK176" s="1475"/>
    </row>
    <row s="5573" customFormat="1" customHeight="1" ht="17.25">
      <c r="A177" s="466"/>
      <c r="C177" s="465"/>
      <c r="D177" s="2013"/>
      <c r="E177" s="2014"/>
      <c r="F177" s="1997"/>
      <c r="G177" s="2015"/>
      <c r="H177" s="2013"/>
      <c r="I177" s="2013"/>
      <c r="J177" s="2025"/>
      <c r="K177" s="2015"/>
      <c r="L177" s="2243"/>
      <c r="M177" s="2243"/>
      <c r="N177" s="2245"/>
      <c r="O177" s="2074"/>
      <c r="P177" s="462"/>
      <c r="Q177" s="463"/>
      <c r="R177" s="463" t="s">
        <v>1445</v>
      </c>
      <c r="S177" s="459"/>
      <c r="T177" s="459"/>
      <c r="U177" s="459"/>
      <c r="V177" s="459"/>
      <c r="W177" s="1657"/>
      <c r="Y177" s="1475"/>
      <c r="Z177" s="1475"/>
      <c r="AA177" s="1475"/>
      <c r="AB177" s="1475"/>
      <c r="AC177" s="1475"/>
      <c r="AD177" s="1475"/>
      <c r="AE177" s="1475"/>
      <c r="AF177" s="1475"/>
      <c r="AG177" s="1475"/>
      <c r="AH177" s="1475"/>
      <c r="AI177" s="1475"/>
      <c r="AJ177" s="1475"/>
      <c r="AK177" s="1475"/>
    </row>
    <row s="6050" customFormat="1" customHeight="1" ht="17.25">
      <c r="A178" s="287"/>
    </row>
    <row s="5573" customFormat="1" customHeight="1" ht="17.25">
      <c r="A179" s="466"/>
      <c r="C179" s="344"/>
      <c r="D179" s="2013"/>
      <c r="E179" s="2014"/>
      <c r="F179" s="1997"/>
      <c r="G179" s="2015"/>
      <c r="H179" s="2013"/>
      <c r="I179" s="2013"/>
      <c r="J179" s="2025"/>
      <c r="K179" s="2015"/>
      <c r="L179" s="2013"/>
      <c r="M179" s="2013"/>
      <c r="N179" s="2026"/>
      <c r="O179" s="1998"/>
      <c r="P179" s="2070"/>
      <c r="Q179" s="2070" t="s">
        <v>118</v>
      </c>
      <c r="R179" s="2240" t="s">
        <v>17</v>
      </c>
      <c r="S179" s="2241" t="s">
        <v>56</v>
      </c>
      <c r="T179" s="1999"/>
      <c r="U179" s="1999" t="s">
        <v>118</v>
      </c>
      <c r="V179" s="1658"/>
      <c r="W179" s="2242"/>
      <c r="Y179" s="1483"/>
      <c r="Z179" s="1483"/>
      <c r="AA179" s="1483"/>
      <c r="AB179" s="1483"/>
      <c r="AC179" s="1483"/>
      <c r="AD179" s="1483"/>
      <c r="AE179" s="1483"/>
      <c r="AF179" s="1483"/>
      <c r="AG179" s="1483"/>
      <c r="AH179" s="1483"/>
      <c r="AI179" s="1483"/>
      <c r="AJ179" s="1483"/>
      <c r="AK179" s="1483"/>
      <c r="AL179" s="381"/>
      <c r="AM179" s="381"/>
      <c r="AN179" s="1483"/>
      <c r="AO179" s="1483"/>
      <c r="AP179" s="1483"/>
      <c r="AQ179" s="1483"/>
    </row>
    <row s="5573" customFormat="1" customHeight="1" ht="17.25">
      <c r="A180" s="466"/>
      <c r="C180" s="465"/>
      <c r="D180" s="2013"/>
      <c r="E180" s="2014"/>
      <c r="F180" s="1997"/>
      <c r="G180" s="2015"/>
      <c r="H180" s="2013"/>
      <c r="I180" s="2013"/>
      <c r="J180" s="2025"/>
      <c r="K180" s="2015"/>
      <c r="L180" s="2013"/>
      <c r="M180" s="2013"/>
      <c r="N180" s="2026"/>
      <c r="O180" s="1998"/>
      <c r="P180" s="2070"/>
      <c r="Q180" s="2070"/>
      <c r="R180" s="2240"/>
      <c r="S180" s="2241"/>
      <c r="T180" s="1659"/>
      <c r="U180" s="1660"/>
      <c r="V180" s="1660"/>
      <c r="W180" s="2242"/>
      <c r="Y180" s="1475"/>
      <c r="Z180" s="1475"/>
      <c r="AA180" s="1475"/>
      <c r="AB180" s="1475"/>
      <c r="AC180" s="1475"/>
      <c r="AD180" s="1475"/>
      <c r="AE180" s="1475"/>
      <c r="AF180" s="1475"/>
      <c r="AG180" s="1475"/>
      <c r="AH180" s="1475"/>
      <c r="AI180" s="1475"/>
      <c r="AJ180" s="1475"/>
      <c r="AK180" s="1475"/>
    </row>
    <row s="6050" customFormat="1" customHeight="1" ht="17.25">
      <c r="A181" s="287"/>
    </row>
    <row customHeight="1" ht="16.5">
      <c r="A182" s="286"/>
      <c r="B182" s="236"/>
      <c r="C182" s="265"/>
      <c r="D182" s="2298"/>
      <c r="E182" s="2157"/>
      <c r="F182" s="2150"/>
      <c r="G182" s="2299"/>
      <c r="H182" s="2114"/>
      <c r="I182" s="2116"/>
      <c r="J182" s="2118"/>
      <c r="K182" s="2102"/>
      <c r="L182" s="2097"/>
      <c r="M182" s="2097"/>
      <c r="N182" s="2099"/>
      <c r="O182" s="2102"/>
      <c r="P182" s="2097"/>
      <c r="Q182" s="2097"/>
      <c r="R182" s="2104"/>
      <c r="S182" s="2102"/>
      <c r="T182" s="1514"/>
      <c r="U182" s="1514"/>
      <c r="V182" s="1515"/>
      <c r="W182" s="1516"/>
    </row>
    <row s="6362" customFormat="1" customHeight="1" ht="16.5">
      <c r="A183" s="466"/>
      <c r="B183" s="461"/>
      <c r="C183" s="465"/>
      <c r="D183" s="2298"/>
      <c r="E183" s="2157"/>
      <c r="F183" s="2150"/>
      <c r="G183" s="2299"/>
      <c r="H183" s="2115"/>
      <c r="I183" s="2117"/>
      <c r="J183" s="2119"/>
      <c r="K183" s="2103"/>
      <c r="L183" s="2098"/>
      <c r="M183" s="2098"/>
      <c r="N183" s="2100"/>
      <c r="O183" s="2103"/>
      <c r="P183" s="2098"/>
      <c r="Q183" s="2098"/>
      <c r="R183" s="2101"/>
      <c r="S183" s="2103"/>
      <c r="T183" s="1517"/>
      <c r="U183" s="1517"/>
      <c r="V183" s="1517"/>
      <c r="W183" s="1518"/>
    </row>
    <row customHeight="1" ht="17.25">
      <c r="A184" s="286"/>
      <c r="B184" s="236"/>
      <c r="C184" s="265"/>
      <c r="D184" s="2298"/>
      <c r="E184" s="2157"/>
      <c r="F184" s="2150"/>
      <c r="G184" s="2299"/>
      <c r="H184" s="2115"/>
      <c r="I184" s="2117"/>
      <c r="J184" s="2120"/>
      <c r="K184" s="2103"/>
      <c r="L184" s="2098"/>
      <c r="M184" s="2098"/>
      <c r="N184" s="2101"/>
      <c r="O184" s="2103"/>
      <c r="P184" s="1519"/>
      <c r="Q184" s="1517"/>
      <c r="R184" s="1517"/>
      <c r="S184" s="477"/>
      <c r="T184" s="477"/>
      <c r="U184" s="477"/>
      <c r="V184" s="477"/>
      <c r="W184" s="1518"/>
    </row>
    <row customHeight="1" ht="17.25">
      <c r="A185" s="286"/>
      <c r="B185" s="236"/>
      <c r="C185" s="265"/>
      <c r="D185" s="2298"/>
      <c r="E185" s="2157"/>
      <c r="F185" s="2150"/>
      <c r="G185" s="2299"/>
      <c r="H185" s="2115"/>
      <c r="I185" s="2117"/>
      <c r="J185" s="2120"/>
      <c r="K185" s="2103"/>
      <c r="L185" s="1517"/>
      <c r="M185" s="1517"/>
      <c r="N185" s="1517"/>
      <c r="O185" s="1517"/>
      <c r="P185" s="1517"/>
      <c r="Q185" s="1517"/>
      <c r="R185" s="1517"/>
      <c r="S185" s="477"/>
      <c r="T185" s="477"/>
      <c r="U185" s="477"/>
      <c r="V185" s="477"/>
      <c r="W185" s="1518"/>
    </row>
    <row customHeight="1" ht="17.25">
      <c r="A186" s="286"/>
      <c r="B186" s="236"/>
      <c r="C186" s="265"/>
      <c r="D186" s="2298"/>
      <c r="E186" s="2157"/>
      <c r="F186" s="2150"/>
      <c r="G186" s="2299"/>
      <c r="H186" s="1520"/>
      <c r="I186" s="1521"/>
      <c r="J186" s="1521"/>
      <c r="K186" s="1521"/>
      <c r="L186" s="1521"/>
      <c r="M186" s="1521"/>
      <c r="N186" s="1521"/>
      <c r="O186" s="1521"/>
      <c r="P186" s="1521"/>
      <c r="Q186" s="1521"/>
      <c r="R186" s="1521"/>
      <c r="S186" s="1522"/>
      <c r="T186" s="1522"/>
      <c r="U186" s="1522"/>
      <c r="V186" s="1522"/>
      <c r="W186" s="1523"/>
    </row>
    <row s="6050" customFormat="1" customHeight="1" ht="17.25"/>
    <row s="6051" customFormat="1" customHeight="1" ht="17.25">
      <c r="A188" s="211" t="s">
        <v>1449</v>
      </c>
    </row>
    <row s="6050" customFormat="1" customHeight="1" ht="17.25">
      <c r="G189" s="232"/>
      <c r="H189" s="232"/>
      <c r="I189" s="232"/>
      <c r="M189" s="1736"/>
    </row>
    <row s="5661" customFormat="1" customHeight="1" ht="14.25">
      <c r="D190" s="2269"/>
      <c r="E190" s="2270"/>
      <c r="F190" s="2271"/>
      <c r="G190" s="2159"/>
      <c r="H190" s="1802"/>
      <c r="I190" s="2278">
        <v>1</v>
      </c>
      <c r="J190" s="2247"/>
      <c r="K190" s="1818"/>
      <c r="L190" s="2159" t="s">
        <v>66</v>
      </c>
      <c r="M190" s="2159" t="s">
        <v>66</v>
      </c>
      <c r="N190" s="1802"/>
      <c r="O190" s="2070" t="s">
        <v>118</v>
      </c>
      <c r="P190" s="2267"/>
      <c r="Q190" s="1819"/>
      <c r="R190" s="2272" t="s">
        <v>66</v>
      </c>
      <c r="S190" s="2272" t="s">
        <v>66</v>
      </c>
      <c r="T190" s="1803"/>
      <c r="U190" s="2070" t="s">
        <v>118</v>
      </c>
      <c r="V190" s="2274" t="str">
        <f>IF(AK190="","",INDEX(TERRITORY_MR_LIST,MATCH(AK190,TERRITORY_LIST_ID,0)))</f>
        <v/>
      </c>
      <c r="W190" s="1820"/>
      <c r="X190" s="2159" t="s">
        <v>66</v>
      </c>
      <c r="Y190" s="2159" t="s">
        <v>56</v>
      </c>
      <c r="Z190" s="1802"/>
      <c r="AA190" s="2070" t="s">
        <v>118</v>
      </c>
      <c r="AB190" s="2276"/>
      <c r="AC190" s="1821"/>
      <c r="AD190" s="2159" t="s">
        <v>66</v>
      </c>
      <c r="AE190" s="2159" t="s">
        <v>56</v>
      </c>
      <c r="AF190" s="1800"/>
      <c r="AG190" s="1740" t="s">
        <v>118</v>
      </c>
      <c r="AH190" s="1811"/>
      <c r="AI190" s="1741"/>
      <c r="BK190" s="586"/>
    </row>
    <row s="5661" customFormat="1" customHeight="1" ht="14.25">
      <c r="D191" s="2269"/>
      <c r="E191" s="2270"/>
      <c r="F191" s="2271"/>
      <c r="G191" s="2160"/>
      <c r="H191" s="1802"/>
      <c r="I191" s="2278"/>
      <c r="J191" s="2247"/>
      <c r="K191" s="1801"/>
      <c r="L191" s="2160"/>
      <c r="M191" s="2160"/>
      <c r="N191" s="1802"/>
      <c r="O191" s="2070"/>
      <c r="P191" s="2267"/>
      <c r="Q191" s="1798"/>
      <c r="R191" s="2273"/>
      <c r="S191" s="2273"/>
      <c r="T191" s="1803"/>
      <c r="U191" s="2070"/>
      <c r="V191" s="2275"/>
      <c r="W191" s="1799"/>
      <c r="X191" s="2160"/>
      <c r="Y191" s="2160"/>
      <c r="Z191" s="1802"/>
      <c r="AA191" s="2070"/>
      <c r="AB191" s="2277"/>
      <c r="AC191" s="1804"/>
      <c r="AD191" s="2074"/>
      <c r="AE191" s="2074"/>
      <c r="AF191" s="1805"/>
      <c r="AG191" s="1806"/>
      <c r="AH191" s="2263" t="s">
        <v>1450</v>
      </c>
      <c r="AI191" s="2264"/>
      <c r="BK191" s="586"/>
    </row>
    <row s="5661" customFormat="1" customHeight="1" ht="14.25">
      <c r="D192" s="2269"/>
      <c r="E192" s="2270"/>
      <c r="F192" s="2271"/>
      <c r="G192" s="2160"/>
      <c r="H192" s="1802"/>
      <c r="I192" s="2278"/>
      <c r="J192" s="2247"/>
      <c r="K192" s="1801"/>
      <c r="L192" s="2160"/>
      <c r="M192" s="2160"/>
      <c r="N192" s="1802"/>
      <c r="O192" s="2070"/>
      <c r="P192" s="2267"/>
      <c r="Q192" s="1798"/>
      <c r="R192" s="2273"/>
      <c r="S192" s="2273"/>
      <c r="T192" s="1803"/>
      <c r="U192" s="2070"/>
      <c r="V192" s="2275"/>
      <c r="W192" s="1799"/>
      <c r="X192" s="2160"/>
      <c r="Y192" s="2160"/>
      <c r="Z192" s="1843"/>
      <c r="AA192" s="1808"/>
      <c r="AB192" s="2265" t="s">
        <v>1451</v>
      </c>
      <c r="AC192" s="2265"/>
      <c r="AD192" s="2265"/>
      <c r="AE192" s="2265"/>
      <c r="AF192" s="2265"/>
      <c r="AG192" s="2265"/>
      <c r="AH192" s="2265"/>
      <c r="AI192" s="2266"/>
      <c r="BK192" s="586"/>
    </row>
    <row s="5661" customFormat="1" customHeight="1" ht="14.25">
      <c r="D193" s="2269"/>
      <c r="E193" s="2270"/>
      <c r="F193" s="2271"/>
      <c r="G193" s="2160"/>
      <c r="H193" s="1802"/>
      <c r="I193" s="2278"/>
      <c r="J193" s="2247"/>
      <c r="K193" s="1801"/>
      <c r="L193" s="2160"/>
      <c r="M193" s="2160"/>
      <c r="N193" s="1802"/>
      <c r="O193" s="2070"/>
      <c r="P193" s="2268"/>
      <c r="Q193" s="1798"/>
      <c r="R193" s="2273"/>
      <c r="S193" s="2273"/>
      <c r="T193" s="1842"/>
      <c r="U193" s="1844"/>
      <c r="V193" s="2263" t="s">
        <v>112</v>
      </c>
      <c r="W193" s="2263"/>
      <c r="X193" s="2263"/>
      <c r="Y193" s="2263"/>
      <c r="Z193" s="2263"/>
      <c r="AA193" s="2263"/>
      <c r="AB193" s="2263"/>
      <c r="AC193" s="2263"/>
      <c r="AD193" s="2263"/>
      <c r="AE193" s="2263"/>
      <c r="AF193" s="2263"/>
      <c r="AG193" s="2263"/>
      <c r="AH193" s="2263"/>
      <c r="AI193" s="2264"/>
      <c r="BK193" s="586"/>
    </row>
    <row s="5661" customFormat="1" customHeight="1" ht="11.25">
      <c r="D194" s="2269"/>
      <c r="E194" s="2270"/>
      <c r="F194" s="2271"/>
      <c r="G194" s="2160"/>
      <c r="H194" s="1807"/>
      <c r="I194" s="2278"/>
      <c r="J194" s="2279"/>
      <c r="K194" s="1801"/>
      <c r="L194" s="2160"/>
      <c r="M194" s="2160"/>
      <c r="N194" s="1807"/>
      <c r="O194" s="1808"/>
      <c r="P194" s="2263" t="s">
        <v>1452</v>
      </c>
      <c r="Q194" s="2263"/>
      <c r="R194" s="2263"/>
      <c r="S194" s="2263"/>
      <c r="T194" s="2263"/>
      <c r="U194" s="2263"/>
      <c r="V194" s="2263"/>
      <c r="W194" s="2263"/>
      <c r="X194" s="2263"/>
      <c r="Y194" s="2263"/>
      <c r="Z194" s="2263"/>
      <c r="AA194" s="2263"/>
      <c r="AB194" s="2263"/>
      <c r="AC194" s="2263"/>
      <c r="AD194" s="2263"/>
      <c r="AE194" s="2263"/>
      <c r="AF194" s="2263"/>
      <c r="AG194" s="2263"/>
      <c r="AH194" s="2263"/>
      <c r="AI194" s="2264"/>
      <c r="BK194" s="586"/>
    </row>
    <row s="5583" customFormat="1" customHeight="1" ht="11.25">
      <c r="D195" s="2269"/>
      <c r="E195" s="2270"/>
      <c r="F195" s="2271"/>
      <c r="G195" s="2074"/>
      <c r="H195" s="1809"/>
      <c r="I195" s="1810"/>
      <c r="J195" s="2263" t="s">
        <v>1447</v>
      </c>
      <c r="K195" s="2263"/>
      <c r="L195" s="2263"/>
      <c r="M195" s="2263"/>
      <c r="N195" s="2263"/>
      <c r="O195" s="2263"/>
      <c r="P195" s="2263"/>
      <c r="Q195" s="2263"/>
      <c r="R195" s="2263"/>
      <c r="S195" s="2263"/>
      <c r="T195" s="2263"/>
      <c r="U195" s="2263"/>
      <c r="V195" s="2263"/>
      <c r="W195" s="2263"/>
      <c r="X195" s="2263"/>
      <c r="Y195" s="2263"/>
      <c r="Z195" s="2263"/>
      <c r="AA195" s="2263"/>
      <c r="AB195" s="2263"/>
      <c r="AC195" s="2263"/>
      <c r="AD195" s="2263"/>
      <c r="AE195" s="2263"/>
      <c r="AF195" s="2263"/>
      <c r="AG195" s="2263"/>
      <c r="AH195" s="2263"/>
      <c r="AI195" s="2264"/>
      <c r="BK195" s="1813"/>
    </row>
    <row s="6050" customFormat="1" customHeight="1" ht="17.25">
      <c r="G196" s="232"/>
      <c r="I196" s="232"/>
      <c r="J196" s="232"/>
      <c r="N196" s="1736"/>
    </row>
    <row s="5661" customFormat="1" customHeight="1" ht="14.25">
      <c r="D197" s="2269"/>
      <c r="E197" s="2270"/>
      <c r="F197" s="2271"/>
      <c r="G197" s="2150"/>
      <c r="H197" s="1838"/>
      <c r="I197" s="2152"/>
      <c r="J197" s="2118"/>
      <c r="K197" s="1739"/>
      <c r="L197" s="2102"/>
      <c r="M197" s="2102"/>
      <c r="N197" s="1823"/>
      <c r="O197" s="2097"/>
      <c r="P197" s="2154"/>
      <c r="Q197" s="1824"/>
      <c r="R197" s="2097"/>
      <c r="S197" s="2097"/>
      <c r="T197" s="1825"/>
      <c r="U197" s="2097"/>
      <c r="V197" s="2148"/>
      <c r="W197" s="1826"/>
      <c r="X197" s="2102"/>
      <c r="Y197" s="2102"/>
      <c r="Z197" s="1823"/>
      <c r="AA197" s="2097"/>
      <c r="AB197" s="2148"/>
      <c r="AC197" s="1827"/>
      <c r="AD197" s="2102"/>
      <c r="AE197" s="2102"/>
      <c r="AF197" s="1738"/>
      <c r="AG197" s="1738"/>
      <c r="AH197" s="1828"/>
      <c r="AI197" s="1516"/>
      <c r="BK197" s="586"/>
    </row>
    <row s="5661" customFormat="1" customHeight="1" ht="14.25">
      <c r="D198" s="2269"/>
      <c r="E198" s="2270"/>
      <c r="F198" s="2271"/>
      <c r="G198" s="2150"/>
      <c r="H198" s="1839"/>
      <c r="I198" s="2153"/>
      <c r="J198" s="2119"/>
      <c r="K198" s="1822"/>
      <c r="L198" s="2103"/>
      <c r="M198" s="2103"/>
      <c r="N198" s="1829"/>
      <c r="O198" s="2098"/>
      <c r="P198" s="2155"/>
      <c r="Q198" s="1830"/>
      <c r="R198" s="2098"/>
      <c r="S198" s="2098"/>
      <c r="T198" s="1831"/>
      <c r="U198" s="2098"/>
      <c r="V198" s="2149"/>
      <c r="W198" s="1832"/>
      <c r="X198" s="2103"/>
      <c r="Y198" s="2103"/>
      <c r="Z198" s="1829"/>
      <c r="AA198" s="2098"/>
      <c r="AB198" s="2149"/>
      <c r="AC198" s="1833"/>
      <c r="AD198" s="2103"/>
      <c r="AE198" s="2103"/>
      <c r="AF198" s="1834"/>
      <c r="AG198" s="1834"/>
      <c r="AH198" s="2146"/>
      <c r="AI198" s="2147"/>
      <c r="BK198" s="586"/>
    </row>
    <row s="5661" customFormat="1" customHeight="1" ht="14.25">
      <c r="D199" s="2269"/>
      <c r="E199" s="2270"/>
      <c r="F199" s="2271"/>
      <c r="G199" s="2150"/>
      <c r="H199" s="1839"/>
      <c r="I199" s="2153"/>
      <c r="J199" s="2119"/>
      <c r="K199" s="1822"/>
      <c r="L199" s="2103"/>
      <c r="M199" s="2103"/>
      <c r="N199" s="1829"/>
      <c r="O199" s="2098"/>
      <c r="P199" s="2155"/>
      <c r="Q199" s="1830"/>
      <c r="R199" s="2098"/>
      <c r="S199" s="2098"/>
      <c r="T199" s="1831"/>
      <c r="U199" s="2098"/>
      <c r="V199" s="2149"/>
      <c r="W199" s="1832"/>
      <c r="X199" s="2103"/>
      <c r="Y199" s="2103"/>
      <c r="Z199" s="1737"/>
      <c r="AA199" s="1834"/>
      <c r="AB199" s="2146"/>
      <c r="AC199" s="2146"/>
      <c r="AD199" s="2146"/>
      <c r="AE199" s="2146"/>
      <c r="AF199" s="2146"/>
      <c r="AG199" s="2146"/>
      <c r="AH199" s="2146"/>
      <c r="AI199" s="2147"/>
      <c r="BK199" s="586"/>
    </row>
    <row s="5661" customFormat="1" customHeight="1" ht="14.25">
      <c r="D200" s="2269"/>
      <c r="E200" s="2270"/>
      <c r="F200" s="2271"/>
      <c r="G200" s="2150"/>
      <c r="H200" s="1839"/>
      <c r="I200" s="2153"/>
      <c r="J200" s="2119"/>
      <c r="K200" s="1822"/>
      <c r="L200" s="2103"/>
      <c r="M200" s="2103"/>
      <c r="N200" s="1829"/>
      <c r="O200" s="2098"/>
      <c r="P200" s="2155"/>
      <c r="Q200" s="1830"/>
      <c r="R200" s="2098"/>
      <c r="S200" s="2098"/>
      <c r="T200" s="1835"/>
      <c r="U200" s="1836"/>
      <c r="V200" s="2146"/>
      <c r="W200" s="2146"/>
      <c r="X200" s="2146"/>
      <c r="Y200" s="2146"/>
      <c r="Z200" s="2146"/>
      <c r="AA200" s="2146"/>
      <c r="AB200" s="2146"/>
      <c r="AC200" s="2146"/>
      <c r="AD200" s="2146"/>
      <c r="AE200" s="2146"/>
      <c r="AF200" s="2146"/>
      <c r="AG200" s="2146"/>
      <c r="AH200" s="2146"/>
      <c r="AI200" s="2147"/>
      <c r="BK200" s="586"/>
    </row>
    <row s="5661" customFormat="1" customHeight="1" ht="11.25">
      <c r="D201" s="2269"/>
      <c r="E201" s="2270"/>
      <c r="F201" s="2271"/>
      <c r="G201" s="2150"/>
      <c r="H201" s="1840"/>
      <c r="I201" s="2153"/>
      <c r="J201" s="2119"/>
      <c r="K201" s="1822"/>
      <c r="L201" s="2103"/>
      <c r="M201" s="2103"/>
      <c r="N201" s="1834"/>
      <c r="O201" s="1834"/>
      <c r="P201" s="2146"/>
      <c r="Q201" s="2146"/>
      <c r="R201" s="2146"/>
      <c r="S201" s="2146"/>
      <c r="T201" s="2146"/>
      <c r="U201" s="2146"/>
      <c r="V201" s="2146"/>
      <c r="W201" s="2146"/>
      <c r="X201" s="2146"/>
      <c r="Y201" s="2146"/>
      <c r="Z201" s="2146"/>
      <c r="AA201" s="2146"/>
      <c r="AB201" s="2146"/>
      <c r="AC201" s="2146"/>
      <c r="AD201" s="2146"/>
      <c r="AE201" s="2146"/>
      <c r="AF201" s="2146"/>
      <c r="AG201" s="2146"/>
      <c r="AH201" s="2146"/>
      <c r="AI201" s="2147"/>
      <c r="BK201" s="586"/>
    </row>
    <row s="5583" customFormat="1" customHeight="1" ht="11.25">
      <c r="D202" s="2269"/>
      <c r="E202" s="2270"/>
      <c r="F202" s="2271"/>
      <c r="G202" s="2158"/>
      <c r="H202" s="1837"/>
      <c r="I202" s="1841"/>
      <c r="J202" s="2161"/>
      <c r="K202" s="2161"/>
      <c r="L202" s="2161"/>
      <c r="M202" s="2161"/>
      <c r="N202" s="2161"/>
      <c r="O202" s="2161"/>
      <c r="P202" s="2161"/>
      <c r="Q202" s="2161"/>
      <c r="R202" s="2161"/>
      <c r="S202" s="2161"/>
      <c r="T202" s="2161"/>
      <c r="U202" s="2161"/>
      <c r="V202" s="2161"/>
      <c r="W202" s="2161"/>
      <c r="X202" s="2161"/>
      <c r="Y202" s="2161"/>
      <c r="Z202" s="2161"/>
      <c r="AA202" s="2161"/>
      <c r="AB202" s="2161"/>
      <c r="AC202" s="2161"/>
      <c r="AD202" s="2161"/>
      <c r="AE202" s="2161"/>
      <c r="AF202" s="2161"/>
      <c r="AG202" s="2161"/>
      <c r="AH202" s="2161"/>
      <c r="AI202" s="2162"/>
      <c r="BK202" s="1813"/>
    </row>
    <row customHeight="1" ht="17.25">
      <c r="A203" s="287"/>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type="decimal" allowBlank="1" showErrorMessage="1" errorTitle="Ошибка" error="Допускается ввод только неотрицательных чисел!" sqref="M48 K48 Q48 O48 Q128 O128 AC72 AE72 AC80 AE80 AE85 AE91 AC91 AC85 Q135 O135 O138 Q138">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InputMessage="1" showErrorMessage="1" sqref="I30">
      <formula1>DESCRIPTION_TERRITORY</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type="whole" allowBlank="1" showErrorMessage="1" errorTitle="Ошибка" error="Допускается ввод только неотрицательных целых чисел!" sqref="P48 N48 X48:Z48 R48:V48 AB48:AC48 H48:J48 AF70:AF74 AI70:AI74 AF79:AF81 AI79:AI81 AF89:AF93 AI89:AI93 AF85 AI85">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allowBlank="1" showInputMessage="1" showErrorMessage="1" promptTitle="Ввод" prompt="Для выбора ИП необходимо два раза нажать левую кнопку мыши!" sqref="G60 G65"/>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C3DE0D-E2E4-60A1-B234-DABF29EECF6B}"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6460" width="9.140625" hidden="1" customWidth="1"/>
    <col min="2" max="2" style="6461" width="9.140625" hidden="1" customWidth="1"/>
    <col min="3" max="3" style="6462" width="3.7109375" customWidth="1"/>
    <col min="4" max="4" style="5370" width="6.28125" customWidth="1"/>
    <col min="5" max="6" style="5370" width="64.140625" customWidth="1"/>
    <col min="7" max="7" style="5370" width="141.140625" customWidth="1"/>
    <col min="8" max="8" style="5370" width="10.57421875"/>
    <col min="9" max="10" style="5371" width="10.57421875"/>
    <col min="11" max="16" style="5370" width="10.57421875"/>
  </cols>
  <sheetData>
    <row customHeight="1" ht="14.25" hidden="1">
      <c r="M1" s="390"/>
      <c r="N1" s="390"/>
      <c r="P1" s="390"/>
    </row>
    <row customHeight="1" ht="14.25" hidden="1"/>
    <row customHeight="1" ht="14.25" hidden="1"/>
    <row customHeight="1" ht="3">
      <c r="C4" s="227"/>
      <c r="D4" s="213"/>
      <c r="E4" s="213"/>
      <c r="F4" s="214"/>
      <c r="G4" s="214"/>
    </row>
    <row customHeight="1" ht="25.5">
      <c r="C5" s="227"/>
      <c r="D5" s="2328"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329"/>
      <c r="F5" s="2329"/>
      <c r="G5" s="2330"/>
    </row>
    <row s="5367" customFormat="1" customHeight="1" ht="18">
      <c r="A6" s="1058"/>
      <c r="B6" s="580"/>
      <c r="C6" s="529"/>
      <c r="D6" s="233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32"/>
      <c r="F6" s="2332"/>
      <c r="G6" s="2333"/>
      <c r="I6" s="664"/>
      <c r="J6" s="664"/>
    </row>
    <row customHeight="1" ht="14.25">
      <c r="C7" s="227"/>
      <c r="D7" s="213"/>
      <c r="E7" s="226"/>
      <c r="F7" s="918"/>
      <c r="G7" s="327"/>
    </row>
    <row s="6130" customFormat="1" customHeight="1" ht="0.75">
      <c r="A8" s="1909"/>
      <c r="B8" s="1348"/>
      <c r="C8" s="529"/>
      <c r="D8" s="513"/>
      <c r="E8" s="548"/>
      <c r="F8" s="918"/>
      <c r="G8" s="327"/>
      <c r="I8" s="1864"/>
      <c r="J8" s="1864"/>
    </row>
    <row customHeight="1" ht="14.25">
      <c r="C9" s="227"/>
      <c r="D9" s="2228" t="s">
        <v>300</v>
      </c>
      <c r="E9" s="2228"/>
      <c r="F9" s="2228"/>
      <c r="G9" s="2334" t="s">
        <v>301</v>
      </c>
    </row>
    <row customHeight="1" ht="14.25">
      <c r="C10" s="227"/>
      <c r="D10" s="237" t="s">
        <v>87</v>
      </c>
      <c r="E10" s="240" t="s">
        <v>302</v>
      </c>
      <c r="F10" s="240" t="s">
        <v>392</v>
      </c>
      <c r="G10" s="2334"/>
    </row>
    <row customHeight="1" ht="12" hidden="1">
      <c r="C11" s="227"/>
      <c r="D11" s="216"/>
      <c r="E11" s="216"/>
      <c r="F11" s="216"/>
      <c r="G11" s="216"/>
    </row>
    <row customHeight="1" ht="62.25">
      <c r="A12" s="326"/>
      <c r="C12" s="227"/>
      <c r="D12" s="280">
        <v>1</v>
      </c>
      <c r="E12" s="331"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332" t="s">
        <v>306</v>
      </c>
      <c r="G12" s="284"/>
    </row>
    <row customHeight="1" ht="22.5">
      <c r="A13" s="326"/>
      <c r="C13" s="227"/>
      <c r="D13" s="280" t="s">
        <v>627</v>
      </c>
      <c r="E13" s="328"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32" t="s">
        <v>306</v>
      </c>
      <c r="G13" s="284"/>
    </row>
    <row customHeight="1" ht="14.25">
      <c r="A14" s="326"/>
      <c r="C14" s="227"/>
      <c r="D14" s="280" t="s">
        <v>1453</v>
      </c>
      <c r="E14" s="3922"/>
      <c r="F14" s="348"/>
      <c r="G14" s="2214"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326"/>
      <c r="C15" s="227"/>
      <c r="D15" s="241"/>
      <c r="E15" s="497" t="s">
        <v>1454</v>
      </c>
      <c r="F15" s="335"/>
      <c r="G15" s="2216"/>
    </row>
    <row customHeight="1" ht="14.25">
      <c r="A16" s="326"/>
      <c r="C16" s="227"/>
      <c r="D16" s="280" t="s">
        <v>633</v>
      </c>
      <c r="E16" s="328"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332" t="s">
        <v>306</v>
      </c>
      <c r="G16" s="485"/>
    </row>
    <row customHeight="1" ht="14.25">
      <c r="A17" s="326"/>
      <c r="C17" s="227"/>
      <c r="D17" s="280" t="s">
        <v>1455</v>
      </c>
      <c r="E17" s="3922"/>
      <c r="F17" s="543"/>
      <c r="G17" s="2214"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row>
    <row s="6438" customFormat="1" customHeight="1" ht="21">
      <c r="A18" s="491"/>
      <c r="B18" s="279"/>
      <c r="C18" s="445"/>
      <c r="D18" s="495"/>
      <c r="E18" s="497" t="s">
        <v>1456</v>
      </c>
      <c r="F18" s="486"/>
      <c r="G18" s="2216"/>
      <c r="I18" s="498"/>
      <c r="J18" s="498"/>
    </row>
    <row s="5367" customFormat="1" customHeight="1" ht="256.5" hidden="1">
      <c r="A19" s="491"/>
      <c r="B19" s="580"/>
      <c r="C19" s="529"/>
      <c r="D19" s="1060" t="s">
        <v>1457</v>
      </c>
      <c r="E19" s="1059" t="s">
        <v>1458</v>
      </c>
      <c r="F19" s="543"/>
      <c r="G19" s="485" t="s">
        <v>1459</v>
      </c>
      <c r="I19" s="664"/>
      <c r="J19" s="664"/>
    </row>
    <row s="6438" customFormat="1" customHeight="1" ht="14.25">
      <c r="A20" s="491"/>
      <c r="B20" s="279"/>
      <c r="C20" s="445"/>
      <c r="D20" s="1061">
        <v>2</v>
      </c>
      <c r="E20" s="478" t="s">
        <v>1460</v>
      </c>
      <c r="F20" s="332" t="s">
        <v>306</v>
      </c>
      <c r="G20" s="485"/>
      <c r="I20" s="498"/>
      <c r="J20" s="498"/>
    </row>
    <row s="6438" customFormat="1" customHeight="1" ht="18.75" hidden="1">
      <c r="A21" s="491"/>
      <c r="B21" s="279"/>
      <c r="C21" s="445"/>
      <c r="D21" s="481" t="s">
        <v>1461</v>
      </c>
      <c r="E21" s="3938"/>
      <c r="F21" s="479"/>
      <c r="G21" s="489"/>
      <c r="H21" s="482"/>
      <c r="I21" s="498"/>
      <c r="J21" s="498"/>
    </row>
    <row customHeight="1" ht="15">
      <c r="A22" s="326"/>
      <c r="C22" s="227"/>
      <c r="D22" s="241"/>
      <c r="E22" s="337" t="s">
        <v>1462</v>
      </c>
      <c r="F22" s="486"/>
      <c r="G22" s="487"/>
    </row>
    <row s="6130" customFormat="1" customHeight="1" ht="22.5" hidden="1">
      <c r="A23" s="491"/>
      <c r="B23" s="1348"/>
      <c r="C23" s="529"/>
      <c r="D23" s="1913" t="s">
        <v>102</v>
      </c>
      <c r="E23" s="331" t="s">
        <v>1463</v>
      </c>
      <c r="F23" s="1910" t="s">
        <v>306</v>
      </c>
      <c r="G23" s="493"/>
      <c r="I23" s="1864"/>
      <c r="J23" s="1864"/>
    </row>
    <row s="6130" customFormat="1" customHeight="1" ht="14.25" hidden="1">
      <c r="A24" s="491"/>
      <c r="B24" s="1348"/>
      <c r="C24" s="529"/>
      <c r="D24" s="1913" t="s">
        <v>512</v>
      </c>
      <c r="E24" s="1912" t="s">
        <v>1464</v>
      </c>
      <c r="F24" s="1910" t="s">
        <v>306</v>
      </c>
      <c r="G24" s="485"/>
      <c r="I24" s="1864"/>
      <c r="J24" s="1864"/>
    </row>
    <row s="6130" customFormat="1" customHeight="1" ht="14.25" hidden="1">
      <c r="A25" s="491"/>
      <c r="B25" s="1348"/>
      <c r="C25" s="529"/>
      <c r="D25" s="1913" t="s">
        <v>1465</v>
      </c>
      <c r="E25" s="3922"/>
      <c r="F25" s="543"/>
      <c r="G25" s="2214" t="s">
        <v>1466</v>
      </c>
      <c r="I25" s="1864"/>
      <c r="J25" s="1864"/>
    </row>
    <row s="6130" customFormat="1" customHeight="1" ht="22.5" hidden="1">
      <c r="A26" s="491"/>
      <c r="B26" s="1348"/>
      <c r="C26" s="529"/>
      <c r="D26" s="495"/>
      <c r="E26" s="497" t="s">
        <v>1467</v>
      </c>
      <c r="F26" s="486"/>
      <c r="G26" s="2216"/>
      <c r="I26" s="1864"/>
      <c r="J26" s="1864"/>
    </row>
    <row customHeight="1" ht="3"/>
    <row customHeight="1" ht="14.25">
      <c r="D28" s="484"/>
      <c r="E28" s="483"/>
      <c r="F28" s="456"/>
      <c r="G28" s="456"/>
      <c r="H28" s="456"/>
      <c r="I28" s="456"/>
      <c r="J28" s="456"/>
      <c r="K28" s="456"/>
      <c r="L28" s="456"/>
      <c r="M28" s="456"/>
      <c r="N28" s="456"/>
      <c r="O28" s="456"/>
      <c r="P28" s="456"/>
    </row>
    <row customHeight="1" ht="14.25">
      <c r="D29" s="484"/>
      <c r="E29" s="746"/>
    </row>
    <row r="31" customHeight="1" ht="14.25">
      <c r="E31" s="924"/>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49A2B8D-86C6-640B-6197-0B4660C29FAC}"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18" width="3.7109375" customWidth="1"/>
    <col min="17" max="18" style="6619" width="3.7109375" customWidth="1"/>
    <col min="19" max="19" style="6620" width="12.7109375" customWidth="1"/>
    <col min="20" max="20" style="6104" width="35.7109375" customWidth="1"/>
    <col min="21" max="21" style="6104" width="0.140625" customWidth="1"/>
    <col min="22" max="22" style="6104" width="24.7109375" hidden="1" customWidth="1"/>
    <col min="23" max="23" style="6104" width="0.140625" hidden="1" customWidth="1"/>
    <col min="24" max="25" style="6104" width="24.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0" style="6104" width="24.7109375" customWidth="1"/>
    <col min="31" max="31" style="6104" width="0.140625" customWidth="1"/>
    <col min="32" max="33" style="6104" width="24.7109375" customWidth="1"/>
    <col min="34" max="34" style="6104" width="11.7109375" customWidth="1"/>
    <col min="35" max="35" style="6104" width="3.7109375" customWidth="1"/>
    <col min="36" max="36" style="6104" width="11.7109375" customWidth="1"/>
    <col min="37" max="37" style="6104" width="8.57421875" hidden="1" customWidth="1"/>
    <col min="38" max="38" style="6104" width="4.7109375" customWidth="1"/>
    <col min="39" max="39" style="6104" width="115.7109375" customWidth="1"/>
    <col min="40" max="41" style="6608" width="10.57421875"/>
    <col min="42" max="42" style="6608" width="11.140625" customWidth="1"/>
    <col min="43" max="44" style="6608" width="10.57421875"/>
  </cols>
  <sheetData>
    <row customHeight="1" ht="14.25" hidden="1">
      <c r="Y1" s="475"/>
      <c r="Z1" s="475"/>
      <c r="AG1" s="475"/>
      <c r="AH1" s="475"/>
    </row>
    <row customHeight="1" ht="21" hidden="1">
      <c r="A2" s="1586"/>
      <c r="B2" s="1586"/>
      <c r="C2" s="1586"/>
      <c r="D2" s="1586"/>
      <c r="E2" s="2351">
        <v>1</v>
      </c>
      <c r="F2" s="1586"/>
      <c r="G2" s="1586"/>
      <c r="H2" s="1586"/>
      <c r="I2" s="1586"/>
      <c r="J2" s="1586"/>
      <c r="K2" s="1586"/>
      <c r="L2" s="1587"/>
      <c r="M2" s="1588"/>
      <c r="N2" s="1588"/>
      <c r="O2" s="1588"/>
      <c r="P2" s="509"/>
      <c r="Q2" s="508"/>
      <c r="R2" s="503"/>
      <c r="S2" s="1531">
        <f>INDEX(PT_DIFFERENTIATION_NUM_NTAR,MATCH(A2,PT_DIFFERENTIATION_NTAR_ID,0))</f>
      </c>
      <c r="T2" s="435" t="s">
        <v>132</v>
      </c>
      <c r="U2" s="437"/>
      <c r="V2" s="3964"/>
      <c r="W2" s="3965"/>
      <c r="X2" s="3965"/>
      <c r="Y2" s="3965"/>
      <c r="Z2" s="3965"/>
      <c r="AA2" s="3965"/>
      <c r="AB2" s="3965"/>
      <c r="AC2" s="3966"/>
      <c r="AD2" s="3964">
        <f>INDEX(PT_DIFFERENTIATION_NTAR,MATCH(A2,PT_DIFFERENTIATION_NTAR_ID,0))</f>
      </c>
      <c r="AE2" s="3965"/>
      <c r="AF2" s="3965"/>
      <c r="AG2" s="3965"/>
      <c r="AH2" s="3965"/>
      <c r="AI2" s="3965"/>
      <c r="AJ2" s="3965"/>
      <c r="AK2" s="3965"/>
      <c r="AL2" s="3966"/>
      <c r="AM2" s="1473" t="s">
        <v>1468</v>
      </c>
      <c r="AO2" s="664"/>
      <c r="AP2" s="664" t="str">
        <f>IF(T2="","",T2)</f>
        <v>Наименование тарифа</v>
      </c>
      <c r="AQ2" s="664"/>
      <c r="AR2" s="664"/>
    </row>
    <row customHeight="1" ht="21" hidden="1">
      <c r="A3" s="1586"/>
      <c r="B3" s="1586"/>
      <c r="C3" s="1586"/>
      <c r="D3" s="1586"/>
      <c r="E3" s="2352"/>
      <c r="F3" s="2351">
        <v>1</v>
      </c>
      <c r="G3" s="1586"/>
      <c r="H3" s="1586"/>
      <c r="I3" s="1586"/>
      <c r="J3" s="1586"/>
      <c r="K3" s="1586"/>
      <c r="L3" s="1587"/>
      <c r="M3" s="1588"/>
      <c r="N3" s="1588"/>
      <c r="O3" s="1588"/>
      <c r="P3" s="1526"/>
      <c r="Q3" s="500"/>
      <c r="R3" s="501"/>
      <c r="S3" s="1531">
        <f>INDEX(PT_DIFFERENTIATION_NUM_TER,MATCH(B3,PT_DIFFERENTIATION_TER_ID,0))</f>
      </c>
      <c r="T3" s="447" t="s">
        <v>1469</v>
      </c>
      <c r="U3" s="437"/>
      <c r="V3" s="3964"/>
      <c r="W3" s="3965"/>
      <c r="X3" s="3965"/>
      <c r="Y3" s="3965"/>
      <c r="Z3" s="3965"/>
      <c r="AA3" s="3965"/>
      <c r="AB3" s="3965"/>
      <c r="AC3" s="3966"/>
      <c r="AD3" s="3964">
        <f>INDEX(PT_DIFFERENTIATION_TER,MATCH(B3,PT_DIFFERENTIATION_TER_ID,0))</f>
      </c>
      <c r="AE3" s="3965"/>
      <c r="AF3" s="3965"/>
      <c r="AG3" s="3965"/>
      <c r="AH3" s="3965"/>
      <c r="AI3" s="3965"/>
      <c r="AJ3" s="3965"/>
      <c r="AK3" s="3965"/>
      <c r="AL3" s="3966"/>
      <c r="AM3" s="1473" t="s">
        <v>1470</v>
      </c>
      <c r="AO3" s="664"/>
      <c r="AP3" s="664" t="str">
        <f>IF(T3="","",T3)</f>
        <v>Территория действия тарифа</v>
      </c>
      <c r="AQ3" s="664"/>
      <c r="AR3" s="664"/>
    </row>
    <row customHeight="1" ht="23.25" hidden="1">
      <c r="A4" s="1586"/>
      <c r="B4" s="1586"/>
      <c r="C4" s="1586"/>
      <c r="D4" s="1586"/>
      <c r="E4" s="2352"/>
      <c r="F4" s="2352"/>
      <c r="G4" s="2351">
        <v>1</v>
      </c>
      <c r="H4" s="1586"/>
      <c r="I4" s="1586"/>
      <c r="J4" s="1586"/>
      <c r="K4" s="1586"/>
      <c r="L4" s="1587"/>
      <c r="M4" s="1588"/>
      <c r="N4" s="1588"/>
      <c r="O4" s="1588"/>
      <c r="P4" s="502"/>
      <c r="Q4" s="500"/>
      <c r="R4" s="501"/>
      <c r="S4" s="1531">
        <f>INDEX(PT_DIFFERENTIATION_NUM_CS,MATCH(C4,PT_DIFFERENTIATION_CS_ID,0))</f>
      </c>
      <c r="T4" s="448" t="s">
        <v>1471</v>
      </c>
      <c r="U4" s="437"/>
      <c r="V4" s="3964"/>
      <c r="W4" s="3965"/>
      <c r="X4" s="3965"/>
      <c r="Y4" s="3965"/>
      <c r="Z4" s="3965"/>
      <c r="AA4" s="3965"/>
      <c r="AB4" s="3965"/>
      <c r="AC4" s="3966"/>
      <c r="AD4" s="3964">
        <f>INDEX(PT_DIFFERENTIATION_CS,MATCH(C4,PT_DIFFERENTIATION_CS_ID,0))</f>
      </c>
      <c r="AE4" s="3965"/>
      <c r="AF4" s="3965"/>
      <c r="AG4" s="3965"/>
      <c r="AH4" s="3965"/>
      <c r="AI4" s="3965"/>
      <c r="AJ4" s="3965"/>
      <c r="AK4" s="3965"/>
      <c r="AL4" s="3966"/>
      <c r="AM4" s="1473" t="s">
        <v>1472</v>
      </c>
      <c r="AO4" s="664"/>
      <c r="AP4" s="664" t="str">
        <f>IF(T4="","",T4)</f>
        <v>Наименование системы теплоснабжения </v>
      </c>
      <c r="AQ4" s="664"/>
      <c r="AR4" s="664"/>
    </row>
    <row customHeight="1" ht="21" hidden="1">
      <c r="A5" s="1586"/>
      <c r="B5" s="1586"/>
      <c r="C5" s="1586"/>
      <c r="D5" s="1586"/>
      <c r="E5" s="2352"/>
      <c r="F5" s="2352"/>
      <c r="G5" s="2352"/>
      <c r="H5" s="2351">
        <v>1</v>
      </c>
      <c r="I5" s="1586"/>
      <c r="J5" s="1586"/>
      <c r="K5" s="1586"/>
      <c r="L5" s="1587"/>
      <c r="M5" s="1588"/>
      <c r="N5" s="1588"/>
      <c r="O5" s="1588"/>
      <c r="P5" s="502"/>
      <c r="Q5" s="500"/>
      <c r="R5" s="501"/>
      <c r="S5" s="1531">
        <f>INDEX(PT_DIFFERENTIATION_NUM_IST_TE,MATCH(D5,PT_DIFFERENTIATION_IST_TE_ID,0))</f>
      </c>
      <c r="T5" s="449" t="s">
        <v>1473</v>
      </c>
      <c r="U5" s="437"/>
      <c r="V5" s="3964"/>
      <c r="W5" s="3965"/>
      <c r="X5" s="3965"/>
      <c r="Y5" s="3965"/>
      <c r="Z5" s="3965"/>
      <c r="AA5" s="3965"/>
      <c r="AB5" s="3965"/>
      <c r="AC5" s="3966"/>
      <c r="AD5" s="3964">
        <f>INDEX(PT_DIFFERENTIATION_IST_TE,MATCH(D5,PT_DIFFERENTIATION_IST_TE_ID,0))</f>
      </c>
      <c r="AE5" s="3965"/>
      <c r="AF5" s="3965"/>
      <c r="AG5" s="3965"/>
      <c r="AH5" s="3965"/>
      <c r="AI5" s="3965"/>
      <c r="AJ5" s="3965"/>
      <c r="AK5" s="3965"/>
      <c r="AL5" s="3966"/>
      <c r="AM5" s="1473" t="s">
        <v>1474</v>
      </c>
      <c r="AO5" s="664"/>
      <c r="AP5" s="664" t="str">
        <f>IF(T5="","",T5)</f>
        <v>Источник тепловой энергии  </v>
      </c>
      <c r="AQ5" s="664"/>
      <c r="AR5" s="664"/>
    </row>
    <row customHeight="1" ht="47.25" hidden="1">
      <c r="A6" s="1586"/>
      <c r="B6" s="1586"/>
      <c r="C6" s="1586"/>
      <c r="D6" s="1586"/>
      <c r="E6" s="2352"/>
      <c r="F6" s="2352"/>
      <c r="G6" s="2352"/>
      <c r="H6" s="2352"/>
      <c r="I6" s="2380">
        <f>S5&amp;".1"</f>
      </c>
      <c r="J6" s="1586"/>
      <c r="K6" s="1586"/>
      <c r="L6" s="1587" t="s">
        <v>1475</v>
      </c>
      <c r="M6" s="701"/>
      <c r="P6" s="2350">
        <v>1</v>
      </c>
      <c r="Q6" s="1527"/>
      <c r="R6" s="504"/>
      <c r="S6" s="1531">
        <f>$I6</f>
      </c>
      <c r="T6" s="422" t="s">
        <v>1476</v>
      </c>
      <c r="U6" s="437"/>
      <c r="V6" s="2338"/>
      <c r="W6" s="2339"/>
      <c r="X6" s="2339"/>
      <c r="Y6" s="2339"/>
      <c r="Z6" s="2339"/>
      <c r="AA6" s="2339"/>
      <c r="AB6" s="2339"/>
      <c r="AC6" s="2340"/>
      <c r="AD6" s="2338"/>
      <c r="AE6" s="2339"/>
      <c r="AF6" s="2339"/>
      <c r="AG6" s="2339"/>
      <c r="AH6" s="2339"/>
      <c r="AI6" s="2339"/>
      <c r="AJ6" s="2339"/>
      <c r="AK6" s="2339"/>
      <c r="AL6" s="2340"/>
      <c r="AM6" s="1473" t="s">
        <v>1477</v>
      </c>
      <c r="AO6" s="664"/>
      <c r="AP6" s="664" t="str">
        <f>IF(T6="","",T6)</f>
        <v>Схема подключения теплопотребляющей установки к коллектору источника тепловой энергии</v>
      </c>
      <c r="AQ6" s="664"/>
      <c r="AR6" s="664"/>
    </row>
    <row customHeight="1" ht="21" hidden="1">
      <c r="A7" s="1586"/>
      <c r="B7" s="1586"/>
      <c r="C7" s="1586"/>
      <c r="D7" s="1586"/>
      <c r="E7" s="2352"/>
      <c r="F7" s="2352"/>
      <c r="G7" s="2352"/>
      <c r="H7" s="2352"/>
      <c r="I7" s="2381"/>
      <c r="J7" s="2349">
        <f>I6&amp;".1"</f>
      </c>
      <c r="K7" s="1586"/>
      <c r="L7" s="1587" t="s">
        <v>1478</v>
      </c>
      <c r="M7" s="701"/>
      <c r="N7" s="1589"/>
      <c r="P7" s="2350"/>
      <c r="Q7" s="2350">
        <v>1</v>
      </c>
      <c r="R7" s="505"/>
      <c r="S7" s="1531">
        <f>$J7</f>
      </c>
      <c r="T7" s="423" t="s">
        <v>1479</v>
      </c>
      <c r="U7" s="437"/>
      <c r="V7" s="2338"/>
      <c r="W7" s="2339"/>
      <c r="X7" s="2339"/>
      <c r="Y7" s="2339"/>
      <c r="Z7" s="2339"/>
      <c r="AA7" s="2339"/>
      <c r="AB7" s="2339"/>
      <c r="AC7" s="2340"/>
      <c r="AD7" s="2338"/>
      <c r="AE7" s="2339"/>
      <c r="AF7" s="2339"/>
      <c r="AG7" s="2339"/>
      <c r="AH7" s="2339"/>
      <c r="AI7" s="2339"/>
      <c r="AJ7" s="2339"/>
      <c r="AK7" s="2339"/>
      <c r="AL7" s="2340"/>
      <c r="AM7" s="1473" t="s">
        <v>1480</v>
      </c>
      <c r="AO7" s="664"/>
      <c r="AP7" s="664" t="str">
        <f>IF(T7="","",T7)</f>
        <v>Группа потребителей</v>
      </c>
      <c r="AQ7" s="664"/>
      <c r="AR7" s="664"/>
    </row>
    <row customHeight="1" ht="21" hidden="1">
      <c r="A8" s="1586"/>
      <c r="B8" s="1586"/>
      <c r="C8" s="1586"/>
      <c r="D8" s="1586"/>
      <c r="E8" s="2352"/>
      <c r="F8" s="2352"/>
      <c r="G8" s="2352"/>
      <c r="H8" s="2352"/>
      <c r="I8" s="2381"/>
      <c r="J8" s="2382"/>
      <c r="K8" s="2349">
        <f>J7&amp;".1"</f>
      </c>
      <c r="L8" s="1587" t="s">
        <v>1481</v>
      </c>
      <c r="M8" s="701"/>
      <c r="N8" s="1589"/>
      <c r="O8" s="1589"/>
      <c r="P8" s="2350"/>
      <c r="Q8" s="2350"/>
      <c r="R8" s="505">
        <v>1</v>
      </c>
      <c r="S8" s="1531">
        <f>$K8</f>
      </c>
      <c r="T8" s="1569"/>
      <c r="U8" s="437"/>
      <c r="V8" s="3992"/>
      <c r="W8" s="3993"/>
      <c r="X8" s="3992"/>
      <c r="Y8" s="3994"/>
      <c r="Z8" s="2357"/>
      <c r="AA8" s="2069" t="s">
        <v>66</v>
      </c>
      <c r="AB8" s="2357"/>
      <c r="AC8" s="2069" t="s">
        <v>66</v>
      </c>
      <c r="AD8" s="3992"/>
      <c r="AE8" s="3993"/>
      <c r="AF8" s="3992"/>
      <c r="AG8" s="3994"/>
      <c r="AH8" s="2357"/>
      <c r="AI8" s="2069" t="s">
        <v>66</v>
      </c>
      <c r="AJ8" s="2357"/>
      <c r="AK8" s="2069" t="s">
        <v>66</v>
      </c>
      <c r="AL8" s="3993"/>
      <c r="AM8" s="2346" t="s">
        <v>1482</v>
      </c>
      <c r="AN8" s="675">
        <f>STRCHECKDATE(V9:AL9)</f>
      </c>
      <c r="AO8" s="664"/>
      <c r="AP8" s="664" t="str">
        <f>IF(T8="","",T8)</f>
        <v/>
      </c>
      <c r="AQ8" s="664"/>
      <c r="AR8" s="664"/>
    </row>
    <row customHeight="1" ht="0.75" hidden="1">
      <c r="A9" s="1586"/>
      <c r="B9" s="1586"/>
      <c r="C9" s="1586"/>
      <c r="D9" s="1586"/>
      <c r="E9" s="2352"/>
      <c r="F9" s="2352"/>
      <c r="G9" s="2352"/>
      <c r="H9" s="2352"/>
      <c r="I9" s="2381"/>
      <c r="J9" s="2382"/>
      <c r="K9" s="2349"/>
      <c r="L9" s="1587"/>
      <c r="M9" s="701"/>
      <c r="N9" s="1589"/>
      <c r="O9" s="1589"/>
      <c r="P9" s="2350"/>
      <c r="Q9" s="2350"/>
      <c r="R9" s="505"/>
      <c r="S9" s="1528"/>
      <c r="T9" s="437"/>
      <c r="U9" s="437"/>
      <c r="V9" s="3993"/>
      <c r="W9" s="3993"/>
      <c r="X9" s="3993"/>
      <c r="Y9" s="3998" t="str">
        <f>Z8&amp;"-"&amp;AB8</f>
        <v>-</v>
      </c>
      <c r="Z9" s="2358"/>
      <c r="AA9" s="2069"/>
      <c r="AB9" s="2358"/>
      <c r="AC9" s="2069"/>
      <c r="AD9" s="3993"/>
      <c r="AE9" s="3993"/>
      <c r="AF9" s="3993"/>
      <c r="AG9" s="3998" t="str">
        <f>AH8&amp;"-"&amp;AJ8</f>
        <v>-</v>
      </c>
      <c r="AH9" s="2358"/>
      <c r="AI9" s="2069"/>
      <c r="AJ9" s="2358"/>
      <c r="AK9" s="2069"/>
      <c r="AL9" s="3993"/>
      <c r="AM9" s="2347"/>
      <c r="AO9" s="664"/>
      <c r="AP9" s="664" t="str">
        <f>IF(T9="","",T9)</f>
        <v/>
      </c>
      <c r="AQ9" s="664"/>
      <c r="AR9" s="664"/>
    </row>
    <row customHeight="1" ht="15" hidden="1">
      <c r="A10" s="1586"/>
      <c r="B10" s="1586"/>
      <c r="C10" s="1586"/>
      <c r="D10" s="1586"/>
      <c r="E10" s="2352"/>
      <c r="F10" s="2352"/>
      <c r="G10" s="2352"/>
      <c r="H10" s="2352"/>
      <c r="I10" s="2381"/>
      <c r="J10" s="2349"/>
      <c r="K10" s="1586"/>
      <c r="L10" s="1587"/>
      <c r="M10" s="701"/>
      <c r="N10" s="1589"/>
      <c r="P10" s="2350"/>
      <c r="Q10" s="2350"/>
      <c r="R10" s="504"/>
      <c r="S10" s="1495"/>
      <c r="T10" s="425" t="s">
        <v>1483</v>
      </c>
      <c r="U10" s="519"/>
      <c r="V10" s="519"/>
      <c r="W10" s="519"/>
      <c r="X10" s="519"/>
      <c r="Y10" s="519"/>
      <c r="Z10" s="519"/>
      <c r="AA10" s="519"/>
      <c r="AB10" s="519"/>
      <c r="AC10" s="519"/>
      <c r="AD10" s="519"/>
      <c r="AE10" s="519"/>
      <c r="AF10" s="519"/>
      <c r="AG10" s="519"/>
      <c r="AH10" s="519"/>
      <c r="AI10" s="519"/>
      <c r="AJ10" s="519"/>
      <c r="AK10" s="519"/>
      <c r="AL10" s="471"/>
      <c r="AM10" s="2348"/>
      <c r="AO10" s="664"/>
      <c r="AP10" s="664" t="str">
        <f>IF(T10="","",T10)</f>
        <v>Добавить вид теплоносителя (параметры теплоносителя)</v>
      </c>
      <c r="AQ10" s="664"/>
      <c r="AR10" s="664"/>
    </row>
    <row customHeight="1" ht="15" hidden="1">
      <c r="A11" s="1586"/>
      <c r="B11" s="1586"/>
      <c r="C11" s="1586"/>
      <c r="D11" s="1586"/>
      <c r="E11" s="2352"/>
      <c r="F11" s="2352"/>
      <c r="G11" s="2352"/>
      <c r="H11" s="2352"/>
      <c r="I11" s="2380"/>
      <c r="J11" s="1586"/>
      <c r="K11" s="1586"/>
      <c r="L11" s="1587"/>
      <c r="M11" s="701"/>
      <c r="P11" s="2350"/>
      <c r="Q11" s="1527"/>
      <c r="R11" s="504"/>
      <c r="S11" s="1495"/>
      <c r="T11" s="424" t="s">
        <v>1484</v>
      </c>
      <c r="U11" s="519"/>
      <c r="V11" s="519"/>
      <c r="W11" s="519"/>
      <c r="X11" s="519"/>
      <c r="Y11" s="519"/>
      <c r="Z11" s="519"/>
      <c r="AA11" s="519"/>
      <c r="AB11" s="519"/>
      <c r="AC11" s="518"/>
      <c r="AD11" s="519"/>
      <c r="AE11" s="519"/>
      <c r="AF11" s="519"/>
      <c r="AG11" s="519"/>
      <c r="AH11" s="519"/>
      <c r="AI11" s="519"/>
      <c r="AJ11" s="519"/>
      <c r="AK11" s="518"/>
      <c r="AL11" s="519"/>
      <c r="AM11" s="440"/>
      <c r="AO11" s="664"/>
      <c r="AP11" s="664" t="str">
        <f>IF(T11="","",T11)</f>
        <v>Добавить группу потребителей</v>
      </c>
      <c r="AQ11" s="664"/>
      <c r="AR11" s="664"/>
    </row>
    <row customHeight="1" ht="14.25" hidden="1">
      <c r="A12" s="1586"/>
      <c r="B12" s="1586"/>
      <c r="C12" s="1586"/>
      <c r="D12" s="1586"/>
      <c r="E12" s="2352"/>
      <c r="F12" s="2352"/>
      <c r="G12" s="2352"/>
      <c r="H12" s="2351"/>
      <c r="I12" s="1586"/>
      <c r="J12" s="1586"/>
      <c r="K12" s="1586"/>
      <c r="L12" s="1587"/>
      <c r="M12" s="1588"/>
      <c r="N12" s="1588"/>
      <c r="O12" s="701"/>
      <c r="P12" s="508"/>
      <c r="Q12" s="528"/>
      <c r="R12" s="503"/>
      <c r="S12" s="1495"/>
      <c r="T12" s="516" t="s">
        <v>1485</v>
      </c>
      <c r="U12" s="519"/>
      <c r="V12" s="519"/>
      <c r="W12" s="519"/>
      <c r="X12" s="519"/>
      <c r="Y12" s="519"/>
      <c r="Z12" s="519"/>
      <c r="AA12" s="519"/>
      <c r="AB12" s="519"/>
      <c r="AC12" s="518"/>
      <c r="AD12" s="519"/>
      <c r="AE12" s="519"/>
      <c r="AF12" s="519"/>
      <c r="AG12" s="519"/>
      <c r="AH12" s="519"/>
      <c r="AI12" s="519"/>
      <c r="AJ12" s="519"/>
      <c r="AK12" s="518"/>
      <c r="AL12" s="519"/>
      <c r="AM12" s="440"/>
      <c r="AO12" s="664"/>
      <c r="AP12" s="664" t="str">
        <f>IF(T12="","",T12)</f>
        <v>Добавить схему подключения</v>
      </c>
      <c r="AQ12" s="664"/>
      <c r="AR12" s="664"/>
    </row>
    <row s="6520" customFormat="1" customHeight="1" ht="0.75" hidden="1">
      <c r="A13" s="1536"/>
      <c r="B13" s="1536"/>
      <c r="C13" s="1536"/>
      <c r="D13" s="1536"/>
      <c r="E13" s="2352"/>
      <c r="F13" s="2352"/>
      <c r="G13" s="2351"/>
      <c r="H13" s="1536"/>
      <c r="I13" s="1536"/>
      <c r="J13" s="1536"/>
      <c r="K13" s="1536"/>
      <c r="L13" s="1561"/>
      <c r="M13" s="1537"/>
      <c r="N13" s="1537"/>
      <c r="P13" s="1538"/>
      <c r="Q13" s="1539"/>
      <c r="R13" s="1538"/>
      <c r="S13" s="1540"/>
      <c r="T13" s="1541" t="s">
        <v>1444</v>
      </c>
      <c r="U13" s="1542"/>
      <c r="V13" s="1542"/>
      <c r="W13" s="1542"/>
      <c r="X13" s="1542"/>
      <c r="Y13" s="1542"/>
      <c r="Z13" s="1542"/>
      <c r="AA13" s="1542"/>
      <c r="AB13" s="1542"/>
      <c r="AC13" s="1542"/>
      <c r="AD13" s="1542"/>
      <c r="AE13" s="1542"/>
      <c r="AF13" s="1542"/>
      <c r="AG13" s="1542"/>
      <c r="AH13" s="1542"/>
      <c r="AI13" s="1542"/>
      <c r="AJ13" s="1542"/>
      <c r="AK13" s="1542"/>
      <c r="AL13" s="1542"/>
      <c r="AM13" s="1542"/>
      <c r="AO13" s="956"/>
      <c r="AP13" s="956" t="str">
        <f>IF(T13="","",T13)</f>
        <v>Добавить источник для дифференциации</v>
      </c>
      <c r="AQ13" s="956"/>
      <c r="AR13" s="956"/>
    </row>
    <row s="6520" customFormat="1" customHeight="1" ht="0.75" hidden="1">
      <c r="A14" s="1536"/>
      <c r="B14" s="1536"/>
      <c r="C14" s="1536"/>
      <c r="D14" s="1536"/>
      <c r="E14" s="2352"/>
      <c r="F14" s="2351"/>
      <c r="G14" s="1536"/>
      <c r="H14" s="1536"/>
      <c r="I14" s="1536"/>
      <c r="J14" s="1536"/>
      <c r="K14" s="1536"/>
      <c r="L14" s="1561"/>
      <c r="M14" s="1543"/>
      <c r="N14" s="1543"/>
      <c r="P14" s="1538"/>
      <c r="Q14" s="1539"/>
      <c r="R14" s="1538"/>
      <c r="S14" s="1544"/>
      <c r="T14" s="1545" t="s">
        <v>1445</v>
      </c>
      <c r="U14" s="1546"/>
      <c r="V14" s="1546"/>
      <c r="W14" s="1546"/>
      <c r="X14" s="1546"/>
      <c r="Y14" s="1546"/>
      <c r="Z14" s="1546"/>
      <c r="AA14" s="1546"/>
      <c r="AB14" s="1546"/>
      <c r="AC14" s="1546"/>
      <c r="AD14" s="1546"/>
      <c r="AE14" s="1546"/>
      <c r="AF14" s="1546"/>
      <c r="AG14" s="1546"/>
      <c r="AH14" s="1546"/>
      <c r="AI14" s="1546"/>
      <c r="AJ14" s="1546"/>
      <c r="AK14" s="1546"/>
      <c r="AL14" s="1546"/>
      <c r="AM14" s="1546"/>
      <c r="AO14" s="956"/>
      <c r="AP14" s="956" t="str">
        <f>IF(T14="","",T14)</f>
        <v>Добавить централизованную систему для дифференциации</v>
      </c>
      <c r="AQ14" s="956"/>
      <c r="AR14" s="956"/>
    </row>
    <row s="6520" customFormat="1" customHeight="1" ht="0.75" hidden="1">
      <c r="A15" s="1536"/>
      <c r="B15" s="1536"/>
      <c r="C15" s="1536"/>
      <c r="D15" s="1536"/>
      <c r="E15" s="2351"/>
      <c r="F15" s="1536"/>
      <c r="G15" s="1536"/>
      <c r="H15" s="1536"/>
      <c r="I15" s="1536"/>
      <c r="J15" s="1536"/>
      <c r="K15" s="1536"/>
      <c r="L15" s="1561"/>
      <c r="M15" s="1543"/>
      <c r="N15" s="1543"/>
      <c r="P15" s="1538"/>
      <c r="Q15" s="1539"/>
      <c r="R15" s="1538"/>
      <c r="S15" s="1544"/>
      <c r="T15" s="1547" t="s">
        <v>1446</v>
      </c>
      <c r="U15" s="1546"/>
      <c r="V15" s="1546"/>
      <c r="W15" s="1546"/>
      <c r="X15" s="1546"/>
      <c r="Y15" s="1546"/>
      <c r="Z15" s="1546"/>
      <c r="AA15" s="1546"/>
      <c r="AB15" s="1546"/>
      <c r="AC15" s="1546"/>
      <c r="AD15" s="1546"/>
      <c r="AE15" s="1546"/>
      <c r="AF15" s="1546"/>
      <c r="AG15" s="1546"/>
      <c r="AH15" s="1546"/>
      <c r="AI15" s="1546"/>
      <c r="AJ15" s="1546"/>
      <c r="AK15" s="1546"/>
      <c r="AL15" s="1546"/>
      <c r="AM15" s="1546"/>
      <c r="AO15" s="956"/>
      <c r="AP15" s="956" t="str">
        <f>IF(T15="","",T15)</f>
        <v>Добавить территорию для дифференциации</v>
      </c>
      <c r="AQ15" s="956"/>
      <c r="AR15" s="956"/>
    </row>
    <row customHeight="1" ht="14.25" hidden="1">
      <c r="AC16" s="475"/>
      <c r="AK16" s="475"/>
    </row>
    <row customHeight="1" ht="14.25" hidden="1">
      <c r="P17" s="1533"/>
      <c r="AD17" s="4025"/>
      <c r="AE17" s="4025"/>
      <c r="AF17" s="4025"/>
      <c r="AG17" s="4026"/>
      <c r="AH17" s="2359"/>
      <c r="AI17" s="2360" t="s">
        <v>66</v>
      </c>
      <c r="AJ17" s="2359"/>
      <c r="AK17" s="2360" t="s">
        <v>66</v>
      </c>
    </row>
    <row customHeight="1" ht="14.25" hidden="1">
      <c r="P18" s="1533"/>
      <c r="AD18" s="4025"/>
      <c r="AE18" s="4025"/>
      <c r="AF18" s="4025"/>
      <c r="AG18" s="3998" t="str">
        <f>AH17&amp;"-"&amp;AJ17</f>
        <v>-</v>
      </c>
      <c r="AH18" s="2360"/>
      <c r="AI18" s="2360"/>
      <c r="AJ18" s="2360"/>
      <c r="AK18" s="2360"/>
    </row>
    <row customHeight="1" ht="14.25" hidden="1">
      <c r="P19" s="1533"/>
      <c r="AK19" s="475"/>
    </row>
    <row s="6539" customFormat="1" customHeight="1" ht="22.5" hidden="1">
      <c r="L20" s="1551"/>
      <c r="M20" s="1585"/>
      <c r="N20" s="1585"/>
      <c r="O20" s="1590" t="s">
        <v>1486</v>
      </c>
      <c r="P20" s="1585"/>
      <c r="Q20" s="1594"/>
      <c r="R20" s="1594"/>
      <c r="S20" s="894"/>
      <c r="Z20" s="1590"/>
      <c r="AB20" s="1590"/>
      <c r="AC20" s="1589"/>
      <c r="AH20" s="1590"/>
      <c r="AJ20" s="1590"/>
      <c r="AK20" s="1589"/>
      <c r="AN20" s="675"/>
      <c r="AO20" s="675"/>
      <c r="AP20" s="675"/>
      <c r="AQ20" s="675"/>
      <c r="AR20" s="675"/>
    </row>
    <row s="6539" customFormat="1" customHeight="1" ht="14.25" hidden="1">
      <c r="L21" s="1551"/>
      <c r="M21" s="1585"/>
      <c r="N21" s="1585"/>
      <c r="O21" s="1585"/>
      <c r="P21" s="1585"/>
      <c r="Q21" s="1594"/>
      <c r="R21" s="1594"/>
      <c r="S21" s="894"/>
      <c r="AC21" s="1589"/>
      <c r="AK21" s="1589"/>
      <c r="AN21" s="675"/>
      <c r="AO21" s="675"/>
      <c r="AP21" s="675"/>
      <c r="AQ21" s="675"/>
      <c r="AR21" s="675"/>
    </row>
    <row s="6539" customFormat="1" customHeight="1" ht="14.25" hidden="1">
      <c r="L22" s="1551"/>
      <c r="M22" s="1585"/>
      <c r="N22" s="1585"/>
      <c r="O22" s="1587" t="s">
        <v>1487</v>
      </c>
      <c r="P22" s="1585"/>
      <c r="Q22" s="1594"/>
      <c r="R22" s="1594"/>
      <c r="S22" s="894"/>
      <c r="T22" s="1348" t="s">
        <v>1488</v>
      </c>
      <c r="AA22" s="320" t="s">
        <v>1489</v>
      </c>
      <c r="AC22" s="320" t="s">
        <v>1490</v>
      </c>
      <c r="AD22" s="1348" t="s">
        <v>1488</v>
      </c>
      <c r="AI22" s="320" t="s">
        <v>1491</v>
      </c>
      <c r="AK22" s="320" t="s">
        <v>1490</v>
      </c>
      <c r="AN22" s="675"/>
      <c r="AO22" s="675"/>
      <c r="AP22" s="675"/>
      <c r="AQ22" s="675"/>
      <c r="AR22" s="675"/>
    </row>
    <row customHeight="1" ht="14.25" hidden="1">
      <c r="O23" s="1587"/>
      <c r="P23" s="1533"/>
    </row>
    <row customHeight="1" ht="14.25" hidden="1">
      <c r="O24" s="1587"/>
      <c r="P24" s="1533"/>
    </row>
    <row customHeight="1" ht="14.25">
      <c r="Q25" s="529"/>
      <c r="R25" s="529"/>
      <c r="S25" s="1492"/>
      <c r="T25" s="513"/>
      <c r="U25" s="513"/>
      <c r="V25" s="673"/>
      <c r="W25" s="673"/>
      <c r="X25" s="673"/>
      <c r="Y25" s="673"/>
      <c r="Z25" s="673"/>
      <c r="AA25" s="673"/>
      <c r="AB25" s="673"/>
      <c r="AC25" s="673"/>
      <c r="AD25" s="673"/>
      <c r="AE25" s="673"/>
      <c r="AF25" s="673"/>
      <c r="AG25" s="673"/>
      <c r="AH25" s="673"/>
      <c r="AI25" s="673"/>
      <c r="AJ25" s="673"/>
      <c r="AK25" s="673"/>
    </row>
    <row customHeight="1" ht="64.5">
      <c r="Q26" s="529"/>
      <c r="R26" s="529"/>
      <c r="S26" s="2341"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41"/>
      <c r="U26" s="2341"/>
      <c r="V26" s="2341"/>
      <c r="W26" s="2341"/>
      <c r="X26" s="2341"/>
      <c r="Y26" s="2341"/>
      <c r="Z26" s="2341"/>
      <c r="AA26" s="2341"/>
      <c r="AB26" s="2341"/>
      <c r="AC26" s="2341"/>
      <c r="AD26" s="2341"/>
      <c r="AE26" s="2341"/>
      <c r="AF26" s="2341"/>
      <c r="AG26" s="2341"/>
      <c r="AH26" s="2341"/>
      <c r="AI26" s="2341"/>
      <c r="AJ26" s="2341"/>
      <c r="AK26" s="1448"/>
    </row>
    <row customHeight="1" ht="14.25">
      <c r="Q27" s="529"/>
      <c r="R27" s="529"/>
      <c r="S27"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42"/>
      <c r="U27" s="2342"/>
      <c r="V27" s="2342"/>
      <c r="W27" s="2342"/>
      <c r="X27" s="2342"/>
      <c r="Y27" s="2342"/>
      <c r="Z27" s="2342"/>
      <c r="AA27" s="2342"/>
      <c r="AB27" s="2342"/>
      <c r="AC27" s="2342"/>
      <c r="AD27" s="2342"/>
      <c r="AE27" s="2342"/>
      <c r="AF27" s="2342"/>
      <c r="AG27" s="2342"/>
      <c r="AH27" s="2342"/>
      <c r="AI27" s="2342"/>
      <c r="AJ27" s="2342"/>
      <c r="AK27" s="1448"/>
    </row>
    <row customHeight="1" ht="14.25" hidden="1">
      <c r="Q28" s="529"/>
      <c r="R28" s="529"/>
      <c r="S28" s="1492"/>
      <c r="T28" s="513"/>
      <c r="U28" s="513"/>
      <c r="V28" s="468"/>
      <c r="W28" s="468"/>
      <c r="X28" s="468"/>
      <c r="Y28" s="468"/>
      <c r="Z28" s="468"/>
      <c r="AA28" s="468"/>
      <c r="AB28" s="468"/>
      <c r="AC28" s="468"/>
      <c r="AD28" s="468"/>
      <c r="AE28" s="468"/>
      <c r="AF28" s="468"/>
      <c r="AG28" s="468"/>
      <c r="AH28" s="468"/>
      <c r="AI28" s="468"/>
      <c r="AJ28" s="468"/>
      <c r="AK28" s="468"/>
      <c r="AL28" s="673"/>
    </row>
    <row s="6550" customFormat="1" customHeight="1" ht="25.5" hidden="1">
      <c r="A29" s="1591"/>
      <c r="B29" s="1591"/>
      <c r="C29" s="1591"/>
      <c r="D29" s="1591"/>
      <c r="E29" s="1591"/>
      <c r="F29" s="1591"/>
      <c r="G29" s="1591"/>
      <c r="H29" s="1591"/>
      <c r="I29" s="1591"/>
      <c r="J29" s="1591"/>
      <c r="K29" s="1591"/>
      <c r="L29" s="1592"/>
      <c r="M29" s="1591"/>
      <c r="N29" s="1591"/>
      <c r="O29" s="1591"/>
      <c r="S29" s="2343" t="s">
        <v>39</v>
      </c>
      <c r="T29" s="2343"/>
      <c r="U29" s="1595"/>
      <c r="V29" s="2344" t="str">
        <f>IF(TITLE_NAME_OR_PR_CHANGE="",IF(TITLE_NAME_OR_PR="","",TITLE_NAME_OR_PR),TITLE_NAME_OR_PR_CHANGE)</f>
        <v/>
      </c>
      <c r="W29" s="2344"/>
      <c r="X29" s="2344"/>
      <c r="Y29" s="2344"/>
      <c r="Z29" s="2344"/>
      <c r="AA29" s="2344"/>
      <c r="AB29" s="2344"/>
      <c r="AC29" s="474"/>
      <c r="AD29" s="2344" t="str">
        <f>IF(TITLE_NAME_OR_PR_CHANGE="",IF(TITLE_NAME_OR_PR="","",TITLE_NAME_OR_PR),TITLE_NAME_OR_PR_CHANGE)</f>
        <v/>
      </c>
      <c r="AE29" s="2344"/>
      <c r="AF29" s="2344"/>
      <c r="AG29" s="2344"/>
      <c r="AH29" s="2344"/>
      <c r="AI29" s="2344"/>
      <c r="AJ29" s="2344"/>
      <c r="AK29" s="474"/>
      <c r="AL29" s="474"/>
      <c r="AM29" s="417"/>
      <c r="AN29" s="520"/>
      <c r="AO29" s="520"/>
      <c r="AP29" s="520"/>
      <c r="AQ29" s="520"/>
      <c r="AR29" s="520"/>
    </row>
    <row s="6550" customFormat="1" customHeight="1" ht="18.75" hidden="1">
      <c r="A30" s="1591"/>
      <c r="B30" s="1591"/>
      <c r="C30" s="1591"/>
      <c r="D30" s="1591"/>
      <c r="E30" s="1591"/>
      <c r="F30" s="1591"/>
      <c r="G30" s="1591"/>
      <c r="H30" s="1591"/>
      <c r="I30" s="1591"/>
      <c r="J30" s="1591"/>
      <c r="K30" s="1591"/>
      <c r="L30" s="1592"/>
      <c r="M30" s="1591"/>
      <c r="N30" s="1591"/>
      <c r="O30" s="1591"/>
      <c r="S30" s="2343" t="s">
        <v>1492</v>
      </c>
      <c r="T30" s="2343"/>
      <c r="U30" s="1595"/>
      <c r="V30" s="2344" t="str">
        <f>IF(TITLE_DATE_CHANGE_PERIOD="",IF(TITLE_DATE_PR="","",TITLE_DATE_PR),TITLE_DATE_CHANGE_PERIOD)</f>
        <v/>
      </c>
      <c r="W30" s="2344"/>
      <c r="X30" s="2344"/>
      <c r="Y30" s="2344"/>
      <c r="Z30" s="2344"/>
      <c r="AA30" s="2344"/>
      <c r="AB30" s="2344"/>
      <c r="AC30" s="474"/>
      <c r="AD30" s="2344" t="str">
        <f>IF(TITLE_DATE_CHANGE_PERIOD="",IF(TITLE_DATE_PR="","",TITLE_DATE_PR),TITLE_DATE_CHANGE_PERIOD)</f>
        <v/>
      </c>
      <c r="AE30" s="2344"/>
      <c r="AF30" s="2344"/>
      <c r="AG30" s="2344"/>
      <c r="AH30" s="2344"/>
      <c r="AI30" s="2344"/>
      <c r="AJ30" s="2344"/>
      <c r="AK30" s="474"/>
      <c r="AL30" s="474"/>
      <c r="AM30" s="417"/>
      <c r="AN30" s="520"/>
      <c r="AO30" s="520"/>
      <c r="AP30" s="520"/>
      <c r="AQ30" s="520"/>
      <c r="AR30" s="520"/>
    </row>
    <row s="6550" customFormat="1" customHeight="1" ht="18.75" hidden="1">
      <c r="A31" s="1591"/>
      <c r="B31" s="1591"/>
      <c r="C31" s="1591"/>
      <c r="D31" s="1591"/>
      <c r="E31" s="1591"/>
      <c r="F31" s="1591"/>
      <c r="G31" s="1591"/>
      <c r="H31" s="1591"/>
      <c r="I31" s="1591"/>
      <c r="J31" s="1591"/>
      <c r="K31" s="1591"/>
      <c r="L31" s="1592"/>
      <c r="M31" s="1591"/>
      <c r="N31" s="1591"/>
      <c r="O31" s="1591"/>
      <c r="S31" s="2343" t="s">
        <v>1493</v>
      </c>
      <c r="T31" s="2343"/>
      <c r="U31" s="1595"/>
      <c r="V31" s="2344" t="str">
        <f>IF(TITLE_NUMBER_PR_CHANGE="",IF(TITLE_NUMBER_PR="","",TITLE_NUMBER_PR),TITLE_NUMBER_PR_CHANGE)</f>
        <v/>
      </c>
      <c r="W31" s="2344"/>
      <c r="X31" s="2344"/>
      <c r="Y31" s="2344"/>
      <c r="Z31" s="2344"/>
      <c r="AA31" s="2344"/>
      <c r="AB31" s="2344"/>
      <c r="AC31" s="474"/>
      <c r="AD31" s="2344" t="str">
        <f>IF(TITLE_NUMBER_PR_CHANGE="",IF(TITLE_NUMBER_PR="","",TITLE_NUMBER_PR),TITLE_NUMBER_PR_CHANGE)</f>
        <v/>
      </c>
      <c r="AE31" s="2344"/>
      <c r="AF31" s="2344"/>
      <c r="AG31" s="2344"/>
      <c r="AH31" s="2344"/>
      <c r="AI31" s="2344"/>
      <c r="AJ31" s="2344"/>
      <c r="AK31" s="474"/>
      <c r="AL31" s="474"/>
      <c r="AM31" s="417"/>
      <c r="AN31" s="520"/>
      <c r="AO31" s="520"/>
      <c r="AP31" s="520"/>
      <c r="AQ31" s="520"/>
      <c r="AR31" s="520"/>
    </row>
    <row s="6550" customFormat="1" customHeight="1" ht="18.75" hidden="1">
      <c r="A32" s="1591"/>
      <c r="B32" s="1591"/>
      <c r="C32" s="1591"/>
      <c r="D32" s="1591"/>
      <c r="E32" s="1591"/>
      <c r="F32" s="1591"/>
      <c r="G32" s="1591"/>
      <c r="H32" s="1591"/>
      <c r="I32" s="1591"/>
      <c r="J32" s="1591"/>
      <c r="K32" s="1591"/>
      <c r="L32" s="1592"/>
      <c r="M32" s="1591"/>
      <c r="N32" s="1591"/>
      <c r="O32" s="1591"/>
      <c r="S32" s="2343" t="s">
        <v>40</v>
      </c>
      <c r="T32" s="2343"/>
      <c r="U32" s="1595"/>
      <c r="V32" s="2344" t="str">
        <f>IF(TITLE_IST_PUB_CHANGE="",IF(TITLE_IST_PUB="","",TITLE_IST_PUB),TITLE_IST_PUB_CHANGE)</f>
        <v/>
      </c>
      <c r="W32" s="2344"/>
      <c r="X32" s="2344"/>
      <c r="Y32" s="2344"/>
      <c r="Z32" s="2344"/>
      <c r="AA32" s="2344"/>
      <c r="AB32" s="2344"/>
      <c r="AC32" s="474"/>
      <c r="AD32" s="2344" t="str">
        <f>IF(TITLE_IST_PUB_CHANGE="",IF(TITLE_IST_PUB="","",TITLE_IST_PUB),TITLE_IST_PUB_CHANGE)</f>
        <v/>
      </c>
      <c r="AE32" s="2344"/>
      <c r="AF32" s="2344"/>
      <c r="AG32" s="2344"/>
      <c r="AH32" s="2344"/>
      <c r="AI32" s="2344"/>
      <c r="AJ32" s="2344"/>
      <c r="AK32" s="474"/>
      <c r="AL32" s="474"/>
      <c r="AM32" s="417"/>
      <c r="AN32" s="520"/>
      <c r="AO32" s="520"/>
      <c r="AP32" s="520"/>
      <c r="AQ32" s="520"/>
      <c r="AR32" s="520"/>
    </row>
    <row customHeight="1" ht="14.25" hidden="1">
      <c r="P33" s="1550"/>
      <c r="Q33" s="529"/>
      <c r="R33" s="529"/>
      <c r="S33" s="1492"/>
      <c r="T33" s="513"/>
      <c r="U33" s="513"/>
      <c r="V33" s="468"/>
      <c r="W33" s="468"/>
      <c r="X33" s="468"/>
      <c r="Y33" s="468"/>
      <c r="Z33" s="468"/>
      <c r="AA33" s="468"/>
      <c r="AB33" s="468"/>
      <c r="AC33" s="468"/>
      <c r="AD33" s="468"/>
      <c r="AE33" s="468"/>
      <c r="AF33" s="468"/>
      <c r="AG33" s="468"/>
      <c r="AH33" s="468"/>
      <c r="AI33" s="468"/>
      <c r="AJ33" s="468"/>
      <c r="AK33" s="468"/>
      <c r="AL33" s="673"/>
    </row>
    <row s="6550" customFormat="1" customHeight="1" ht="18.75" hidden="1">
      <c r="A34" s="1591"/>
      <c r="B34" s="1591"/>
      <c r="C34" s="1591"/>
      <c r="D34" s="1591"/>
      <c r="E34" s="1591"/>
      <c r="F34" s="1591"/>
      <c r="G34" s="1591"/>
      <c r="H34" s="1591"/>
      <c r="I34" s="1591"/>
      <c r="J34" s="1591"/>
      <c r="K34" s="1591"/>
      <c r="L34" s="1592"/>
      <c r="M34" s="1591"/>
      <c r="N34" s="1591"/>
      <c r="O34" s="1591"/>
      <c r="S34" s="2343" t="s">
        <v>1494</v>
      </c>
      <c r="T34" s="2343"/>
      <c r="U34" s="1595"/>
      <c r="V34" s="2344" t="str">
        <f>IF(TITLE_DATE_CHANGE_PERIOD="",IF(TITLE_DATE_PR="","",TITLE_DATE_PR),TITLE_DATE_CHANGE_PERIOD)</f>
        <v/>
      </c>
      <c r="W34" s="2344"/>
      <c r="X34" s="2344"/>
      <c r="Y34" s="2344"/>
      <c r="Z34" s="2344"/>
      <c r="AA34" s="2344"/>
      <c r="AB34" s="2344"/>
      <c r="AC34" s="474"/>
      <c r="AD34" s="2344" t="str">
        <f>IF(TITLE_DATE_CHANGE_PERIOD="",IF(TITLE_DATE_PR="","",TITLE_DATE_PR),TITLE_DATE_CHANGE_PERIOD)</f>
        <v/>
      </c>
      <c r="AE34" s="2344"/>
      <c r="AF34" s="2344"/>
      <c r="AG34" s="2344"/>
      <c r="AH34" s="2344"/>
      <c r="AI34" s="2344"/>
      <c r="AJ34" s="2344"/>
      <c r="AK34" s="474"/>
      <c r="AL34" s="474"/>
      <c r="AM34" s="417"/>
      <c r="AN34" s="520"/>
      <c r="AO34" s="520"/>
      <c r="AP34" s="520"/>
      <c r="AQ34" s="520"/>
      <c r="AR34" s="520"/>
    </row>
    <row s="6550" customFormat="1" customHeight="1" ht="18.75" hidden="1">
      <c r="A35" s="1591"/>
      <c r="B35" s="1591"/>
      <c r="C35" s="1591"/>
      <c r="D35" s="1591"/>
      <c r="E35" s="1591"/>
      <c r="F35" s="1591"/>
      <c r="G35" s="1591"/>
      <c r="H35" s="1591"/>
      <c r="I35" s="1591"/>
      <c r="J35" s="1591"/>
      <c r="K35" s="1591"/>
      <c r="L35" s="1592"/>
      <c r="M35" s="1591"/>
      <c r="N35" s="1591"/>
      <c r="O35" s="1591"/>
      <c r="S35" s="2343" t="s">
        <v>1495</v>
      </c>
      <c r="T35" s="2343"/>
      <c r="U35" s="1595"/>
      <c r="V35" s="2344" t="str">
        <f>IF(TITLE_NUMBER_PR_CHANGE="",IF(TITLE_NUMBER_PR="","",TITLE_NUMBER_PR),TITLE_NUMBER_PR_CHANGE)</f>
        <v/>
      </c>
      <c r="W35" s="2344"/>
      <c r="X35" s="2344"/>
      <c r="Y35" s="2344"/>
      <c r="Z35" s="2344"/>
      <c r="AA35" s="2344"/>
      <c r="AB35" s="2344"/>
      <c r="AC35" s="474"/>
      <c r="AD35" s="2344" t="str">
        <f>IF(TITLE_NUMBER_PR_CHANGE="",IF(TITLE_NUMBER_PR="","",TITLE_NUMBER_PR),TITLE_NUMBER_PR_CHANGE)</f>
        <v/>
      </c>
      <c r="AE35" s="2344"/>
      <c r="AF35" s="2344"/>
      <c r="AG35" s="2344"/>
      <c r="AH35" s="2344"/>
      <c r="AI35" s="2344"/>
      <c r="AJ35" s="2344"/>
      <c r="AK35" s="474"/>
      <c r="AL35" s="474"/>
      <c r="AM35" s="417"/>
      <c r="AN35" s="520"/>
      <c r="AO35" s="520"/>
      <c r="AP35" s="520"/>
      <c r="AQ35" s="520"/>
      <c r="AR35" s="520"/>
    </row>
    <row s="6550" customFormat="1" customHeight="1" ht="0">
      <c r="A36" s="1591"/>
      <c r="B36" s="1591"/>
      <c r="C36" s="1591"/>
      <c r="D36" s="1591"/>
      <c r="E36" s="1591"/>
      <c r="F36" s="1591"/>
      <c r="G36" s="1591"/>
      <c r="H36" s="1591"/>
      <c r="I36" s="1591"/>
      <c r="J36" s="1591"/>
      <c r="K36" s="1591"/>
      <c r="L36" s="1592"/>
      <c r="M36" s="1591"/>
      <c r="N36" s="1591"/>
      <c r="O36" s="1591"/>
      <c r="S36" s="470"/>
      <c r="T36" s="470"/>
      <c r="U36" s="1420"/>
      <c r="V36" s="474"/>
      <c r="W36" s="474"/>
      <c r="X36" s="474"/>
      <c r="Y36" s="474"/>
      <c r="Z36" s="474"/>
      <c r="AA36" s="474"/>
      <c r="AB36" s="474"/>
      <c r="AC36" s="415" t="s">
        <v>1496</v>
      </c>
      <c r="AD36" s="474"/>
      <c r="AE36" s="474"/>
      <c r="AF36" s="474"/>
      <c r="AG36" s="474"/>
      <c r="AH36" s="474"/>
      <c r="AI36" s="474"/>
      <c r="AJ36" s="474"/>
      <c r="AK36" s="415" t="s">
        <v>1496</v>
      </c>
      <c r="AN36" s="520"/>
      <c r="AO36" s="520"/>
      <c r="AP36" s="520"/>
      <c r="AQ36" s="520"/>
      <c r="AR36" s="520"/>
    </row>
    <row customHeight="1" ht="14.25">
      <c r="Q37" s="529"/>
      <c r="R37" s="529"/>
      <c r="S37" s="1492"/>
      <c r="T37" s="513"/>
      <c r="U37" s="1449"/>
      <c r="V37" s="2345"/>
      <c r="W37" s="2345"/>
      <c r="X37" s="2345"/>
      <c r="Y37" s="2345"/>
      <c r="Z37" s="2345"/>
      <c r="AA37" s="2345"/>
      <c r="AB37" s="2345"/>
      <c r="AC37" s="2345"/>
      <c r="AD37" s="2345"/>
      <c r="AE37" s="2345"/>
      <c r="AF37" s="2345"/>
      <c r="AG37" s="2345"/>
      <c r="AH37" s="2345"/>
      <c r="AI37" s="2345"/>
      <c r="AJ37" s="2345"/>
      <c r="AK37" s="2345"/>
    </row>
    <row customHeight="1" ht="14.25">
      <c r="Q38" s="529"/>
      <c r="R38" s="529"/>
      <c r="S38" s="2204" t="s">
        <v>300</v>
      </c>
      <c r="T38" s="2204"/>
      <c r="U38" s="2204"/>
      <c r="V38" s="2204"/>
      <c r="W38" s="2204"/>
      <c r="X38" s="2204"/>
      <c r="Y38" s="2204"/>
      <c r="Z38" s="2204"/>
      <c r="AA38" s="2204"/>
      <c r="AB38" s="2204"/>
      <c r="AC38" s="2204"/>
      <c r="AD38" s="2204"/>
      <c r="AE38" s="2204"/>
      <c r="AF38" s="2204"/>
      <c r="AG38" s="2204"/>
      <c r="AH38" s="2204"/>
      <c r="AI38" s="2204"/>
      <c r="AJ38" s="2204"/>
      <c r="AK38" s="2204"/>
      <c r="AL38" s="2204"/>
      <c r="AM38" s="2204" t="s">
        <v>301</v>
      </c>
    </row>
    <row customHeight="1" ht="14.25">
      <c r="Q39" s="529"/>
      <c r="R39" s="529"/>
      <c r="S39" s="2367" t="s">
        <v>87</v>
      </c>
      <c r="T39" s="2228" t="s">
        <v>1497</v>
      </c>
      <c r="U39" s="438"/>
      <c r="V39" s="2368" t="s">
        <v>1498</v>
      </c>
      <c r="W39" s="2369"/>
      <c r="X39" s="2369"/>
      <c r="Y39" s="2369"/>
      <c r="Z39" s="2369"/>
      <c r="AA39" s="2369"/>
      <c r="AB39" s="2370"/>
      <c r="AC39" s="2371" t="s">
        <v>1499</v>
      </c>
      <c r="AD39" s="2368" t="s">
        <v>1498</v>
      </c>
      <c r="AE39" s="2369"/>
      <c r="AF39" s="2369"/>
      <c r="AG39" s="2369"/>
      <c r="AH39" s="2369"/>
      <c r="AI39" s="2369"/>
      <c r="AJ39" s="2370"/>
      <c r="AK39" s="2371" t="s">
        <v>1500</v>
      </c>
      <c r="AL39" s="2374" t="s">
        <v>1501</v>
      </c>
      <c r="AM39" s="2204"/>
    </row>
    <row customHeight="1" ht="33.75">
      <c r="Q40" s="529"/>
      <c r="R40" s="529"/>
      <c r="S40" s="2367"/>
      <c r="T40" s="2228"/>
      <c r="U40" s="1216"/>
      <c r="V40" s="2353" t="s">
        <v>1502</v>
      </c>
      <c r="W40" s="2377" t="s">
        <v>1503</v>
      </c>
      <c r="X40" s="2355" t="s">
        <v>1504</v>
      </c>
      <c r="Y40" s="2356"/>
      <c r="Z40" s="2361" t="s">
        <v>1505</v>
      </c>
      <c r="AA40" s="2362"/>
      <c r="AB40" s="2363"/>
      <c r="AC40" s="2372"/>
      <c r="AD40" s="2353" t="s">
        <v>1502</v>
      </c>
      <c r="AE40" s="2377" t="s">
        <v>1503</v>
      </c>
      <c r="AF40" s="2355" t="s">
        <v>1504</v>
      </c>
      <c r="AG40" s="2356"/>
      <c r="AH40" s="2361" t="s">
        <v>1505</v>
      </c>
      <c r="AI40" s="2362"/>
      <c r="AJ40" s="2363"/>
      <c r="AK40" s="2372"/>
      <c r="AL40" s="2375"/>
      <c r="AM40" s="2204"/>
    </row>
    <row customHeight="1" ht="33.75">
      <c r="A41" s="1593"/>
      <c r="B41" s="1593" t="s">
        <v>144</v>
      </c>
      <c r="C41" s="1593" t="s">
        <v>145</v>
      </c>
      <c r="D41" s="1593" t="s">
        <v>146</v>
      </c>
      <c r="E41" s="1587" t="s">
        <v>1506</v>
      </c>
      <c r="F41" s="1587" t="s">
        <v>1507</v>
      </c>
      <c r="G41" s="1587" t="s">
        <v>1508</v>
      </c>
      <c r="H41" s="1587" t="s">
        <v>1509</v>
      </c>
      <c r="I41" s="1587" t="s">
        <v>1510</v>
      </c>
      <c r="J41" s="1587" t="s">
        <v>1511</v>
      </c>
      <c r="K41" s="1587" t="s">
        <v>1512</v>
      </c>
      <c r="L41" s="1587" t="s">
        <v>1487</v>
      </c>
      <c r="Q41" s="529"/>
      <c r="R41" s="529"/>
      <c r="S41" s="2367"/>
      <c r="T41" s="2228"/>
      <c r="U41" s="439"/>
      <c r="V41" s="2354"/>
      <c r="W41" s="2378"/>
      <c r="X41" s="1424" t="s">
        <v>1513</v>
      </c>
      <c r="Y41" s="1424" t="s">
        <v>1514</v>
      </c>
      <c r="Z41" s="1423" t="s">
        <v>1515</v>
      </c>
      <c r="AA41" s="2364" t="s">
        <v>1516</v>
      </c>
      <c r="AB41" s="2365"/>
      <c r="AC41" s="2373"/>
      <c r="AD41" s="2354"/>
      <c r="AE41" s="2378"/>
      <c r="AF41" s="1424" t="s">
        <v>1513</v>
      </c>
      <c r="AG41" s="1424" t="s">
        <v>1514</v>
      </c>
      <c r="AH41" s="1535" t="s">
        <v>1515</v>
      </c>
      <c r="AI41" s="2364" t="s">
        <v>1516</v>
      </c>
      <c r="AJ41" s="2365"/>
      <c r="AK41" s="2373"/>
      <c r="AL41" s="2376"/>
      <c r="AM41" s="2204"/>
    </row>
    <row s="5794" customFormat="1" customHeight="1" ht="11.25" hidden="1">
      <c r="A42" s="1593"/>
      <c r="B42" s="1593"/>
      <c r="C42" s="1593"/>
      <c r="D42" s="1593"/>
      <c r="E42" s="1593"/>
      <c r="F42" s="1593"/>
      <c r="G42" s="1593"/>
      <c r="H42" s="1593"/>
      <c r="I42" s="1593"/>
      <c r="J42" s="1593"/>
      <c r="K42" s="1593"/>
      <c r="L42" s="1587"/>
      <c r="M42" s="1585"/>
      <c r="N42" s="1585"/>
      <c r="O42" s="1585"/>
      <c r="P42" s="1451"/>
      <c r="Q42" s="1452"/>
      <c r="R42" s="1467">
        <v>1</v>
      </c>
      <c r="S42" s="1494" t="s">
        <v>118</v>
      </c>
      <c r="T42" s="1468" t="s">
        <v>102</v>
      </c>
      <c r="U42" s="1450" t="str">
        <f>OFFSET(U42,0,-1)</f>
        <v>2</v>
      </c>
      <c r="V42" s="1469">
        <f>OFFSET(V42,0,-1)+1</f>
        <v>3</v>
      </c>
      <c r="W42" s="1469"/>
      <c r="X42" s="1469">
        <f>OFFSET(X42,0,-1)+1</f>
        <v>1</v>
      </c>
      <c r="Y42" s="1469">
        <f>OFFSET(Y42,0,-1)+1</f>
        <v>2</v>
      </c>
      <c r="Z42" s="1469">
        <f>OFFSET(Z42,0,-1)+1</f>
        <v>3</v>
      </c>
      <c r="AA42" s="2366">
        <f>OFFSET(AA42,0,-1)+1</f>
        <v>4</v>
      </c>
      <c r="AB42" s="2366"/>
      <c r="AC42" s="1469">
        <f>OFFSET(AC42,0,-2)+1</f>
        <v>5</v>
      </c>
      <c r="AD42" s="1534">
        <f>OFFSET(AD42,0,-1)+1</f>
        <v>6</v>
      </c>
      <c r="AE42" s="1534"/>
      <c r="AF42" s="1534">
        <f>OFFSET(AF42,0,-1)+1</f>
        <v>1</v>
      </c>
      <c r="AG42" s="1534">
        <f>OFFSET(AG42,0,-1)+1</f>
        <v>2</v>
      </c>
      <c r="AH42" s="1534">
        <f>OFFSET(AH42,0,-1)+1</f>
        <v>3</v>
      </c>
      <c r="AI42" s="2366">
        <f>OFFSET(AI42,0,-1)+1</f>
        <v>4</v>
      </c>
      <c r="AJ42" s="2366"/>
      <c r="AK42" s="1534">
        <f>OFFSET(AK42,0,-2)+1</f>
        <v>5</v>
      </c>
      <c r="AL42" s="1450">
        <f>OFFSET(AL42,0,-1)</f>
        <v>5</v>
      </c>
      <c r="AM42" s="1469">
        <f>OFFSET(AM42,0,-1)+1</f>
        <v>6</v>
      </c>
      <c r="AN42" s="675"/>
      <c r="AO42" s="675"/>
      <c r="AP42" s="675"/>
      <c r="AQ42" s="675"/>
      <c r="AR42" s="675"/>
    </row>
    <row customHeight="1" ht="23.25">
      <c r="A43" s="1586" t="s">
        <v>165</v>
      </c>
      <c r="B43" s="1586"/>
      <c r="C43" s="1586"/>
      <c r="D43" s="1586"/>
      <c r="E43" s="2351">
        <v>1</v>
      </c>
      <c r="F43" s="1586"/>
      <c r="G43" s="1586"/>
      <c r="H43" s="1586"/>
      <c r="I43" s="1586"/>
      <c r="J43" s="1586"/>
      <c r="K43" s="1586"/>
      <c r="L43" s="1587"/>
      <c r="M43" s="1588"/>
      <c r="N43" s="1588"/>
      <c r="O43" s="1588"/>
      <c r="P43" s="509"/>
      <c r="Q43" s="508"/>
      <c r="R43" s="503"/>
      <c r="S43" s="1428">
        <f>INDEX(PT_DIFFERENTIATION_NUM_NTAR,MATCH(A43,PT_DIFFERENTIATION_NTAR_ID,0))</f>
        <v>0</v>
      </c>
      <c r="T43" s="435" t="s">
        <v>132</v>
      </c>
      <c r="U43" s="437"/>
      <c r="V43" s="3964"/>
      <c r="W43" s="3965"/>
      <c r="X43" s="3965"/>
      <c r="Y43" s="3965"/>
      <c r="Z43" s="3965"/>
      <c r="AA43" s="3965"/>
      <c r="AB43" s="3965"/>
      <c r="AC43" s="3966"/>
      <c r="AD43" s="3964" t="str">
        <f>INDEX(PT_DIFFERENTIATION_NTAR,MATCH(A43,PT_DIFFERENTIATION_NTAR_ID,0))</f>
        <v/>
      </c>
      <c r="AE43" s="3965"/>
      <c r="AF43" s="3965"/>
      <c r="AG43" s="3965"/>
      <c r="AH43" s="3965"/>
      <c r="AI43" s="3965"/>
      <c r="AJ43" s="3965"/>
      <c r="AK43" s="3965"/>
      <c r="AL43" s="3966"/>
      <c r="AM43" s="1473" t="str">
        <f>"Указывается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4"/>
      <c r="AP43" s="664" t="str">
        <f>IF(T43="","",T43)</f>
        <v>Наименование тарифа</v>
      </c>
      <c r="AQ43" s="664"/>
      <c r="AR43" s="664"/>
    </row>
    <row customHeight="1" ht="23.25">
      <c r="A44" s="1586" t="s">
        <v>165</v>
      </c>
      <c r="B44" s="1586" t="s">
        <v>166</v>
      </c>
      <c r="C44" s="1586"/>
      <c r="D44" s="1586"/>
      <c r="E44" s="2352"/>
      <c r="F44" s="2351">
        <v>1</v>
      </c>
      <c r="G44" s="1586"/>
      <c r="H44" s="1586"/>
      <c r="I44" s="1586"/>
      <c r="J44" s="1586"/>
      <c r="K44" s="1586"/>
      <c r="L44" s="1587"/>
      <c r="M44" s="1588"/>
      <c r="N44" s="1588"/>
      <c r="O44" s="1588"/>
      <c r="P44" s="686"/>
      <c r="Q44" s="500"/>
      <c r="R44" s="501"/>
      <c r="S44" s="1428" t="str">
        <f>INDEX(PT_DIFFERENTIATION_NUM_TER,MATCH(B44,PT_DIFFERENTIATION_TER_ID,0))</f>
        <v>.</v>
      </c>
      <c r="T44" s="447" t="s">
        <v>1469</v>
      </c>
      <c r="U44" s="437"/>
      <c r="V44" s="3964"/>
      <c r="W44" s="3965"/>
      <c r="X44" s="3965"/>
      <c r="Y44" s="3965"/>
      <c r="Z44" s="3965"/>
      <c r="AA44" s="3965"/>
      <c r="AB44" s="3965"/>
      <c r="AC44" s="3966"/>
      <c r="AD44" s="3964" t="str">
        <f>INDEX(PT_DIFFERENTIATION_TER,MATCH(B44,PT_DIFFERENTIATION_TER_ID,0))</f>
        <v/>
      </c>
      <c r="AE44" s="3965"/>
      <c r="AF44" s="3965"/>
      <c r="AG44" s="3965"/>
      <c r="AH44" s="3965"/>
      <c r="AI44" s="3965"/>
      <c r="AJ44" s="3965"/>
      <c r="AK44" s="3965"/>
      <c r="AL44" s="3966"/>
      <c r="AM44" s="1473" t="s">
        <v>1470</v>
      </c>
      <c r="AO44" s="664"/>
      <c r="AP44" s="664" t="str">
        <f>IF(T44="","",T44)</f>
        <v>Территория действия тарифа</v>
      </c>
      <c r="AQ44" s="664"/>
      <c r="AR44" s="664"/>
    </row>
    <row customHeight="1" ht="23.25">
      <c r="A45" s="1586" t="s">
        <v>165</v>
      </c>
      <c r="B45" s="1586" t="s">
        <v>166</v>
      </c>
      <c r="C45" s="1586" t="s">
        <v>167</v>
      </c>
      <c r="D45" s="1586"/>
      <c r="E45" s="2352"/>
      <c r="F45" s="2352"/>
      <c r="G45" s="2351">
        <v>1</v>
      </c>
      <c r="H45" s="1586"/>
      <c r="I45" s="1586"/>
      <c r="J45" s="1586"/>
      <c r="K45" s="1586"/>
      <c r="L45" s="1587"/>
      <c r="M45" s="1588"/>
      <c r="N45" s="1588"/>
      <c r="O45" s="1588"/>
      <c r="P45" s="502"/>
      <c r="Q45" s="500"/>
      <c r="R45" s="501"/>
      <c r="S45" s="1428" t="str">
        <f>INDEX(PT_DIFFERENTIATION_NUM_CS,MATCH(C45,PT_DIFFERENTIATION_CS_ID,0))</f>
        <v>..</v>
      </c>
      <c r="T45" s="448" t="s">
        <v>1471</v>
      </c>
      <c r="U45" s="437"/>
      <c r="V45" s="3964"/>
      <c r="W45" s="3965"/>
      <c r="X45" s="3965"/>
      <c r="Y45" s="3965"/>
      <c r="Z45" s="3965"/>
      <c r="AA45" s="3965"/>
      <c r="AB45" s="3965"/>
      <c r="AC45" s="3966"/>
      <c r="AD45" s="3964" t="str">
        <f>INDEX(PT_DIFFERENTIATION_CS,MATCH(C45,PT_DIFFERENTIATION_CS_ID,0))</f>
        <v/>
      </c>
      <c r="AE45" s="3965"/>
      <c r="AF45" s="3965"/>
      <c r="AG45" s="3965"/>
      <c r="AH45" s="3965"/>
      <c r="AI45" s="3965"/>
      <c r="AJ45" s="3965"/>
      <c r="AK45" s="3965"/>
      <c r="AL45" s="3966"/>
      <c r="AM45" s="1473" t="s">
        <v>1472</v>
      </c>
      <c r="AO45" s="664"/>
      <c r="AP45" s="664" t="str">
        <f>IF(T45="","",T45)</f>
        <v>Наименование системы теплоснабжения </v>
      </c>
      <c r="AQ45" s="664"/>
      <c r="AR45" s="664"/>
    </row>
    <row customHeight="1" ht="23.25">
      <c r="A46" s="1586" t="s">
        <v>165</v>
      </c>
      <c r="B46" s="1586" t="s">
        <v>166</v>
      </c>
      <c r="C46" s="1586" t="s">
        <v>167</v>
      </c>
      <c r="D46" s="1586" t="s">
        <v>168</v>
      </c>
      <c r="E46" s="2352"/>
      <c r="F46" s="2352"/>
      <c r="G46" s="2352"/>
      <c r="H46" s="2351">
        <v>1</v>
      </c>
      <c r="I46" s="1586"/>
      <c r="J46" s="1586"/>
      <c r="K46" s="1586"/>
      <c r="L46" s="1587"/>
      <c r="M46" s="1588"/>
      <c r="N46" s="1588"/>
      <c r="O46" s="1588"/>
      <c r="P46" s="502"/>
      <c r="Q46" s="500"/>
      <c r="R46" s="501"/>
      <c r="S46" s="1428" t="str">
        <f>INDEX(PT_DIFFERENTIATION_NUM_IST_TE,MATCH(D46,PT_DIFFERENTIATION_IST_TE_ID,0))</f>
        <v>...</v>
      </c>
      <c r="T46" s="449" t="s">
        <v>1473</v>
      </c>
      <c r="U46" s="437"/>
      <c r="V46" s="3964"/>
      <c r="W46" s="3965"/>
      <c r="X46" s="3965"/>
      <c r="Y46" s="3965"/>
      <c r="Z46" s="3965"/>
      <c r="AA46" s="3965"/>
      <c r="AB46" s="3965"/>
      <c r="AC46" s="3966"/>
      <c r="AD46" s="3964" t="str">
        <f>INDEX(PT_DIFFERENTIATION_IST_TE,MATCH(D46,PT_DIFFERENTIATION_IST_TE_ID,0))</f>
        <v/>
      </c>
      <c r="AE46" s="3965"/>
      <c r="AF46" s="3965"/>
      <c r="AG46" s="3965"/>
      <c r="AH46" s="3965"/>
      <c r="AI46" s="3965"/>
      <c r="AJ46" s="3965"/>
      <c r="AK46" s="3965"/>
      <c r="AL46" s="3966"/>
      <c r="AM46" s="1473" t="s">
        <v>1474</v>
      </c>
      <c r="AO46" s="664"/>
      <c r="AP46" s="664" t="str">
        <f>IF(T46="","",T46)</f>
        <v>Источник тепловой энергии  </v>
      </c>
      <c r="AQ46" s="664"/>
      <c r="AR46" s="664"/>
    </row>
    <row customHeight="1" ht="47.25">
      <c r="A47" s="1586" t="s">
        <v>165</v>
      </c>
      <c r="B47" s="1586" t="s">
        <v>166</v>
      </c>
      <c r="C47" s="1586" t="s">
        <v>167</v>
      </c>
      <c r="D47" s="1586" t="s">
        <v>168</v>
      </c>
      <c r="E47" s="2352"/>
      <c r="F47" s="2352"/>
      <c r="G47" s="2352"/>
      <c r="H47" s="2352"/>
      <c r="I47" s="2380" t="str">
        <f>S46&amp;".1"</f>
        <v>....1</v>
      </c>
      <c r="J47" s="1586"/>
      <c r="K47" s="1586"/>
      <c r="L47" s="1587" t="s">
        <v>1475</v>
      </c>
      <c r="P47" s="2350">
        <v>1</v>
      </c>
      <c r="Q47" s="1422"/>
      <c r="R47" s="504"/>
      <c r="S47" s="1428" t="str">
        <f>$I47</f>
        <v>....1</v>
      </c>
      <c r="T47" s="422" t="s">
        <v>1476</v>
      </c>
      <c r="U47" s="437"/>
      <c r="V47" s="2338"/>
      <c r="W47" s="2339"/>
      <c r="X47" s="2339"/>
      <c r="Y47" s="2339"/>
      <c r="Z47" s="2339"/>
      <c r="AA47" s="2339"/>
      <c r="AB47" s="2339"/>
      <c r="AC47" s="2340"/>
      <c r="AD47" s="2338"/>
      <c r="AE47" s="2339"/>
      <c r="AF47" s="2339"/>
      <c r="AG47" s="2339"/>
      <c r="AH47" s="2339"/>
      <c r="AI47" s="2339"/>
      <c r="AJ47" s="2339"/>
      <c r="AK47" s="2339"/>
      <c r="AL47" s="2340"/>
      <c r="AM47" s="1473" t="s">
        <v>1477</v>
      </c>
      <c r="AO47" s="664"/>
      <c r="AP47" s="664" t="str">
        <f>IF(T47="","",T47)</f>
        <v>Схема подключения теплопотребляющей установки к коллектору источника тепловой энергии</v>
      </c>
      <c r="AQ47" s="664"/>
      <c r="AR47" s="664"/>
    </row>
    <row customHeight="1" ht="23.25">
      <c r="A48" s="1586" t="s">
        <v>165</v>
      </c>
      <c r="B48" s="1586" t="s">
        <v>166</v>
      </c>
      <c r="C48" s="1586" t="s">
        <v>167</v>
      </c>
      <c r="D48" s="1586" t="s">
        <v>168</v>
      </c>
      <c r="E48" s="2352"/>
      <c r="F48" s="2352"/>
      <c r="G48" s="2352"/>
      <c r="H48" s="2352"/>
      <c r="I48" s="2381"/>
      <c r="J48" s="2349" t="str">
        <f>I47&amp;".1"</f>
        <v>....1.1</v>
      </c>
      <c r="K48" s="1586"/>
      <c r="L48" s="1587" t="s">
        <v>1478</v>
      </c>
      <c r="P48" s="2350"/>
      <c r="Q48" s="2350">
        <v>1</v>
      </c>
      <c r="R48" s="505"/>
      <c r="S48" s="1428" t="str">
        <f>$J48</f>
        <v>....1.1</v>
      </c>
      <c r="T48" s="423" t="s">
        <v>1479</v>
      </c>
      <c r="U48" s="437"/>
      <c r="V48" s="2338"/>
      <c r="W48" s="2339"/>
      <c r="X48" s="2339"/>
      <c r="Y48" s="2339"/>
      <c r="Z48" s="2339"/>
      <c r="AA48" s="2339"/>
      <c r="AB48" s="2339"/>
      <c r="AC48" s="2340"/>
      <c r="AD48" s="2338"/>
      <c r="AE48" s="2339"/>
      <c r="AF48" s="2339"/>
      <c r="AG48" s="2339"/>
      <c r="AH48" s="2339"/>
      <c r="AI48" s="2339"/>
      <c r="AJ48" s="2339"/>
      <c r="AK48" s="2339"/>
      <c r="AL48" s="2340"/>
      <c r="AM48" s="1473" t="s">
        <v>1480</v>
      </c>
      <c r="AO48" s="664"/>
      <c r="AP48" s="664" t="str">
        <f>IF(T48="","",T48)</f>
        <v>Группа потребителей</v>
      </c>
      <c r="AQ48" s="664"/>
      <c r="AR48" s="664"/>
    </row>
    <row customHeight="1" ht="23.25">
      <c r="A49" s="1586" t="s">
        <v>165</v>
      </c>
      <c r="B49" s="1586" t="s">
        <v>166</v>
      </c>
      <c r="C49" s="1586" t="s">
        <v>167</v>
      </c>
      <c r="D49" s="1586" t="s">
        <v>168</v>
      </c>
      <c r="E49" s="2352"/>
      <c r="F49" s="2352"/>
      <c r="G49" s="2352"/>
      <c r="H49" s="2352"/>
      <c r="I49" s="2381"/>
      <c r="J49" s="2382"/>
      <c r="K49" s="2349" t="str">
        <f>J48&amp;".1"</f>
        <v>....1.1.1</v>
      </c>
      <c r="L49" s="1587" t="s">
        <v>1481</v>
      </c>
      <c r="P49" s="2350"/>
      <c r="Q49" s="2350"/>
      <c r="R49" s="505">
        <v>1</v>
      </c>
      <c r="S49" s="1428" t="str">
        <f>$K49</f>
        <v>....1.1.1</v>
      </c>
      <c r="T49" s="1569"/>
      <c r="U49" s="437"/>
      <c r="V49" s="3992"/>
      <c r="W49" s="3993"/>
      <c r="X49" s="3992"/>
      <c r="Y49" s="3994"/>
      <c r="Z49" s="2357"/>
      <c r="AA49" s="2069" t="s">
        <v>66</v>
      </c>
      <c r="AB49" s="2357"/>
      <c r="AC49" s="2069" t="s">
        <v>66</v>
      </c>
      <c r="AD49" s="3992"/>
      <c r="AE49" s="3993"/>
      <c r="AF49" s="3992"/>
      <c r="AG49" s="3994"/>
      <c r="AH49" s="2357"/>
      <c r="AI49" s="2069" t="s">
        <v>66</v>
      </c>
      <c r="AJ49" s="2383"/>
      <c r="AK49" s="2069" t="s">
        <v>66</v>
      </c>
      <c r="AL49" s="4093"/>
      <c r="AM49" s="2346" t="s">
        <v>1482</v>
      </c>
      <c r="AN49" s="675">
        <f>STRCHECKDATE(V50:AL50)</f>
      </c>
      <c r="AO49" s="664"/>
      <c r="AP49" s="664" t="str">
        <f>IF(T49="","",T49)</f>
        <v/>
      </c>
      <c r="AQ49" s="664"/>
      <c r="AR49" s="664"/>
    </row>
    <row customHeight="1" ht="0.75">
      <c r="A50" s="1586" t="s">
        <v>165</v>
      </c>
      <c r="B50" s="1586" t="s">
        <v>166</v>
      </c>
      <c r="C50" s="1586" t="s">
        <v>167</v>
      </c>
      <c r="D50" s="1586" t="s">
        <v>168</v>
      </c>
      <c r="E50" s="2352"/>
      <c r="F50" s="2352"/>
      <c r="G50" s="2352"/>
      <c r="H50" s="2352"/>
      <c r="I50" s="2381"/>
      <c r="J50" s="2382"/>
      <c r="K50" s="2349"/>
      <c r="L50" s="1587"/>
      <c r="P50" s="2350"/>
      <c r="Q50" s="2350"/>
      <c r="R50" s="505"/>
      <c r="S50" s="1426"/>
      <c r="T50" s="437"/>
      <c r="U50" s="437"/>
      <c r="V50" s="3993"/>
      <c r="W50" s="3993"/>
      <c r="X50" s="3993"/>
      <c r="Y50" s="3998" t="str">
        <f>Z49&amp;"-"&amp;AB49</f>
        <v>-</v>
      </c>
      <c r="Z50" s="2358"/>
      <c r="AA50" s="2069"/>
      <c r="AB50" s="2358"/>
      <c r="AC50" s="2069"/>
      <c r="AD50" s="3993"/>
      <c r="AE50" s="3993"/>
      <c r="AF50" s="3993"/>
      <c r="AG50" s="3998" t="str">
        <f>AH49&amp;"-"&amp;AJ49</f>
        <v>-</v>
      </c>
      <c r="AH50" s="2358"/>
      <c r="AI50" s="2069"/>
      <c r="AJ50" s="2384"/>
      <c r="AK50" s="2069"/>
      <c r="AL50" s="4096"/>
      <c r="AM50" s="2347"/>
      <c r="AO50" s="664"/>
      <c r="AP50" s="664" t="str">
        <f>IF(T50="","",T50)</f>
        <v/>
      </c>
      <c r="AQ50" s="664"/>
      <c r="AR50" s="664"/>
    </row>
    <row customHeight="1" ht="11.25">
      <c r="A51" s="1586" t="s">
        <v>165</v>
      </c>
      <c r="B51" s="1586" t="s">
        <v>166</v>
      </c>
      <c r="C51" s="1586" t="s">
        <v>167</v>
      </c>
      <c r="D51" s="1586" t="s">
        <v>168</v>
      </c>
      <c r="E51" s="2352"/>
      <c r="F51" s="2352"/>
      <c r="G51" s="2352"/>
      <c r="H51" s="2352"/>
      <c r="I51" s="2381"/>
      <c r="J51" s="2349"/>
      <c r="K51" s="1586"/>
      <c r="L51" s="1587"/>
      <c r="P51" s="2350"/>
      <c r="Q51" s="2350"/>
      <c r="R51" s="504"/>
      <c r="S51" s="1495"/>
      <c r="T51" s="425" t="s">
        <v>1483</v>
      </c>
      <c r="U51" s="519"/>
      <c r="V51" s="519"/>
      <c r="W51" s="519"/>
      <c r="X51" s="519"/>
      <c r="Y51" s="519"/>
      <c r="Z51" s="519"/>
      <c r="AA51" s="519"/>
      <c r="AB51" s="519"/>
      <c r="AC51" s="519"/>
      <c r="AD51" s="519"/>
      <c r="AE51" s="519"/>
      <c r="AF51" s="519"/>
      <c r="AG51" s="519"/>
      <c r="AH51" s="519"/>
      <c r="AI51" s="519"/>
      <c r="AJ51" s="519"/>
      <c r="AK51" s="519"/>
      <c r="AL51" s="471"/>
      <c r="AM51" s="2348"/>
      <c r="AO51" s="664"/>
      <c r="AP51" s="664" t="str">
        <f>IF(T51="","",T51)</f>
        <v>Добавить вид теплоносителя (параметры теплоносителя)</v>
      </c>
      <c r="AQ51" s="664"/>
      <c r="AR51" s="664"/>
    </row>
    <row customHeight="1" ht="11.25">
      <c r="A52" s="1586" t="s">
        <v>165</v>
      </c>
      <c r="B52" s="1586" t="s">
        <v>166</v>
      </c>
      <c r="C52" s="1586" t="s">
        <v>167</v>
      </c>
      <c r="D52" s="1586" t="s">
        <v>168</v>
      </c>
      <c r="E52" s="2352"/>
      <c r="F52" s="2352"/>
      <c r="G52" s="2352"/>
      <c r="H52" s="2352"/>
      <c r="I52" s="2380"/>
      <c r="J52" s="1586"/>
      <c r="K52" s="1586"/>
      <c r="L52" s="1587"/>
      <c r="P52" s="2350"/>
      <c r="Q52" s="1422"/>
      <c r="R52" s="504"/>
      <c r="S52" s="1495"/>
      <c r="T52" s="424" t="s">
        <v>1484</v>
      </c>
      <c r="U52" s="519"/>
      <c r="V52" s="519"/>
      <c r="W52" s="519"/>
      <c r="X52" s="519"/>
      <c r="Y52" s="519"/>
      <c r="Z52" s="519"/>
      <c r="AA52" s="519"/>
      <c r="AB52" s="519"/>
      <c r="AC52" s="518"/>
      <c r="AD52" s="519"/>
      <c r="AE52" s="519"/>
      <c r="AF52" s="519"/>
      <c r="AG52" s="519"/>
      <c r="AH52" s="519"/>
      <c r="AI52" s="519"/>
      <c r="AJ52" s="519"/>
      <c r="AK52" s="518"/>
      <c r="AL52" s="519"/>
      <c r="AM52" s="440"/>
      <c r="AO52" s="664"/>
      <c r="AP52" s="664" t="str">
        <f>IF(T52="","",T52)</f>
        <v>Добавить группу потребителей</v>
      </c>
      <c r="AQ52" s="664"/>
      <c r="AR52" s="664"/>
    </row>
    <row customHeight="1" ht="14.25">
      <c r="A53" s="1586" t="s">
        <v>165</v>
      </c>
      <c r="B53" s="1586" t="s">
        <v>166</v>
      </c>
      <c r="C53" s="1586" t="s">
        <v>167</v>
      </c>
      <c r="D53" s="1586" t="s">
        <v>168</v>
      </c>
      <c r="E53" s="2352"/>
      <c r="F53" s="2352"/>
      <c r="G53" s="2352"/>
      <c r="H53" s="2351"/>
      <c r="I53" s="1586"/>
      <c r="J53" s="1586"/>
      <c r="K53" s="1586"/>
      <c r="L53" s="1587"/>
      <c r="M53" s="1588"/>
      <c r="N53" s="1588"/>
      <c r="O53" s="701"/>
      <c r="P53" s="508"/>
      <c r="Q53" s="528"/>
      <c r="R53" s="503"/>
      <c r="S53" s="1495"/>
      <c r="T53" s="516" t="s">
        <v>1485</v>
      </c>
      <c r="U53" s="519"/>
      <c r="V53" s="519"/>
      <c r="W53" s="519"/>
      <c r="X53" s="519"/>
      <c r="Y53" s="519"/>
      <c r="Z53" s="519"/>
      <c r="AA53" s="519"/>
      <c r="AB53" s="519"/>
      <c r="AC53" s="518"/>
      <c r="AD53" s="519"/>
      <c r="AE53" s="519"/>
      <c r="AF53" s="519"/>
      <c r="AG53" s="519"/>
      <c r="AH53" s="519"/>
      <c r="AI53" s="519"/>
      <c r="AJ53" s="519"/>
      <c r="AK53" s="518"/>
      <c r="AL53" s="519"/>
      <c r="AM53" s="440"/>
      <c r="AO53" s="664"/>
      <c r="AP53" s="664" t="str">
        <f>IF(T53="","",T53)</f>
        <v>Добавить схему подключения</v>
      </c>
      <c r="AQ53" s="664"/>
      <c r="AR53" s="664"/>
    </row>
    <row s="6520" customFormat="1" customHeight="1" ht="0.75">
      <c r="A54" s="1565" t="s">
        <v>165</v>
      </c>
      <c r="B54" s="1565" t="s">
        <v>166</v>
      </c>
      <c r="C54" s="1565" t="s">
        <v>167</v>
      </c>
      <c r="D54" s="1536"/>
      <c r="E54" s="2352"/>
      <c r="F54" s="2352"/>
      <c r="G54" s="2351"/>
      <c r="H54" s="1536"/>
      <c r="I54" s="1536"/>
      <c r="J54" s="1536"/>
      <c r="K54" s="1536"/>
      <c r="L54" s="1561"/>
      <c r="M54" s="1537"/>
      <c r="N54" s="1537"/>
      <c r="P54" s="1538"/>
      <c r="Q54" s="1539"/>
      <c r="R54" s="1538"/>
      <c r="S54" s="1544"/>
      <c r="T54" s="1547" t="s">
        <v>1444</v>
      </c>
      <c r="U54" s="1546"/>
      <c r="V54" s="1546"/>
      <c r="W54" s="1546"/>
      <c r="X54" s="1546"/>
      <c r="Y54" s="1546"/>
      <c r="Z54" s="1546"/>
      <c r="AA54" s="1546"/>
      <c r="AB54" s="1546"/>
      <c r="AC54" s="1546"/>
      <c r="AD54" s="1546"/>
      <c r="AE54" s="1546"/>
      <c r="AF54" s="1546"/>
      <c r="AG54" s="1546"/>
      <c r="AH54" s="1546"/>
      <c r="AI54" s="1546"/>
      <c r="AJ54" s="1546"/>
      <c r="AK54" s="1546"/>
      <c r="AL54" s="1546"/>
      <c r="AM54" s="1546"/>
      <c r="AO54" s="956"/>
      <c r="AP54" s="956" t="str">
        <f>IF(T54="","",T54)</f>
        <v>Добавить источник для дифференциации</v>
      </c>
      <c r="AQ54" s="956"/>
      <c r="AR54" s="956"/>
    </row>
    <row s="6520" customFormat="1" customHeight="1" ht="0.75">
      <c r="A55" s="1565" t="s">
        <v>165</v>
      </c>
      <c r="B55" s="1565" t="s">
        <v>166</v>
      </c>
      <c r="C55" s="1536"/>
      <c r="D55" s="1536"/>
      <c r="E55" s="2352"/>
      <c r="F55" s="2351"/>
      <c r="G55" s="1536"/>
      <c r="H55" s="1536"/>
      <c r="I55" s="1536"/>
      <c r="J55" s="1536"/>
      <c r="K55" s="1536"/>
      <c r="L55" s="1561"/>
      <c r="M55" s="1543"/>
      <c r="N55" s="1543"/>
      <c r="P55" s="1538"/>
      <c r="Q55" s="1539"/>
      <c r="R55" s="1538"/>
      <c r="S55" s="1544"/>
      <c r="T55" s="1547" t="s">
        <v>1445</v>
      </c>
      <c r="U55" s="1546"/>
      <c r="V55" s="1546"/>
      <c r="W55" s="1546"/>
      <c r="X55" s="1546"/>
      <c r="Y55" s="1546"/>
      <c r="Z55" s="1546"/>
      <c r="AA55" s="1546"/>
      <c r="AB55" s="1546"/>
      <c r="AC55" s="1546"/>
      <c r="AD55" s="1546"/>
      <c r="AE55" s="1546"/>
      <c r="AF55" s="1546"/>
      <c r="AG55" s="1546"/>
      <c r="AH55" s="1546"/>
      <c r="AI55" s="1546"/>
      <c r="AJ55" s="1546"/>
      <c r="AK55" s="1546"/>
      <c r="AL55" s="1546"/>
      <c r="AM55" s="1546"/>
      <c r="AO55" s="956"/>
      <c r="AP55" s="956" t="str">
        <f>IF(T55="","",T55)</f>
        <v>Добавить централизованную систему для дифференциации</v>
      </c>
      <c r="AQ55" s="956"/>
      <c r="AR55" s="956"/>
    </row>
    <row s="6608" customFormat="1" customHeight="1" ht="0.75">
      <c r="A56" s="1565" t="s">
        <v>165</v>
      </c>
      <c r="B56" s="1565"/>
      <c r="C56" s="1565"/>
      <c r="D56" s="1565"/>
      <c r="E56" s="2351"/>
      <c r="F56" s="1565"/>
      <c r="G56" s="1565"/>
      <c r="H56" s="1565"/>
      <c r="I56" s="1565"/>
      <c r="J56" s="1565"/>
      <c r="K56" s="1565"/>
      <c r="L56" s="1568"/>
      <c r="M56" s="1543"/>
      <c r="N56" s="1543"/>
      <c r="O56" s="682"/>
      <c r="P56" s="537"/>
      <c r="Q56" s="1566"/>
      <c r="R56" s="537"/>
      <c r="S56" s="1544"/>
      <c r="T56" s="1547" t="s">
        <v>1446</v>
      </c>
      <c r="U56" s="1546"/>
      <c r="V56" s="1546"/>
      <c r="W56" s="1546"/>
      <c r="X56" s="1546"/>
      <c r="Y56" s="1546"/>
      <c r="Z56" s="1546"/>
      <c r="AA56" s="1546"/>
      <c r="AB56" s="1546"/>
      <c r="AC56" s="1546"/>
      <c r="AD56" s="1546"/>
      <c r="AE56" s="1546"/>
      <c r="AF56" s="1546"/>
      <c r="AG56" s="1546"/>
      <c r="AH56" s="1546"/>
      <c r="AI56" s="1546"/>
      <c r="AJ56" s="1546"/>
      <c r="AK56" s="1546"/>
      <c r="AL56" s="1546"/>
      <c r="AM56" s="1546"/>
      <c r="AO56" s="664"/>
      <c r="AP56" s="664" t="str">
        <f>IF(T56="","",T56)</f>
        <v>Добавить территорию для дифференциации</v>
      </c>
      <c r="AQ56" s="664"/>
      <c r="AR56" s="664"/>
    </row>
    <row s="6520" customFormat="1" customHeight="1" ht="0.75">
      <c r="A57" s="1536"/>
      <c r="B57" s="1536"/>
      <c r="C57" s="1536"/>
      <c r="D57" s="1536"/>
      <c r="E57" s="1565"/>
      <c r="F57" s="1536"/>
      <c r="G57" s="1536"/>
      <c r="H57" s="1536"/>
      <c r="I57" s="1536"/>
      <c r="J57" s="1536"/>
      <c r="K57" s="1536"/>
      <c r="L57" s="1561"/>
      <c r="M57" s="1543"/>
      <c r="N57" s="1543"/>
      <c r="P57" s="1538"/>
      <c r="Q57" s="1539"/>
      <c r="R57" s="1538"/>
      <c r="S57" s="1544"/>
      <c r="T57" s="1547" t="s">
        <v>1447</v>
      </c>
      <c r="U57" s="1546"/>
      <c r="V57" s="1546"/>
      <c r="W57" s="1546"/>
      <c r="X57" s="1546"/>
      <c r="Y57" s="1546"/>
      <c r="Z57" s="1546"/>
      <c r="AA57" s="1546"/>
      <c r="AB57" s="1546"/>
      <c r="AC57" s="1546"/>
      <c r="AD57" s="1546"/>
      <c r="AE57" s="1546"/>
      <c r="AF57" s="1546"/>
      <c r="AG57" s="1546"/>
      <c r="AH57" s="1546"/>
      <c r="AI57" s="1546"/>
      <c r="AJ57" s="1546"/>
      <c r="AK57" s="1546"/>
      <c r="AL57" s="1546"/>
      <c r="AM57" s="1546"/>
      <c r="AO57" s="956"/>
      <c r="AP57" s="956" t="str">
        <f>IF(T57="","",T57)</f>
        <v>Добавить наименование тарифа</v>
      </c>
      <c r="AQ57" s="956"/>
      <c r="AR57" s="956"/>
    </row>
    <row customHeight="1" ht="11.25" hidden="1">
      <c r="M58" s="1348"/>
      <c r="N58" s="1348"/>
      <c r="O58" s="701"/>
      <c r="P58" s="1343"/>
      <c r="Q58" s="1343"/>
      <c r="R58" s="1343"/>
      <c r="S58" s="1343"/>
      <c r="AN58" s="1343"/>
      <c r="AO58" s="1343"/>
      <c r="AP58" s="1343"/>
      <c r="AQ58" s="1343"/>
      <c r="AR58" s="1343"/>
    </row>
    <row customHeight="1" ht="27" hidden="1">
      <c r="O59" s="701"/>
      <c r="S59" s="1460" t="s">
        <v>1517</v>
      </c>
      <c r="T59" s="2379" t="s">
        <v>1518</v>
      </c>
      <c r="U59" s="2379"/>
      <c r="V59" s="2379"/>
      <c r="W59" s="2379"/>
      <c r="X59" s="2379"/>
      <c r="Y59" s="2379"/>
      <c r="Z59" s="2379"/>
      <c r="AA59" s="2379"/>
      <c r="AB59" s="2379"/>
      <c r="AC59" s="2379"/>
      <c r="AD59" s="2379"/>
      <c r="AE59" s="2379"/>
      <c r="AF59" s="2379"/>
      <c r="AG59" s="2379"/>
      <c r="AH59" s="2379"/>
      <c r="AI59" s="2379"/>
      <c r="AJ59" s="2379"/>
      <c r="AK59" s="2379"/>
      <c r="AL59" s="2379"/>
      <c r="AM59" s="2379"/>
    </row>
    <row customHeight="1" ht="64.5" hidden="1">
      <c r="O60" s="701"/>
      <c r="P60" s="1524"/>
      <c r="T60" s="2379" t="s">
        <v>1519</v>
      </c>
      <c r="U60" s="2379"/>
      <c r="V60" s="2379"/>
      <c r="W60" s="2379"/>
      <c r="X60" s="2379"/>
      <c r="Y60" s="2379"/>
      <c r="Z60" s="2379"/>
      <c r="AA60" s="2379"/>
      <c r="AB60" s="2379"/>
      <c r="AC60" s="2379"/>
      <c r="AD60" s="2379"/>
      <c r="AE60" s="2379"/>
      <c r="AF60" s="2379"/>
      <c r="AG60" s="2379"/>
      <c r="AH60" s="2379"/>
      <c r="AI60" s="2379"/>
      <c r="AJ60" s="2379"/>
      <c r="AK60" s="2379"/>
      <c r="AL60" s="2379"/>
      <c r="AM60" s="2379"/>
    </row>
    <row customHeight="1" ht="14.25" hidden="1">
      <c r="O61" s="701"/>
    </row>
    <row customHeight="1" ht="18" hidden="1">
      <c r="O62" s="701"/>
      <c r="P62" s="1550"/>
      <c r="S62" s="1460" t="s">
        <v>1517</v>
      </c>
      <c r="T62" s="2379" t="s">
        <v>1520</v>
      </c>
      <c r="U62" s="2379"/>
      <c r="V62" s="2379"/>
      <c r="W62" s="2379"/>
      <c r="X62" s="2379"/>
      <c r="Y62" s="2379"/>
      <c r="Z62" s="2379"/>
      <c r="AA62" s="2379"/>
      <c r="AB62" s="2379"/>
      <c r="AC62" s="2379"/>
      <c r="AD62" s="2379"/>
      <c r="AE62" s="2379"/>
      <c r="AF62" s="2379"/>
      <c r="AG62" s="2379"/>
      <c r="AH62" s="2379"/>
      <c r="AI62" s="2379"/>
      <c r="AJ62" s="2379"/>
      <c r="AK62" s="2379"/>
      <c r="AL62" s="2379"/>
      <c r="AM62" s="2379"/>
    </row>
    <row customHeight="1" ht="18" hidden="1">
      <c r="O63" s="701"/>
      <c r="P63" s="1550"/>
      <c r="T63" s="2379" t="s">
        <v>1521</v>
      </c>
      <c r="U63" s="2379"/>
      <c r="V63" s="2379"/>
      <c r="W63" s="2379"/>
      <c r="X63" s="2379"/>
      <c r="Y63" s="2379"/>
      <c r="Z63" s="2379"/>
      <c r="AA63" s="2379"/>
      <c r="AB63" s="2379"/>
      <c r="AC63" s="2379"/>
      <c r="AD63" s="2379"/>
      <c r="AE63" s="2379"/>
      <c r="AF63" s="2379"/>
      <c r="AG63" s="2379"/>
      <c r="AH63" s="2379"/>
      <c r="AI63" s="2379"/>
      <c r="AJ63" s="2379"/>
      <c r="AK63" s="2379"/>
      <c r="AL63" s="2379"/>
      <c r="AM63" s="2379"/>
    </row>
    <row customHeight="1" ht="27.75" hidden="1">
      <c r="O64" s="701"/>
      <c r="P64" s="1550"/>
      <c r="S64" s="1460"/>
      <c r="T64" s="2379" t="s">
        <v>1522</v>
      </c>
      <c r="U64" s="2379"/>
      <c r="V64" s="2379"/>
      <c r="W64" s="2379"/>
      <c r="X64" s="2379"/>
      <c r="Y64" s="2379"/>
      <c r="Z64" s="2379"/>
      <c r="AA64" s="2379"/>
      <c r="AB64" s="2379"/>
      <c r="AC64" s="2379"/>
      <c r="AD64" s="2379"/>
      <c r="AE64" s="2379"/>
      <c r="AF64" s="2379"/>
      <c r="AG64" s="2379"/>
      <c r="AH64" s="2379"/>
      <c r="AI64" s="2379"/>
      <c r="AJ64" s="2379"/>
      <c r="AK64" s="2379"/>
      <c r="AL64" s="2379"/>
      <c r="AM64" s="2379"/>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D6909B-7EBE-54AE-B47B-5A81D3B7D603}"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28" width="3.7109375" customWidth="1"/>
    <col min="17" max="18" style="6619" width="3.7109375" customWidth="1"/>
    <col min="19" max="19" style="6620" width="12.7109375" customWidth="1"/>
    <col min="20" max="20" style="6104" width="32.00390625" customWidth="1"/>
    <col min="21" max="21" style="6104" width="0.140625" customWidth="1"/>
    <col min="22" max="22" style="6104" width="24.7109375" hidden="1" customWidth="1"/>
    <col min="23" max="23" style="6104" width="0.140625" hidden="1" customWidth="1"/>
    <col min="24" max="25" style="6104" width="24.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0" style="6104" width="24.7109375" customWidth="1"/>
    <col min="31" max="31" style="6104" width="0.140625" customWidth="1"/>
    <col min="32" max="33" style="6104" width="24.7109375" customWidth="1"/>
    <col min="34" max="34" style="6104" width="11.7109375" customWidth="1"/>
    <col min="35" max="35" style="6104" width="3.7109375" customWidth="1"/>
    <col min="36" max="36" style="6104" width="11.7109375" customWidth="1"/>
    <col min="37" max="37" style="6104" width="8.57421875" hidden="1" customWidth="1"/>
    <col min="38" max="38" style="6104" width="4.7109375" customWidth="1"/>
    <col min="39" max="39" style="6104" width="115.7109375" customWidth="1"/>
    <col min="40" max="41" style="6608" width="10.57421875"/>
    <col min="42" max="42" style="6608" width="11.140625" customWidth="1"/>
    <col min="43" max="44" style="6608" width="10.57421875"/>
  </cols>
  <sheetData>
    <row customHeight="1" ht="14.25" hidden="1">
      <c r="Y1" s="475"/>
      <c r="Z1" s="475"/>
      <c r="AG1" s="475"/>
      <c r="AH1" s="475"/>
    </row>
    <row customHeight="1" ht="21" hidden="1">
      <c r="A2" s="1586"/>
      <c r="B2" s="1586"/>
      <c r="C2" s="1586"/>
      <c r="D2" s="1586"/>
      <c r="E2" s="2351">
        <v>1</v>
      </c>
      <c r="F2" s="1586"/>
      <c r="G2" s="1586"/>
      <c r="H2" s="1586"/>
      <c r="I2" s="1586"/>
      <c r="J2" s="1586"/>
      <c r="K2" s="1586"/>
      <c r="L2" s="1587"/>
      <c r="M2" s="1588"/>
      <c r="N2" s="1588"/>
      <c r="O2" s="1588"/>
      <c r="P2" s="509"/>
      <c r="Q2" s="508"/>
      <c r="R2" s="503"/>
      <c r="S2" s="1558">
        <f>INDEX(PT_DIFFERENTIATION_NUM_NTAR,MATCH(A2,PT_DIFFERENTIATION_NTAR_ID,0))</f>
      </c>
      <c r="T2" s="435" t="s">
        <v>132</v>
      </c>
      <c r="U2" s="437"/>
      <c r="V2" s="3964"/>
      <c r="W2" s="3965"/>
      <c r="X2" s="3965"/>
      <c r="Y2" s="3965"/>
      <c r="Z2" s="3965"/>
      <c r="AA2" s="3965"/>
      <c r="AB2" s="3965"/>
      <c r="AC2" s="3966"/>
      <c r="AD2" s="3964">
        <f>INDEX(PT_DIFFERENTIATION_NTAR,MATCH(A2,PT_DIFFERENTIATION_NTAR_ID,0))</f>
      </c>
      <c r="AE2" s="3965"/>
      <c r="AF2" s="3965"/>
      <c r="AG2" s="3965"/>
      <c r="AH2" s="3965"/>
      <c r="AI2" s="3965"/>
      <c r="AJ2" s="3965"/>
      <c r="AK2" s="3965"/>
      <c r="AL2" s="3966"/>
      <c r="AM2" s="1473" t="s">
        <v>1468</v>
      </c>
      <c r="AO2" s="664"/>
      <c r="AP2" s="664" t="str">
        <f>IF(T2="","",T2)</f>
        <v>Наименование тарифа</v>
      </c>
      <c r="AQ2" s="664"/>
      <c r="AR2" s="664"/>
    </row>
    <row customHeight="1" ht="21" hidden="1">
      <c r="A3" s="1586"/>
      <c r="B3" s="1586"/>
      <c r="C3" s="1586"/>
      <c r="D3" s="1586"/>
      <c r="E3" s="2352"/>
      <c r="F3" s="2351">
        <v>1</v>
      </c>
      <c r="G3" s="1586"/>
      <c r="H3" s="1586"/>
      <c r="I3" s="1586"/>
      <c r="J3" s="1586"/>
      <c r="K3" s="1586"/>
      <c r="L3" s="1587"/>
      <c r="M3" s="1588"/>
      <c r="N3" s="1588"/>
      <c r="O3" s="1588"/>
      <c r="P3" s="1554"/>
      <c r="Q3" s="500"/>
      <c r="R3" s="501"/>
      <c r="S3" s="1558">
        <f>INDEX(PT_DIFFERENTIATION_NUM_TER,MATCH(B3,PT_DIFFERENTIATION_TER_ID,0))</f>
      </c>
      <c r="T3" s="447" t="s">
        <v>1469</v>
      </c>
      <c r="U3" s="437"/>
      <c r="V3" s="3964"/>
      <c r="W3" s="3965"/>
      <c r="X3" s="3965"/>
      <c r="Y3" s="3965"/>
      <c r="Z3" s="3965"/>
      <c r="AA3" s="3965"/>
      <c r="AB3" s="3965"/>
      <c r="AC3" s="3966"/>
      <c r="AD3" s="3964">
        <f>INDEX(PT_DIFFERENTIATION_TER,MATCH(B3,PT_DIFFERENTIATION_TER_ID,0))</f>
      </c>
      <c r="AE3" s="3965"/>
      <c r="AF3" s="3965"/>
      <c r="AG3" s="3965"/>
      <c r="AH3" s="3965"/>
      <c r="AI3" s="3965"/>
      <c r="AJ3" s="3965"/>
      <c r="AK3" s="3965"/>
      <c r="AL3" s="3966"/>
      <c r="AM3" s="1473" t="s">
        <v>1470</v>
      </c>
      <c r="AO3" s="664"/>
      <c r="AP3" s="664" t="str">
        <f>IF(T3="","",T3)</f>
        <v>Территория действия тарифа</v>
      </c>
      <c r="AQ3" s="664"/>
      <c r="AR3" s="664"/>
    </row>
    <row customHeight="1" ht="23.25" hidden="1">
      <c r="A4" s="1586"/>
      <c r="B4" s="1586"/>
      <c r="C4" s="1586"/>
      <c r="D4" s="1586"/>
      <c r="E4" s="2352"/>
      <c r="F4" s="2352"/>
      <c r="G4" s="2351">
        <v>1</v>
      </c>
      <c r="H4" s="1586"/>
      <c r="I4" s="1586"/>
      <c r="J4" s="1586"/>
      <c r="K4" s="1586"/>
      <c r="L4" s="1587"/>
      <c r="M4" s="1588"/>
      <c r="N4" s="1588"/>
      <c r="O4" s="1588"/>
      <c r="P4" s="502"/>
      <c r="Q4" s="500"/>
      <c r="R4" s="501"/>
      <c r="S4" s="1558">
        <f>INDEX(PT_DIFFERENTIATION_NUM_CS,MATCH(C4,PT_DIFFERENTIATION_CS_ID,0))</f>
      </c>
      <c r="T4" s="448" t="s">
        <v>1471</v>
      </c>
      <c r="U4" s="437"/>
      <c r="V4" s="3964"/>
      <c r="W4" s="3965"/>
      <c r="X4" s="3965"/>
      <c r="Y4" s="3965"/>
      <c r="Z4" s="3965"/>
      <c r="AA4" s="3965"/>
      <c r="AB4" s="3965"/>
      <c r="AC4" s="3966"/>
      <c r="AD4" s="3964">
        <f>INDEX(PT_DIFFERENTIATION_CS,MATCH(C4,PT_DIFFERENTIATION_CS_ID,0))</f>
      </c>
      <c r="AE4" s="3965"/>
      <c r="AF4" s="3965"/>
      <c r="AG4" s="3965"/>
      <c r="AH4" s="3965"/>
      <c r="AI4" s="3965"/>
      <c r="AJ4" s="3965"/>
      <c r="AK4" s="3965"/>
      <c r="AL4" s="3966"/>
      <c r="AM4" s="1473" t="s">
        <v>1472</v>
      </c>
      <c r="AO4" s="664"/>
      <c r="AP4" s="664" t="str">
        <f>IF(T4="","",T4)</f>
        <v>Наименование системы теплоснабжения </v>
      </c>
      <c r="AQ4" s="664"/>
      <c r="AR4" s="664"/>
    </row>
    <row customHeight="1" ht="21" hidden="1">
      <c r="A5" s="1586"/>
      <c r="B5" s="1586"/>
      <c r="C5" s="1586"/>
      <c r="D5" s="1586"/>
      <c r="E5" s="2352"/>
      <c r="F5" s="2352"/>
      <c r="G5" s="2352"/>
      <c r="H5" s="2351">
        <v>1</v>
      </c>
      <c r="I5" s="1586"/>
      <c r="J5" s="1586"/>
      <c r="K5" s="1586"/>
      <c r="L5" s="1587"/>
      <c r="M5" s="1588"/>
      <c r="N5" s="1588"/>
      <c r="O5" s="1588"/>
      <c r="P5" s="502"/>
      <c r="Q5" s="500"/>
      <c r="R5" s="501"/>
      <c r="S5" s="1558">
        <f>INDEX(PT_DIFFERENTIATION_NUM_IST_TE,MATCH(D5,PT_DIFFERENTIATION_IST_TE_ID,0))</f>
      </c>
      <c r="T5" s="449" t="s">
        <v>1473</v>
      </c>
      <c r="U5" s="437"/>
      <c r="V5" s="3964"/>
      <c r="W5" s="3965"/>
      <c r="X5" s="3965"/>
      <c r="Y5" s="3965"/>
      <c r="Z5" s="3965"/>
      <c r="AA5" s="3965"/>
      <c r="AB5" s="3965"/>
      <c r="AC5" s="3966"/>
      <c r="AD5" s="3964">
        <f>INDEX(PT_DIFFERENTIATION_IST_TE,MATCH(D5,PT_DIFFERENTIATION_IST_TE_ID,0))</f>
      </c>
      <c r="AE5" s="3965"/>
      <c r="AF5" s="3965"/>
      <c r="AG5" s="3965"/>
      <c r="AH5" s="3965"/>
      <c r="AI5" s="3965"/>
      <c r="AJ5" s="3965"/>
      <c r="AK5" s="3965"/>
      <c r="AL5" s="3966"/>
      <c r="AM5" s="1473" t="s">
        <v>1474</v>
      </c>
      <c r="AO5" s="664"/>
      <c r="AP5" s="664" t="str">
        <f>IF(T5="","",T5)</f>
        <v>Источник тепловой энергии  </v>
      </c>
      <c r="AQ5" s="664"/>
      <c r="AR5" s="664"/>
    </row>
    <row customHeight="1" ht="47.25" hidden="1">
      <c r="A6" s="1586"/>
      <c r="B6" s="1586"/>
      <c r="C6" s="1586"/>
      <c r="D6" s="1586"/>
      <c r="E6" s="2352"/>
      <c r="F6" s="2352"/>
      <c r="G6" s="2352"/>
      <c r="H6" s="2352"/>
      <c r="I6" s="2380">
        <f>S5&amp;".1"</f>
      </c>
      <c r="J6" s="1586"/>
      <c r="K6" s="1586"/>
      <c r="L6" s="1587" t="s">
        <v>1475</v>
      </c>
      <c r="M6" s="701"/>
      <c r="P6" s="2350">
        <v>1</v>
      </c>
      <c r="Q6" s="1553"/>
      <c r="R6" s="504"/>
      <c r="S6" s="1558">
        <f>$I6</f>
      </c>
      <c r="T6" s="422" t="s">
        <v>1476</v>
      </c>
      <c r="U6" s="437"/>
      <c r="V6" s="2338"/>
      <c r="W6" s="2339"/>
      <c r="X6" s="2339"/>
      <c r="Y6" s="2339"/>
      <c r="Z6" s="2339"/>
      <c r="AA6" s="2339"/>
      <c r="AB6" s="2339"/>
      <c r="AC6" s="2340"/>
      <c r="AD6" s="2338"/>
      <c r="AE6" s="2339"/>
      <c r="AF6" s="2339"/>
      <c r="AG6" s="2339"/>
      <c r="AH6" s="2339"/>
      <c r="AI6" s="2339"/>
      <c r="AJ6" s="2339"/>
      <c r="AK6" s="2339"/>
      <c r="AL6" s="2340"/>
      <c r="AM6" s="1473" t="s">
        <v>1477</v>
      </c>
      <c r="AO6" s="664"/>
      <c r="AP6" s="664" t="str">
        <f>IF(T6="","",T6)</f>
        <v>Схема подключения теплопотребляющей установки к коллектору источника тепловой энергии</v>
      </c>
      <c r="AQ6" s="664"/>
      <c r="AR6" s="664"/>
    </row>
    <row customHeight="1" ht="21" hidden="1">
      <c r="A7" s="1586"/>
      <c r="B7" s="1586"/>
      <c r="C7" s="1586"/>
      <c r="D7" s="1586"/>
      <c r="E7" s="2352"/>
      <c r="F7" s="2352"/>
      <c r="G7" s="2352"/>
      <c r="H7" s="2352"/>
      <c r="I7" s="2381"/>
      <c r="J7" s="2349">
        <f>I6&amp;".1"</f>
      </c>
      <c r="K7" s="1586"/>
      <c r="L7" s="1587" t="s">
        <v>1478</v>
      </c>
      <c r="M7" s="701"/>
      <c r="N7" s="1589"/>
      <c r="P7" s="2350"/>
      <c r="Q7" s="2350">
        <v>1</v>
      </c>
      <c r="R7" s="505"/>
      <c r="S7" s="1558">
        <f>$J7</f>
      </c>
      <c r="T7" s="423" t="s">
        <v>1479</v>
      </c>
      <c r="U7" s="437"/>
      <c r="V7" s="2338"/>
      <c r="W7" s="2339"/>
      <c r="X7" s="2339"/>
      <c r="Y7" s="2339"/>
      <c r="Z7" s="2339"/>
      <c r="AA7" s="2339"/>
      <c r="AB7" s="2339"/>
      <c r="AC7" s="2340"/>
      <c r="AD7" s="2338"/>
      <c r="AE7" s="2339"/>
      <c r="AF7" s="2339"/>
      <c r="AG7" s="2339"/>
      <c r="AH7" s="2339"/>
      <c r="AI7" s="2339"/>
      <c r="AJ7" s="2339"/>
      <c r="AK7" s="2339"/>
      <c r="AL7" s="2340"/>
      <c r="AM7" s="1473" t="s">
        <v>1480</v>
      </c>
      <c r="AO7" s="664"/>
      <c r="AP7" s="664" t="str">
        <f>IF(T7="","",T7)</f>
        <v>Группа потребителей</v>
      </c>
      <c r="AQ7" s="664"/>
      <c r="AR7" s="664"/>
    </row>
    <row customHeight="1" ht="21" hidden="1">
      <c r="A8" s="1586"/>
      <c r="B8" s="1586"/>
      <c r="C8" s="1586"/>
      <c r="D8" s="1586"/>
      <c r="E8" s="2352"/>
      <c r="F8" s="2352"/>
      <c r="G8" s="2352"/>
      <c r="H8" s="2352"/>
      <c r="I8" s="2381"/>
      <c r="J8" s="2382"/>
      <c r="K8" s="2349">
        <f>J7&amp;".1"</f>
      </c>
      <c r="L8" s="1587" t="s">
        <v>1481</v>
      </c>
      <c r="M8" s="701"/>
      <c r="N8" s="1589"/>
      <c r="O8" s="1589"/>
      <c r="P8" s="2350"/>
      <c r="Q8" s="2350"/>
      <c r="R8" s="505">
        <v>1</v>
      </c>
      <c r="S8" s="1558">
        <f>$K8</f>
      </c>
      <c r="T8" s="1569"/>
      <c r="U8" s="437"/>
      <c r="V8" s="3992"/>
      <c r="W8" s="3993"/>
      <c r="X8" s="3992"/>
      <c r="Y8" s="3994"/>
      <c r="Z8" s="2357"/>
      <c r="AA8" s="2069" t="s">
        <v>66</v>
      </c>
      <c r="AB8" s="2357"/>
      <c r="AC8" s="2069" t="s">
        <v>66</v>
      </c>
      <c r="AD8" s="3992"/>
      <c r="AE8" s="3993"/>
      <c r="AF8" s="3992"/>
      <c r="AG8" s="3994"/>
      <c r="AH8" s="2357"/>
      <c r="AI8" s="2069" t="s">
        <v>66</v>
      </c>
      <c r="AJ8" s="2357"/>
      <c r="AK8" s="2069" t="s">
        <v>66</v>
      </c>
      <c r="AL8" s="3993"/>
      <c r="AM8" s="2346" t="s">
        <v>1482</v>
      </c>
      <c r="AN8" s="675">
        <f>STRCHECKDATE(V9:AL9)</f>
      </c>
      <c r="AO8" s="664"/>
      <c r="AP8" s="664" t="str">
        <f>IF(T8="","",T8)</f>
        <v/>
      </c>
      <c r="AQ8" s="664"/>
      <c r="AR8" s="664"/>
    </row>
    <row customHeight="1" ht="0.75" hidden="1">
      <c r="A9" s="1586"/>
      <c r="B9" s="1586"/>
      <c r="C9" s="1586"/>
      <c r="D9" s="1586"/>
      <c r="E9" s="2352"/>
      <c r="F9" s="2352"/>
      <c r="G9" s="2352"/>
      <c r="H9" s="2352"/>
      <c r="I9" s="2381"/>
      <c r="J9" s="2382"/>
      <c r="K9" s="2349"/>
      <c r="L9" s="1587"/>
      <c r="M9" s="701"/>
      <c r="N9" s="1589"/>
      <c r="O9" s="1589"/>
      <c r="P9" s="2350"/>
      <c r="Q9" s="2350"/>
      <c r="R9" s="505"/>
      <c r="S9" s="1564"/>
      <c r="T9" s="437"/>
      <c r="U9" s="437"/>
      <c r="V9" s="3993"/>
      <c r="W9" s="3993"/>
      <c r="X9" s="3993"/>
      <c r="Y9" s="3998" t="str">
        <f>Z8&amp;"-"&amp;AB8</f>
        <v>-</v>
      </c>
      <c r="Z9" s="2358"/>
      <c r="AA9" s="2069"/>
      <c r="AB9" s="2358"/>
      <c r="AC9" s="2069"/>
      <c r="AD9" s="3993"/>
      <c r="AE9" s="3993"/>
      <c r="AF9" s="3993"/>
      <c r="AG9" s="3998" t="str">
        <f>AH8&amp;"-"&amp;AJ8</f>
        <v>-</v>
      </c>
      <c r="AH9" s="2358"/>
      <c r="AI9" s="2069"/>
      <c r="AJ9" s="2358"/>
      <c r="AK9" s="2069"/>
      <c r="AL9" s="3993"/>
      <c r="AM9" s="2347"/>
      <c r="AO9" s="664"/>
      <c r="AP9" s="664" t="str">
        <f>IF(T9="","",T9)</f>
        <v/>
      </c>
      <c r="AQ9" s="664"/>
      <c r="AR9" s="664"/>
    </row>
    <row customHeight="1" ht="15" hidden="1">
      <c r="A10" s="1586"/>
      <c r="B10" s="1586"/>
      <c r="C10" s="1586"/>
      <c r="D10" s="1586"/>
      <c r="E10" s="2352"/>
      <c r="F10" s="2352"/>
      <c r="G10" s="2352"/>
      <c r="H10" s="2352"/>
      <c r="I10" s="2381"/>
      <c r="J10" s="2349"/>
      <c r="K10" s="1586"/>
      <c r="L10" s="1587"/>
      <c r="M10" s="701"/>
      <c r="N10" s="1589"/>
      <c r="P10" s="2350"/>
      <c r="Q10" s="2350"/>
      <c r="R10" s="504"/>
      <c r="S10" s="1495"/>
      <c r="T10" s="425" t="s">
        <v>1483</v>
      </c>
      <c r="U10" s="519"/>
      <c r="V10" s="519"/>
      <c r="W10" s="519"/>
      <c r="X10" s="519"/>
      <c r="Y10" s="519"/>
      <c r="Z10" s="519"/>
      <c r="AA10" s="519"/>
      <c r="AB10" s="519"/>
      <c r="AC10" s="519"/>
      <c r="AD10" s="519"/>
      <c r="AE10" s="519"/>
      <c r="AF10" s="519"/>
      <c r="AG10" s="519"/>
      <c r="AH10" s="519"/>
      <c r="AI10" s="519"/>
      <c r="AJ10" s="519"/>
      <c r="AK10" s="519"/>
      <c r="AL10" s="471"/>
      <c r="AM10" s="2348"/>
      <c r="AO10" s="664"/>
      <c r="AP10" s="664" t="str">
        <f>IF(T10="","",T10)</f>
        <v>Добавить вид теплоносителя (параметры теплоносителя)</v>
      </c>
      <c r="AQ10" s="664"/>
      <c r="AR10" s="664"/>
    </row>
    <row customHeight="1" ht="15" hidden="1">
      <c r="A11" s="1586"/>
      <c r="B11" s="1586"/>
      <c r="C11" s="1586"/>
      <c r="D11" s="1586"/>
      <c r="E11" s="2352"/>
      <c r="F11" s="2352"/>
      <c r="G11" s="2352"/>
      <c r="H11" s="2352"/>
      <c r="I11" s="2380"/>
      <c r="J11" s="1586"/>
      <c r="K11" s="1586"/>
      <c r="L11" s="1587"/>
      <c r="M11" s="701"/>
      <c r="P11" s="2350"/>
      <c r="Q11" s="1553"/>
      <c r="R11" s="504"/>
      <c r="S11" s="1495"/>
      <c r="T11" s="424" t="s">
        <v>1484</v>
      </c>
      <c r="U11" s="519"/>
      <c r="V11" s="519"/>
      <c r="W11" s="519"/>
      <c r="X11" s="519"/>
      <c r="Y11" s="519"/>
      <c r="Z11" s="519"/>
      <c r="AA11" s="519"/>
      <c r="AB11" s="519"/>
      <c r="AC11" s="518"/>
      <c r="AD11" s="519"/>
      <c r="AE11" s="519"/>
      <c r="AF11" s="519"/>
      <c r="AG11" s="519"/>
      <c r="AH11" s="519"/>
      <c r="AI11" s="519"/>
      <c r="AJ11" s="519"/>
      <c r="AK11" s="518"/>
      <c r="AL11" s="519"/>
      <c r="AM11" s="440"/>
      <c r="AO11" s="664"/>
      <c r="AP11" s="664" t="str">
        <f>IF(T11="","",T11)</f>
        <v>Добавить группу потребителей</v>
      </c>
      <c r="AQ11" s="664"/>
      <c r="AR11" s="664"/>
    </row>
    <row customHeight="1" ht="14.25" hidden="1">
      <c r="A12" s="1586"/>
      <c r="B12" s="1586"/>
      <c r="C12" s="1586"/>
      <c r="D12" s="1586"/>
      <c r="E12" s="2352"/>
      <c r="F12" s="2352"/>
      <c r="G12" s="2352"/>
      <c r="H12" s="2351"/>
      <c r="I12" s="1586"/>
      <c r="J12" s="1586"/>
      <c r="K12" s="1586"/>
      <c r="L12" s="1587"/>
      <c r="M12" s="1588"/>
      <c r="N12" s="1588"/>
      <c r="O12" s="701"/>
      <c r="P12" s="508"/>
      <c r="Q12" s="528"/>
      <c r="R12" s="503"/>
      <c r="S12" s="1495"/>
      <c r="T12" s="516" t="s">
        <v>1485</v>
      </c>
      <c r="U12" s="519"/>
      <c r="V12" s="519"/>
      <c r="W12" s="519"/>
      <c r="X12" s="519"/>
      <c r="Y12" s="519"/>
      <c r="Z12" s="519"/>
      <c r="AA12" s="519"/>
      <c r="AB12" s="519"/>
      <c r="AC12" s="518"/>
      <c r="AD12" s="519"/>
      <c r="AE12" s="519"/>
      <c r="AF12" s="519"/>
      <c r="AG12" s="519"/>
      <c r="AH12" s="519"/>
      <c r="AI12" s="519"/>
      <c r="AJ12" s="519"/>
      <c r="AK12" s="518"/>
      <c r="AL12" s="519"/>
      <c r="AM12" s="440"/>
      <c r="AO12" s="664"/>
      <c r="AP12" s="664" t="str">
        <f>IF(T12="","",T12)</f>
        <v>Добавить схему подключения</v>
      </c>
      <c r="AQ12" s="664"/>
      <c r="AR12" s="664"/>
    </row>
    <row s="6520" customFormat="1" customHeight="1" ht="0.75" hidden="1">
      <c r="A13" s="1536"/>
      <c r="B13" s="1536"/>
      <c r="C13" s="1536"/>
      <c r="D13" s="1536"/>
      <c r="E13" s="2352"/>
      <c r="F13" s="2352"/>
      <c r="G13" s="2351"/>
      <c r="H13" s="1536"/>
      <c r="I13" s="1536"/>
      <c r="J13" s="1536"/>
      <c r="K13" s="1536"/>
      <c r="L13" s="1561"/>
      <c r="M13" s="1537"/>
      <c r="N13" s="1537"/>
      <c r="P13" s="1538"/>
      <c r="Q13" s="1539"/>
      <c r="R13" s="1538"/>
      <c r="S13" s="1540"/>
      <c r="T13" s="1541" t="s">
        <v>1444</v>
      </c>
      <c r="U13" s="1542"/>
      <c r="V13" s="1542"/>
      <c r="W13" s="1542"/>
      <c r="X13" s="1542"/>
      <c r="Y13" s="1542"/>
      <c r="Z13" s="1542"/>
      <c r="AA13" s="1542"/>
      <c r="AB13" s="1542"/>
      <c r="AC13" s="1542"/>
      <c r="AD13" s="1542"/>
      <c r="AE13" s="1542"/>
      <c r="AF13" s="1542"/>
      <c r="AG13" s="1542"/>
      <c r="AH13" s="1542"/>
      <c r="AI13" s="1542"/>
      <c r="AJ13" s="1542"/>
      <c r="AK13" s="1542"/>
      <c r="AL13" s="1542"/>
      <c r="AM13" s="1542"/>
      <c r="AO13" s="956"/>
      <c r="AP13" s="956" t="str">
        <f>IF(T13="","",T13)</f>
        <v>Добавить источник для дифференциации</v>
      </c>
      <c r="AQ13" s="956"/>
      <c r="AR13" s="956"/>
    </row>
    <row s="6520" customFormat="1" customHeight="1" ht="0.75" hidden="1">
      <c r="A14" s="1536"/>
      <c r="B14" s="1536"/>
      <c r="C14" s="1536"/>
      <c r="D14" s="1536"/>
      <c r="E14" s="2352"/>
      <c r="F14" s="2351"/>
      <c r="G14" s="1536"/>
      <c r="H14" s="1536"/>
      <c r="I14" s="1536"/>
      <c r="J14" s="1536"/>
      <c r="K14" s="1536"/>
      <c r="L14" s="1561"/>
      <c r="M14" s="1543"/>
      <c r="N14" s="1543"/>
      <c r="P14" s="1538"/>
      <c r="Q14" s="1539"/>
      <c r="R14" s="1538"/>
      <c r="S14" s="1544"/>
      <c r="T14" s="1545" t="s">
        <v>1445</v>
      </c>
      <c r="U14" s="1546"/>
      <c r="V14" s="1546"/>
      <c r="W14" s="1546"/>
      <c r="X14" s="1546"/>
      <c r="Y14" s="1546"/>
      <c r="Z14" s="1546"/>
      <c r="AA14" s="1546"/>
      <c r="AB14" s="1546"/>
      <c r="AC14" s="1546"/>
      <c r="AD14" s="1546"/>
      <c r="AE14" s="1546"/>
      <c r="AF14" s="1546"/>
      <c r="AG14" s="1546"/>
      <c r="AH14" s="1546"/>
      <c r="AI14" s="1546"/>
      <c r="AJ14" s="1546"/>
      <c r="AK14" s="1546"/>
      <c r="AL14" s="1546"/>
      <c r="AM14" s="1546"/>
      <c r="AO14" s="956"/>
      <c r="AP14" s="956" t="str">
        <f>IF(T14="","",T14)</f>
        <v>Добавить централизованную систему для дифференциации</v>
      </c>
      <c r="AQ14" s="956"/>
      <c r="AR14" s="956"/>
    </row>
    <row s="6520" customFormat="1" customHeight="1" ht="0.75" hidden="1">
      <c r="A15" s="1536"/>
      <c r="B15" s="1536"/>
      <c r="C15" s="1536"/>
      <c r="D15" s="1536"/>
      <c r="E15" s="2351"/>
      <c r="F15" s="1536"/>
      <c r="G15" s="1536"/>
      <c r="H15" s="1536"/>
      <c r="I15" s="1536"/>
      <c r="J15" s="1536"/>
      <c r="K15" s="1536"/>
      <c r="L15" s="1561"/>
      <c r="M15" s="1543"/>
      <c r="N15" s="1543"/>
      <c r="P15" s="1538"/>
      <c r="Q15" s="1539"/>
      <c r="R15" s="1538"/>
      <c r="S15" s="1544"/>
      <c r="T15" s="1547" t="s">
        <v>1446</v>
      </c>
      <c r="U15" s="1546"/>
      <c r="V15" s="1546"/>
      <c r="W15" s="1546"/>
      <c r="X15" s="1546"/>
      <c r="Y15" s="1546"/>
      <c r="Z15" s="1546"/>
      <c r="AA15" s="1546"/>
      <c r="AB15" s="1546"/>
      <c r="AC15" s="1546"/>
      <c r="AD15" s="1546"/>
      <c r="AE15" s="1546"/>
      <c r="AF15" s="1546"/>
      <c r="AG15" s="1546"/>
      <c r="AH15" s="1546"/>
      <c r="AI15" s="1546"/>
      <c r="AJ15" s="1546"/>
      <c r="AK15" s="1546"/>
      <c r="AL15" s="1546"/>
      <c r="AM15" s="1546"/>
      <c r="AO15" s="956"/>
      <c r="AP15" s="956" t="str">
        <f>IF(T15="","",T15)</f>
        <v>Добавить территорию для дифференциации</v>
      </c>
      <c r="AQ15" s="956"/>
      <c r="AR15" s="956"/>
    </row>
    <row customHeight="1" ht="14.25" hidden="1">
      <c r="AC16" s="475"/>
      <c r="AK16" s="475"/>
    </row>
    <row customHeight="1" ht="14.25" hidden="1">
      <c r="AD17" s="4025"/>
      <c r="AE17" s="4025"/>
      <c r="AF17" s="4025"/>
      <c r="AG17" s="4026"/>
      <c r="AH17" s="2359"/>
      <c r="AI17" s="2360" t="s">
        <v>66</v>
      </c>
      <c r="AJ17" s="2359"/>
      <c r="AK17" s="2360" t="s">
        <v>66</v>
      </c>
    </row>
    <row customHeight="1" ht="14.25" hidden="1">
      <c r="AD18" s="4025"/>
      <c r="AE18" s="4025"/>
      <c r="AF18" s="4025"/>
      <c r="AG18" s="3998" t="str">
        <f>AH17&amp;"-"&amp;AJ17</f>
        <v>-</v>
      </c>
      <c r="AH18" s="2360"/>
      <c r="AI18" s="2360"/>
      <c r="AJ18" s="2360"/>
      <c r="AK18" s="2360"/>
    </row>
    <row customHeight="1" ht="14.25" hidden="1">
      <c r="AK19" s="475"/>
    </row>
    <row s="6539" customFormat="1" customHeight="1" ht="22.5" hidden="1">
      <c r="L20" s="1551"/>
      <c r="M20" s="1585"/>
      <c r="N20" s="1585"/>
      <c r="O20" s="1590" t="s">
        <v>1486</v>
      </c>
      <c r="P20" s="1585"/>
      <c r="Q20" s="1594"/>
      <c r="R20" s="1594"/>
      <c r="S20" s="894"/>
      <c r="Z20" s="1590"/>
      <c r="AB20" s="1590"/>
      <c r="AC20" s="1589"/>
      <c r="AH20" s="1590"/>
      <c r="AJ20" s="1590"/>
      <c r="AK20" s="1589"/>
      <c r="AN20" s="675"/>
      <c r="AO20" s="675"/>
      <c r="AP20" s="675"/>
      <c r="AQ20" s="675"/>
      <c r="AR20" s="675"/>
    </row>
    <row s="6539" customFormat="1" customHeight="1" ht="14.25" hidden="1">
      <c r="L21" s="1551"/>
      <c r="M21" s="1585"/>
      <c r="N21" s="1585"/>
      <c r="O21" s="1585"/>
      <c r="P21" s="1585"/>
      <c r="Q21" s="1594"/>
      <c r="R21" s="1594"/>
      <c r="S21" s="894"/>
      <c r="AC21" s="1589"/>
      <c r="AK21" s="1589"/>
      <c r="AN21" s="675"/>
      <c r="AO21" s="675"/>
      <c r="AP21" s="675"/>
      <c r="AQ21" s="675"/>
      <c r="AR21" s="675"/>
    </row>
    <row s="6539" customFormat="1" customHeight="1" ht="14.25" hidden="1">
      <c r="L22" s="1551"/>
      <c r="M22" s="1585"/>
      <c r="N22" s="1585"/>
      <c r="O22" s="1587" t="s">
        <v>1487</v>
      </c>
      <c r="P22" s="1585"/>
      <c r="Q22" s="1594"/>
      <c r="R22" s="1594"/>
      <c r="S22" s="894"/>
      <c r="T22" s="1348" t="s">
        <v>1488</v>
      </c>
      <c r="AA22" s="320" t="s">
        <v>1489</v>
      </c>
      <c r="AC22" s="320" t="s">
        <v>1490</v>
      </c>
      <c r="AD22" s="1348" t="s">
        <v>1488</v>
      </c>
      <c r="AI22" s="320" t="s">
        <v>1491</v>
      </c>
      <c r="AK22" s="320" t="s">
        <v>1490</v>
      </c>
      <c r="AN22" s="675"/>
      <c r="AO22" s="675"/>
      <c r="AP22" s="675"/>
      <c r="AQ22" s="675"/>
      <c r="AR22" s="675"/>
    </row>
    <row customHeight="1" ht="14.25" hidden="1">
      <c r="O23" s="1587"/>
    </row>
    <row customHeight="1" ht="14.25" hidden="1">
      <c r="O24" s="1587"/>
    </row>
    <row customHeight="1" ht="14.25">
      <c r="Q25" s="529"/>
      <c r="R25" s="529"/>
      <c r="S25" s="1492"/>
      <c r="T25" s="513"/>
      <c r="U25" s="513"/>
      <c r="V25" s="673"/>
      <c r="W25" s="673"/>
      <c r="X25" s="673"/>
      <c r="Y25" s="673"/>
      <c r="Z25" s="673"/>
      <c r="AA25" s="673"/>
      <c r="AB25" s="673"/>
      <c r="AC25" s="673"/>
      <c r="AD25" s="673"/>
      <c r="AE25" s="673"/>
      <c r="AF25" s="673"/>
      <c r="AG25" s="673"/>
      <c r="AH25" s="673"/>
      <c r="AI25" s="673"/>
      <c r="AJ25" s="673"/>
      <c r="AK25" s="673"/>
    </row>
    <row customHeight="1" ht="64.5">
      <c r="Q26" s="529"/>
      <c r="R26" s="529"/>
      <c r="S26" s="2341"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41"/>
      <c r="U26" s="2341"/>
      <c r="V26" s="2341"/>
      <c r="W26" s="2341"/>
      <c r="X26" s="2341"/>
      <c r="Y26" s="2341"/>
      <c r="Z26" s="2341"/>
      <c r="AA26" s="2341"/>
      <c r="AB26" s="2341"/>
      <c r="AC26" s="2341"/>
      <c r="AD26" s="2341"/>
      <c r="AE26" s="2341"/>
      <c r="AF26" s="2341"/>
      <c r="AG26" s="2341"/>
      <c r="AH26" s="2341"/>
      <c r="AI26" s="2341"/>
      <c r="AJ26" s="2341"/>
      <c r="AK26" s="1448"/>
    </row>
    <row customHeight="1" ht="14.25">
      <c r="Q27" s="529"/>
      <c r="R27" s="529"/>
      <c r="S27"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42"/>
      <c r="U27" s="2342"/>
      <c r="V27" s="2342"/>
      <c r="W27" s="2342"/>
      <c r="X27" s="2342"/>
      <c r="Y27" s="2342"/>
      <c r="Z27" s="2342"/>
      <c r="AA27" s="2342"/>
      <c r="AB27" s="2342"/>
      <c r="AC27" s="2342"/>
      <c r="AD27" s="2342"/>
      <c r="AE27" s="2342"/>
      <c r="AF27" s="2342"/>
      <c r="AG27" s="2342"/>
      <c r="AH27" s="2342"/>
      <c r="AI27" s="2342"/>
      <c r="AJ27" s="2342"/>
      <c r="AK27" s="1448"/>
    </row>
    <row customHeight="1" ht="14.25" hidden="1">
      <c r="Q28" s="529"/>
      <c r="R28" s="529"/>
      <c r="S28" s="1492"/>
      <c r="T28" s="513"/>
      <c r="U28" s="513"/>
      <c r="V28" s="468"/>
      <c r="W28" s="468"/>
      <c r="X28" s="468"/>
      <c r="Y28" s="468"/>
      <c r="Z28" s="468"/>
      <c r="AA28" s="468"/>
      <c r="AB28" s="468"/>
      <c r="AC28" s="468"/>
      <c r="AD28" s="468"/>
      <c r="AE28" s="468"/>
      <c r="AF28" s="468"/>
      <c r="AG28" s="468"/>
      <c r="AH28" s="468"/>
      <c r="AI28" s="468"/>
      <c r="AJ28" s="468"/>
      <c r="AK28" s="468"/>
      <c r="AL28" s="673"/>
    </row>
    <row s="6550" customFormat="1" customHeight="1" ht="25.5" hidden="1">
      <c r="A29" s="1591"/>
      <c r="B29" s="1591"/>
      <c r="C29" s="1591"/>
      <c r="D29" s="1591"/>
      <c r="E29" s="1591"/>
      <c r="F29" s="1591"/>
      <c r="G29" s="1591"/>
      <c r="H29" s="1591"/>
      <c r="I29" s="1591"/>
      <c r="J29" s="1591"/>
      <c r="K29" s="1591"/>
      <c r="L29" s="1592"/>
      <c r="M29" s="1591"/>
      <c r="N29" s="1591"/>
      <c r="O29" s="1591"/>
      <c r="S29" s="2343" t="s">
        <v>39</v>
      </c>
      <c r="T29" s="2343"/>
      <c r="U29" s="1595"/>
      <c r="V29" s="2344" t="str">
        <f>IF(TITLE_NAME_OR_PR_CHANGE="",IF(TITLE_NAME_OR_PR="","",TITLE_NAME_OR_PR),TITLE_NAME_OR_PR_CHANGE)</f>
        <v/>
      </c>
      <c r="W29" s="2344"/>
      <c r="X29" s="2344"/>
      <c r="Y29" s="2344"/>
      <c r="Z29" s="2344"/>
      <c r="AA29" s="2344"/>
      <c r="AB29" s="2344"/>
      <c r="AC29" s="474"/>
      <c r="AD29" s="2344" t="str">
        <f>IF(TITLE_NAME_OR_PR_CHANGE="",IF(TITLE_NAME_OR_PR="","",TITLE_NAME_OR_PR),TITLE_NAME_OR_PR_CHANGE)</f>
        <v/>
      </c>
      <c r="AE29" s="2344"/>
      <c r="AF29" s="2344"/>
      <c r="AG29" s="2344"/>
      <c r="AH29" s="2344"/>
      <c r="AI29" s="2344"/>
      <c r="AJ29" s="2344"/>
      <c r="AK29" s="474"/>
      <c r="AL29" s="474"/>
      <c r="AM29" s="417"/>
      <c r="AN29" s="520"/>
      <c r="AO29" s="520"/>
      <c r="AP29" s="520"/>
      <c r="AQ29" s="520"/>
      <c r="AR29" s="520"/>
    </row>
    <row s="6550" customFormat="1" customHeight="1" ht="18.75" hidden="1">
      <c r="A30" s="1591"/>
      <c r="B30" s="1591"/>
      <c r="C30" s="1591"/>
      <c r="D30" s="1591"/>
      <c r="E30" s="1591"/>
      <c r="F30" s="1591"/>
      <c r="G30" s="1591"/>
      <c r="H30" s="1591"/>
      <c r="I30" s="1591"/>
      <c r="J30" s="1591"/>
      <c r="K30" s="1591"/>
      <c r="L30" s="1592"/>
      <c r="M30" s="1591"/>
      <c r="N30" s="1591"/>
      <c r="O30" s="1591"/>
      <c r="S30" s="2343" t="s">
        <v>1492</v>
      </c>
      <c r="T30" s="2343"/>
      <c r="U30" s="1595"/>
      <c r="V30" s="2344" t="str">
        <f>IF(TITLE_DATE_CHANGE_PERIOD="",IF(TITLE_DATE_PR="","",TITLE_DATE_PR),TITLE_DATE_CHANGE_PERIOD)</f>
        <v/>
      </c>
      <c r="W30" s="2344"/>
      <c r="X30" s="2344"/>
      <c r="Y30" s="2344"/>
      <c r="Z30" s="2344"/>
      <c r="AA30" s="2344"/>
      <c r="AB30" s="2344"/>
      <c r="AC30" s="474"/>
      <c r="AD30" s="2344" t="str">
        <f>IF(TITLE_DATE_CHANGE_PERIOD="",IF(TITLE_DATE_PR="","",TITLE_DATE_PR),TITLE_DATE_CHANGE_PERIOD)</f>
        <v/>
      </c>
      <c r="AE30" s="2344"/>
      <c r="AF30" s="2344"/>
      <c r="AG30" s="2344"/>
      <c r="AH30" s="2344"/>
      <c r="AI30" s="2344"/>
      <c r="AJ30" s="2344"/>
      <c r="AK30" s="474"/>
      <c r="AL30" s="474"/>
      <c r="AM30" s="417"/>
      <c r="AN30" s="520"/>
      <c r="AO30" s="520"/>
      <c r="AP30" s="520"/>
      <c r="AQ30" s="520"/>
      <c r="AR30" s="520"/>
    </row>
    <row s="6550" customFormat="1" customHeight="1" ht="18.75" hidden="1">
      <c r="A31" s="1591"/>
      <c r="B31" s="1591"/>
      <c r="C31" s="1591"/>
      <c r="D31" s="1591"/>
      <c r="E31" s="1591"/>
      <c r="F31" s="1591"/>
      <c r="G31" s="1591"/>
      <c r="H31" s="1591"/>
      <c r="I31" s="1591"/>
      <c r="J31" s="1591"/>
      <c r="K31" s="1591"/>
      <c r="L31" s="1592"/>
      <c r="M31" s="1591"/>
      <c r="N31" s="1591"/>
      <c r="O31" s="1591"/>
      <c r="S31" s="2343" t="s">
        <v>1493</v>
      </c>
      <c r="T31" s="2343"/>
      <c r="U31" s="1595"/>
      <c r="V31" s="2344" t="str">
        <f>IF(TITLE_NUMBER_PR_CHANGE="",IF(TITLE_NUMBER_PR="","",TITLE_NUMBER_PR),TITLE_NUMBER_PR_CHANGE)</f>
        <v/>
      </c>
      <c r="W31" s="2344"/>
      <c r="X31" s="2344"/>
      <c r="Y31" s="2344"/>
      <c r="Z31" s="2344"/>
      <c r="AA31" s="2344"/>
      <c r="AB31" s="2344"/>
      <c r="AC31" s="474"/>
      <c r="AD31" s="2344" t="str">
        <f>IF(TITLE_NUMBER_PR_CHANGE="",IF(TITLE_NUMBER_PR="","",TITLE_NUMBER_PR),TITLE_NUMBER_PR_CHANGE)</f>
        <v/>
      </c>
      <c r="AE31" s="2344"/>
      <c r="AF31" s="2344"/>
      <c r="AG31" s="2344"/>
      <c r="AH31" s="2344"/>
      <c r="AI31" s="2344"/>
      <c r="AJ31" s="2344"/>
      <c r="AK31" s="474"/>
      <c r="AL31" s="474"/>
      <c r="AM31" s="417"/>
      <c r="AN31" s="520"/>
      <c r="AO31" s="520"/>
      <c r="AP31" s="520"/>
      <c r="AQ31" s="520"/>
      <c r="AR31" s="520"/>
    </row>
    <row s="6550" customFormat="1" customHeight="1" ht="18.75" hidden="1">
      <c r="A32" s="1591"/>
      <c r="B32" s="1591"/>
      <c r="C32" s="1591"/>
      <c r="D32" s="1591"/>
      <c r="E32" s="1591"/>
      <c r="F32" s="1591"/>
      <c r="G32" s="1591"/>
      <c r="H32" s="1591"/>
      <c r="I32" s="1591"/>
      <c r="J32" s="1591"/>
      <c r="K32" s="1591"/>
      <c r="L32" s="1592"/>
      <c r="M32" s="1591"/>
      <c r="N32" s="1591"/>
      <c r="O32" s="1591"/>
      <c r="S32" s="2343" t="s">
        <v>40</v>
      </c>
      <c r="T32" s="2343"/>
      <c r="U32" s="1595"/>
      <c r="V32" s="2344" t="str">
        <f>IF(TITLE_IST_PUB_CHANGE="",IF(TITLE_IST_PUB="","",TITLE_IST_PUB),TITLE_IST_PUB_CHANGE)</f>
        <v/>
      </c>
      <c r="W32" s="2344"/>
      <c r="X32" s="2344"/>
      <c r="Y32" s="2344"/>
      <c r="Z32" s="2344"/>
      <c r="AA32" s="2344"/>
      <c r="AB32" s="2344"/>
      <c r="AC32" s="474"/>
      <c r="AD32" s="2344" t="str">
        <f>IF(TITLE_IST_PUB_CHANGE="",IF(TITLE_IST_PUB="","",TITLE_IST_PUB),TITLE_IST_PUB_CHANGE)</f>
        <v/>
      </c>
      <c r="AE32" s="2344"/>
      <c r="AF32" s="2344"/>
      <c r="AG32" s="2344"/>
      <c r="AH32" s="2344"/>
      <c r="AI32" s="2344"/>
      <c r="AJ32" s="2344"/>
      <c r="AK32" s="474"/>
      <c r="AL32" s="474"/>
      <c r="AM32" s="417"/>
      <c r="AN32" s="520"/>
      <c r="AO32" s="520"/>
      <c r="AP32" s="520"/>
      <c r="AQ32" s="520"/>
      <c r="AR32" s="520"/>
    </row>
    <row customHeight="1" ht="14.25" hidden="1">
      <c r="Q33" s="529"/>
      <c r="R33" s="529"/>
      <c r="S33" s="1492"/>
      <c r="T33" s="513"/>
      <c r="U33" s="513"/>
      <c r="V33" s="468"/>
      <c r="W33" s="468"/>
      <c r="X33" s="468"/>
      <c r="Y33" s="468"/>
      <c r="Z33" s="468"/>
      <c r="AA33" s="468"/>
      <c r="AB33" s="468"/>
      <c r="AC33" s="468"/>
      <c r="AD33" s="468"/>
      <c r="AE33" s="468"/>
      <c r="AF33" s="468"/>
      <c r="AG33" s="468"/>
      <c r="AH33" s="468"/>
      <c r="AI33" s="468"/>
      <c r="AJ33" s="468"/>
      <c r="AK33" s="468"/>
      <c r="AL33" s="673"/>
    </row>
    <row s="6550" customFormat="1" customHeight="1" ht="18.75" hidden="1">
      <c r="A34" s="1591"/>
      <c r="B34" s="1591"/>
      <c r="C34" s="1591"/>
      <c r="D34" s="1591"/>
      <c r="E34" s="1591"/>
      <c r="F34" s="1591"/>
      <c r="G34" s="1591"/>
      <c r="H34" s="1591"/>
      <c r="I34" s="1591"/>
      <c r="J34" s="1591"/>
      <c r="K34" s="1591"/>
      <c r="L34" s="1592"/>
      <c r="M34" s="1591"/>
      <c r="N34" s="1591"/>
      <c r="O34" s="1591"/>
      <c r="S34" s="2343" t="s">
        <v>1494</v>
      </c>
      <c r="T34" s="2343"/>
      <c r="U34" s="1595"/>
      <c r="V34" s="2344" t="str">
        <f>IF(TITLE_DATE_CHANGE_PERIOD="",IF(TITLE_DATE_PR="","",TITLE_DATE_PR),TITLE_DATE_CHANGE_PERIOD)</f>
        <v/>
      </c>
      <c r="W34" s="2344"/>
      <c r="X34" s="2344"/>
      <c r="Y34" s="2344"/>
      <c r="Z34" s="2344"/>
      <c r="AA34" s="2344"/>
      <c r="AB34" s="2344"/>
      <c r="AC34" s="474"/>
      <c r="AD34" s="2344" t="str">
        <f>IF(TITLE_DATE_CHANGE_PERIOD="",IF(TITLE_DATE_PR="","",TITLE_DATE_PR),TITLE_DATE_CHANGE_PERIOD)</f>
        <v/>
      </c>
      <c r="AE34" s="2344"/>
      <c r="AF34" s="2344"/>
      <c r="AG34" s="2344"/>
      <c r="AH34" s="2344"/>
      <c r="AI34" s="2344"/>
      <c r="AJ34" s="2344"/>
      <c r="AK34" s="474"/>
      <c r="AL34" s="474"/>
      <c r="AM34" s="417"/>
      <c r="AN34" s="520"/>
      <c r="AO34" s="520"/>
      <c r="AP34" s="520"/>
      <c r="AQ34" s="520"/>
      <c r="AR34" s="520"/>
    </row>
    <row s="6550" customFormat="1" customHeight="1" ht="18.75" hidden="1">
      <c r="A35" s="1591"/>
      <c r="B35" s="1591"/>
      <c r="C35" s="1591"/>
      <c r="D35" s="1591"/>
      <c r="E35" s="1591"/>
      <c r="F35" s="1591"/>
      <c r="G35" s="1591"/>
      <c r="H35" s="1591"/>
      <c r="I35" s="1591"/>
      <c r="J35" s="1591"/>
      <c r="K35" s="1591"/>
      <c r="L35" s="1592"/>
      <c r="M35" s="1591"/>
      <c r="N35" s="1591"/>
      <c r="O35" s="1591"/>
      <c r="S35" s="2343" t="s">
        <v>1495</v>
      </c>
      <c r="T35" s="2343"/>
      <c r="U35" s="1595"/>
      <c r="V35" s="2344" t="str">
        <f>IF(TITLE_NUMBER_PR_CHANGE="",IF(TITLE_NUMBER_PR="","",TITLE_NUMBER_PR),TITLE_NUMBER_PR_CHANGE)</f>
        <v/>
      </c>
      <c r="W35" s="2344"/>
      <c r="X35" s="2344"/>
      <c r="Y35" s="2344"/>
      <c r="Z35" s="2344"/>
      <c r="AA35" s="2344"/>
      <c r="AB35" s="2344"/>
      <c r="AC35" s="474"/>
      <c r="AD35" s="2344" t="str">
        <f>IF(TITLE_NUMBER_PR_CHANGE="",IF(TITLE_NUMBER_PR="","",TITLE_NUMBER_PR),TITLE_NUMBER_PR_CHANGE)</f>
        <v/>
      </c>
      <c r="AE35" s="2344"/>
      <c r="AF35" s="2344"/>
      <c r="AG35" s="2344"/>
      <c r="AH35" s="2344"/>
      <c r="AI35" s="2344"/>
      <c r="AJ35" s="2344"/>
      <c r="AK35" s="474"/>
      <c r="AL35" s="474"/>
      <c r="AM35" s="417"/>
      <c r="AN35" s="520"/>
      <c r="AO35" s="520"/>
      <c r="AP35" s="520"/>
      <c r="AQ35" s="520"/>
      <c r="AR35" s="520"/>
    </row>
    <row s="6550" customFormat="1" customHeight="1" ht="0">
      <c r="A36" s="1591"/>
      <c r="B36" s="1591"/>
      <c r="C36" s="1591"/>
      <c r="D36" s="1591"/>
      <c r="E36" s="1591"/>
      <c r="F36" s="1591"/>
      <c r="G36" s="1591"/>
      <c r="H36" s="1591"/>
      <c r="I36" s="1591"/>
      <c r="J36" s="1591"/>
      <c r="K36" s="1591"/>
      <c r="L36" s="1592"/>
      <c r="M36" s="1591"/>
      <c r="N36" s="1591"/>
      <c r="O36" s="1591"/>
      <c r="S36" s="470"/>
      <c r="T36" s="470"/>
      <c r="U36" s="1562"/>
      <c r="V36" s="474"/>
      <c r="W36" s="474"/>
      <c r="X36" s="474"/>
      <c r="Y36" s="474"/>
      <c r="Z36" s="474"/>
      <c r="AA36" s="474"/>
      <c r="AB36" s="474"/>
      <c r="AC36" s="415" t="s">
        <v>1496</v>
      </c>
      <c r="AD36" s="474"/>
      <c r="AE36" s="474"/>
      <c r="AF36" s="474"/>
      <c r="AG36" s="474"/>
      <c r="AH36" s="474"/>
      <c r="AI36" s="474"/>
      <c r="AJ36" s="474"/>
      <c r="AK36" s="415" t="s">
        <v>1496</v>
      </c>
      <c r="AN36" s="520"/>
      <c r="AO36" s="520"/>
      <c r="AP36" s="520"/>
      <c r="AQ36" s="520"/>
      <c r="AR36" s="520"/>
    </row>
    <row customHeight="1" ht="14.25">
      <c r="Q37" s="529"/>
      <c r="R37" s="529"/>
      <c r="S37" s="1492"/>
      <c r="T37" s="513"/>
      <c r="U37" s="1449"/>
      <c r="V37" s="2345"/>
      <c r="W37" s="2345"/>
      <c r="X37" s="2345"/>
      <c r="Y37" s="2345"/>
      <c r="Z37" s="2345"/>
      <c r="AA37" s="2345"/>
      <c r="AB37" s="2345"/>
      <c r="AC37" s="2345"/>
      <c r="AD37" s="2345"/>
      <c r="AE37" s="2345"/>
      <c r="AF37" s="2345"/>
      <c r="AG37" s="2345"/>
      <c r="AH37" s="2345"/>
      <c r="AI37" s="2345"/>
      <c r="AJ37" s="2345"/>
      <c r="AK37" s="2345"/>
    </row>
    <row customHeight="1" ht="14.25">
      <c r="Q38" s="529"/>
      <c r="R38" s="529"/>
      <c r="S38" s="2204" t="s">
        <v>300</v>
      </c>
      <c r="T38" s="2204"/>
      <c r="U38" s="2204"/>
      <c r="V38" s="2204"/>
      <c r="W38" s="2204"/>
      <c r="X38" s="2204"/>
      <c r="Y38" s="2204"/>
      <c r="Z38" s="2204"/>
      <c r="AA38" s="2204"/>
      <c r="AB38" s="2204"/>
      <c r="AC38" s="2204"/>
      <c r="AD38" s="2204"/>
      <c r="AE38" s="2204"/>
      <c r="AF38" s="2204"/>
      <c r="AG38" s="2204"/>
      <c r="AH38" s="2204"/>
      <c r="AI38" s="2204"/>
      <c r="AJ38" s="2204"/>
      <c r="AK38" s="2204"/>
      <c r="AL38" s="2204"/>
      <c r="AM38" s="2204" t="s">
        <v>301</v>
      </c>
    </row>
    <row customHeight="1" ht="14.25">
      <c r="Q39" s="529"/>
      <c r="R39" s="529"/>
      <c r="S39" s="2367" t="s">
        <v>87</v>
      </c>
      <c r="T39" s="2228" t="s">
        <v>1497</v>
      </c>
      <c r="U39" s="438"/>
      <c r="V39" s="2368" t="s">
        <v>1498</v>
      </c>
      <c r="W39" s="2369"/>
      <c r="X39" s="2369"/>
      <c r="Y39" s="2369"/>
      <c r="Z39" s="2369"/>
      <c r="AA39" s="2369"/>
      <c r="AB39" s="2370"/>
      <c r="AC39" s="2371" t="s">
        <v>1499</v>
      </c>
      <c r="AD39" s="2368" t="s">
        <v>1498</v>
      </c>
      <c r="AE39" s="2369"/>
      <c r="AF39" s="2369"/>
      <c r="AG39" s="2369"/>
      <c r="AH39" s="2369"/>
      <c r="AI39" s="2369"/>
      <c r="AJ39" s="2370"/>
      <c r="AK39" s="2371" t="s">
        <v>1500</v>
      </c>
      <c r="AL39" s="2374" t="s">
        <v>1501</v>
      </c>
      <c r="AM39" s="2204"/>
    </row>
    <row customHeight="1" ht="33.75">
      <c r="Q40" s="529"/>
      <c r="R40" s="529"/>
      <c r="S40" s="2367"/>
      <c r="T40" s="2228"/>
      <c r="U40" s="1216"/>
      <c r="V40" s="2353" t="s">
        <v>1502</v>
      </c>
      <c r="W40" s="2377" t="s">
        <v>1503</v>
      </c>
      <c r="X40" s="2355" t="s">
        <v>1504</v>
      </c>
      <c r="Y40" s="2356"/>
      <c r="Z40" s="2361" t="s">
        <v>1523</v>
      </c>
      <c r="AA40" s="2362"/>
      <c r="AB40" s="2363"/>
      <c r="AC40" s="2372"/>
      <c r="AD40" s="2353" t="s">
        <v>1502</v>
      </c>
      <c r="AE40" s="2377" t="s">
        <v>1503</v>
      </c>
      <c r="AF40" s="2355" t="s">
        <v>1504</v>
      </c>
      <c r="AG40" s="2356"/>
      <c r="AH40" s="2361" t="s">
        <v>1505</v>
      </c>
      <c r="AI40" s="2362"/>
      <c r="AJ40" s="2363"/>
      <c r="AK40" s="2372"/>
      <c r="AL40" s="2375"/>
      <c r="AM40" s="2204"/>
    </row>
    <row customHeight="1" ht="33.75">
      <c r="A41" s="1593"/>
      <c r="B41" s="1593" t="s">
        <v>144</v>
      </c>
      <c r="C41" s="1593" t="s">
        <v>145</v>
      </c>
      <c r="D41" s="1593" t="s">
        <v>146</v>
      </c>
      <c r="E41" s="1587" t="s">
        <v>1506</v>
      </c>
      <c r="F41" s="1587" t="s">
        <v>1507</v>
      </c>
      <c r="G41" s="1587" t="s">
        <v>1508</v>
      </c>
      <c r="H41" s="1587" t="s">
        <v>1509</v>
      </c>
      <c r="I41" s="1587" t="s">
        <v>1510</v>
      </c>
      <c r="J41" s="1587" t="s">
        <v>1511</v>
      </c>
      <c r="K41" s="1587" t="s">
        <v>1512</v>
      </c>
      <c r="L41" s="1587" t="s">
        <v>1487</v>
      </c>
      <c r="Q41" s="529"/>
      <c r="R41" s="529"/>
      <c r="S41" s="2367"/>
      <c r="T41" s="2228"/>
      <c r="U41" s="439"/>
      <c r="V41" s="2354"/>
      <c r="W41" s="2378"/>
      <c r="X41" s="1424" t="s">
        <v>1513</v>
      </c>
      <c r="Y41" s="1424" t="s">
        <v>1514</v>
      </c>
      <c r="Z41" s="1560" t="s">
        <v>1515</v>
      </c>
      <c r="AA41" s="2364" t="s">
        <v>1516</v>
      </c>
      <c r="AB41" s="2365"/>
      <c r="AC41" s="2373"/>
      <c r="AD41" s="2354"/>
      <c r="AE41" s="2378"/>
      <c r="AF41" s="1424" t="s">
        <v>1513</v>
      </c>
      <c r="AG41" s="1424" t="s">
        <v>1514</v>
      </c>
      <c r="AH41" s="1560" t="s">
        <v>1515</v>
      </c>
      <c r="AI41" s="2364" t="s">
        <v>1516</v>
      </c>
      <c r="AJ41" s="2365"/>
      <c r="AK41" s="2373"/>
      <c r="AL41" s="2376"/>
      <c r="AM41" s="2204"/>
    </row>
    <row s="5794" customFormat="1" customHeight="1" ht="11.25" hidden="1">
      <c r="A42" s="1593"/>
      <c r="B42" s="1593"/>
      <c r="C42" s="1593"/>
      <c r="D42" s="1593"/>
      <c r="E42" s="1593"/>
      <c r="F42" s="1593"/>
      <c r="G42" s="1593"/>
      <c r="H42" s="1593"/>
      <c r="I42" s="1593"/>
      <c r="J42" s="1593"/>
      <c r="K42" s="1593"/>
      <c r="L42" s="1587"/>
      <c r="M42" s="1585"/>
      <c r="N42" s="1585"/>
      <c r="O42" s="1585"/>
      <c r="P42" s="1451"/>
      <c r="Q42" s="1452"/>
      <c r="R42" s="1467">
        <v>1</v>
      </c>
      <c r="S42" s="1494" t="s">
        <v>118</v>
      </c>
      <c r="T42" s="1468" t="s">
        <v>102</v>
      </c>
      <c r="U42" s="1450" t="str">
        <f>OFFSET(U42,0,-1)</f>
        <v>2</v>
      </c>
      <c r="V42" s="1557">
        <f>OFFSET(V42,0,-1)+1</f>
        <v>3</v>
      </c>
      <c r="W42" s="1557"/>
      <c r="X42" s="1557">
        <f>OFFSET(X42,0,-1)+1</f>
        <v>1</v>
      </c>
      <c r="Y42" s="1557">
        <f>OFFSET(Y42,0,-1)+1</f>
        <v>2</v>
      </c>
      <c r="Z42" s="1557">
        <f>OFFSET(Z42,0,-1)+1</f>
        <v>3</v>
      </c>
      <c r="AA42" s="2366">
        <f>OFFSET(AA42,0,-1)+1</f>
        <v>4</v>
      </c>
      <c r="AB42" s="2366"/>
      <c r="AC42" s="1557">
        <f>OFFSET(AC42,0,-2)+1</f>
        <v>5</v>
      </c>
      <c r="AD42" s="1557">
        <f>OFFSET(AD42,0,-1)+1</f>
        <v>6</v>
      </c>
      <c r="AE42" s="1557"/>
      <c r="AF42" s="1557">
        <f>OFFSET(AF42,0,-1)+1</f>
        <v>1</v>
      </c>
      <c r="AG42" s="1557">
        <f>OFFSET(AG42,0,-1)+1</f>
        <v>2</v>
      </c>
      <c r="AH42" s="1557">
        <f>OFFSET(AH42,0,-1)+1</f>
        <v>3</v>
      </c>
      <c r="AI42" s="2366">
        <f>OFFSET(AI42,0,-1)+1</f>
        <v>4</v>
      </c>
      <c r="AJ42" s="2366"/>
      <c r="AK42" s="1557">
        <f>OFFSET(AK42,0,-2)+1</f>
        <v>5</v>
      </c>
      <c r="AL42" s="1450">
        <f>OFFSET(AL42,0,-1)</f>
        <v>5</v>
      </c>
      <c r="AM42" s="1557">
        <f>OFFSET(AM42,0,-1)+1</f>
        <v>6</v>
      </c>
      <c r="AN42" s="675"/>
      <c r="AO42" s="675"/>
      <c r="AP42" s="675"/>
      <c r="AQ42" s="675"/>
      <c r="AR42" s="675"/>
    </row>
    <row customHeight="1" ht="21">
      <c r="A43" s="1586" t="s">
        <v>173</v>
      </c>
      <c r="B43" s="1586"/>
      <c r="C43" s="1586"/>
      <c r="D43" s="1586"/>
      <c r="E43" s="2351">
        <v>1</v>
      </c>
      <c r="F43" s="1586"/>
      <c r="G43" s="1586"/>
      <c r="H43" s="1586"/>
      <c r="I43" s="1586"/>
      <c r="J43" s="1586"/>
      <c r="K43" s="1586"/>
      <c r="L43" s="1587"/>
      <c r="M43" s="1588"/>
      <c r="N43" s="1588"/>
      <c r="O43" s="1588"/>
      <c r="P43" s="509"/>
      <c r="Q43" s="508"/>
      <c r="R43" s="503"/>
      <c r="S43" s="1558">
        <f>INDEX(PT_DIFFERENTIATION_NUM_NTAR,MATCH(A43,PT_DIFFERENTIATION_NTAR_ID,0))</f>
        <v>0</v>
      </c>
      <c r="T43" s="435" t="s">
        <v>132</v>
      </c>
      <c r="U43" s="437"/>
      <c r="V43" s="3964"/>
      <c r="W43" s="3965"/>
      <c r="X43" s="3965"/>
      <c r="Y43" s="3965"/>
      <c r="Z43" s="3965"/>
      <c r="AA43" s="3965"/>
      <c r="AB43" s="3965"/>
      <c r="AC43" s="3966"/>
      <c r="AD43" s="3964" t="str">
        <f>INDEX(PT_DIFFERENTIATION_NTAR,MATCH(A43,PT_DIFFERENTIATION_NTAR_ID,0))</f>
        <v/>
      </c>
      <c r="AE43" s="3965"/>
      <c r="AF43" s="3965"/>
      <c r="AG43" s="3965"/>
      <c r="AH43" s="3965"/>
      <c r="AI43" s="3965"/>
      <c r="AJ43" s="3965"/>
      <c r="AK43" s="3965"/>
      <c r="AL43" s="3966"/>
      <c r="AM43" s="1473" t="s">
        <v>1468</v>
      </c>
      <c r="AO43" s="664"/>
      <c r="AP43" s="664" t="str">
        <f>IF(T43="","",T43)</f>
        <v>Наименование тарифа</v>
      </c>
      <c r="AQ43" s="664"/>
      <c r="AR43" s="664"/>
    </row>
    <row customHeight="1" ht="21">
      <c r="A44" s="1586" t="s">
        <v>173</v>
      </c>
      <c r="B44" s="1586" t="s">
        <v>174</v>
      </c>
      <c r="C44" s="1586"/>
      <c r="D44" s="1586"/>
      <c r="E44" s="2352"/>
      <c r="F44" s="2351">
        <v>1</v>
      </c>
      <c r="G44" s="1586"/>
      <c r="H44" s="1586"/>
      <c r="I44" s="1586"/>
      <c r="J44" s="1586"/>
      <c r="K44" s="1586"/>
      <c r="L44" s="1587"/>
      <c r="M44" s="1588"/>
      <c r="N44" s="1588"/>
      <c r="O44" s="1588"/>
      <c r="P44" s="1554"/>
      <c r="Q44" s="500"/>
      <c r="R44" s="501"/>
      <c r="S44" s="1558" t="str">
        <f>INDEX(PT_DIFFERENTIATION_NUM_TER,MATCH(B44,PT_DIFFERENTIATION_TER_ID,0))</f>
        <v>.</v>
      </c>
      <c r="T44" s="447" t="s">
        <v>1469</v>
      </c>
      <c r="U44" s="437"/>
      <c r="V44" s="3964"/>
      <c r="W44" s="3965"/>
      <c r="X44" s="3965"/>
      <c r="Y44" s="3965"/>
      <c r="Z44" s="3965"/>
      <c r="AA44" s="3965"/>
      <c r="AB44" s="3965"/>
      <c r="AC44" s="3966"/>
      <c r="AD44" s="3964" t="str">
        <f>INDEX(PT_DIFFERENTIATION_TER,MATCH(B44,PT_DIFFERENTIATION_TER_ID,0))</f>
        <v/>
      </c>
      <c r="AE44" s="3965"/>
      <c r="AF44" s="3965"/>
      <c r="AG44" s="3965"/>
      <c r="AH44" s="3965"/>
      <c r="AI44" s="3965"/>
      <c r="AJ44" s="3965"/>
      <c r="AK44" s="3965"/>
      <c r="AL44" s="3966"/>
      <c r="AM44" s="1473" t="s">
        <v>1470</v>
      </c>
      <c r="AO44" s="664"/>
      <c r="AP44" s="664" t="str">
        <f>IF(T44="","",T44)</f>
        <v>Территория действия тарифа</v>
      </c>
      <c r="AQ44" s="664"/>
      <c r="AR44" s="664"/>
    </row>
    <row customHeight="1" ht="23.25">
      <c r="A45" s="1586" t="s">
        <v>173</v>
      </c>
      <c r="B45" s="1586" t="s">
        <v>174</v>
      </c>
      <c r="C45" s="1586" t="s">
        <v>175</v>
      </c>
      <c r="D45" s="1586"/>
      <c r="E45" s="2352"/>
      <c r="F45" s="2352"/>
      <c r="G45" s="2351">
        <v>1</v>
      </c>
      <c r="H45" s="1586"/>
      <c r="I45" s="1586"/>
      <c r="J45" s="1586"/>
      <c r="K45" s="1586"/>
      <c r="L45" s="1587"/>
      <c r="M45" s="1588"/>
      <c r="N45" s="1588"/>
      <c r="O45" s="1588"/>
      <c r="P45" s="502"/>
      <c r="Q45" s="500"/>
      <c r="R45" s="501"/>
      <c r="S45" s="1558" t="str">
        <f>INDEX(PT_DIFFERENTIATION_NUM_CS,MATCH(C45,PT_DIFFERENTIATION_CS_ID,0))</f>
        <v>..</v>
      </c>
      <c r="T45" s="448" t="s">
        <v>1471</v>
      </c>
      <c r="U45" s="437"/>
      <c r="V45" s="3964"/>
      <c r="W45" s="3965"/>
      <c r="X45" s="3965"/>
      <c r="Y45" s="3965"/>
      <c r="Z45" s="3965"/>
      <c r="AA45" s="3965"/>
      <c r="AB45" s="3965"/>
      <c r="AC45" s="3966"/>
      <c r="AD45" s="3964" t="str">
        <f>INDEX(PT_DIFFERENTIATION_CS,MATCH(C45,PT_DIFFERENTIATION_CS_ID,0))</f>
        <v/>
      </c>
      <c r="AE45" s="3965"/>
      <c r="AF45" s="3965"/>
      <c r="AG45" s="3965"/>
      <c r="AH45" s="3965"/>
      <c r="AI45" s="3965"/>
      <c r="AJ45" s="3965"/>
      <c r="AK45" s="3965"/>
      <c r="AL45" s="3966"/>
      <c r="AM45" s="1473" t="s">
        <v>1472</v>
      </c>
      <c r="AO45" s="664"/>
      <c r="AP45" s="664" t="str">
        <f>IF(T45="","",T45)</f>
        <v>Наименование системы теплоснабжения </v>
      </c>
      <c r="AQ45" s="664"/>
      <c r="AR45" s="664"/>
    </row>
    <row customHeight="1" ht="21">
      <c r="A46" s="1586" t="s">
        <v>173</v>
      </c>
      <c r="B46" s="1586" t="s">
        <v>174</v>
      </c>
      <c r="C46" s="1586" t="s">
        <v>175</v>
      </c>
      <c r="D46" s="1586" t="s">
        <v>176</v>
      </c>
      <c r="E46" s="2352"/>
      <c r="F46" s="2352"/>
      <c r="G46" s="2352"/>
      <c r="H46" s="2351">
        <v>1</v>
      </c>
      <c r="I46" s="1586"/>
      <c r="J46" s="1586"/>
      <c r="K46" s="1586"/>
      <c r="L46" s="1587"/>
      <c r="M46" s="1588"/>
      <c r="N46" s="1588"/>
      <c r="O46" s="1588"/>
      <c r="P46" s="502"/>
      <c r="Q46" s="500"/>
      <c r="R46" s="501"/>
      <c r="S46" s="1558" t="str">
        <f>INDEX(PT_DIFFERENTIATION_NUM_IST_TE,MATCH(D46,PT_DIFFERENTIATION_IST_TE_ID,0))</f>
        <v>...</v>
      </c>
      <c r="T46" s="449" t="s">
        <v>1473</v>
      </c>
      <c r="U46" s="437"/>
      <c r="V46" s="3964"/>
      <c r="W46" s="3965"/>
      <c r="X46" s="3965"/>
      <c r="Y46" s="3965"/>
      <c r="Z46" s="3965"/>
      <c r="AA46" s="3965"/>
      <c r="AB46" s="3965"/>
      <c r="AC46" s="3966"/>
      <c r="AD46" s="3964" t="str">
        <f>INDEX(PT_DIFFERENTIATION_IST_TE,MATCH(D46,PT_DIFFERENTIATION_IST_TE_ID,0))</f>
        <v/>
      </c>
      <c r="AE46" s="3965"/>
      <c r="AF46" s="3965"/>
      <c r="AG46" s="3965"/>
      <c r="AH46" s="3965"/>
      <c r="AI46" s="3965"/>
      <c r="AJ46" s="3965"/>
      <c r="AK46" s="3965"/>
      <c r="AL46" s="3966"/>
      <c r="AM46" s="1473" t="s">
        <v>1474</v>
      </c>
      <c r="AO46" s="664"/>
      <c r="AP46" s="664" t="str">
        <f>IF(T46="","",T46)</f>
        <v>Источник тепловой энергии  </v>
      </c>
      <c r="AQ46" s="664"/>
      <c r="AR46" s="664"/>
    </row>
    <row customHeight="1" ht="47.25">
      <c r="A47" s="1586" t="s">
        <v>173</v>
      </c>
      <c r="B47" s="1586" t="s">
        <v>174</v>
      </c>
      <c r="C47" s="1586" t="s">
        <v>175</v>
      </c>
      <c r="D47" s="1586" t="s">
        <v>176</v>
      </c>
      <c r="E47" s="2352"/>
      <c r="F47" s="2352"/>
      <c r="G47" s="2352"/>
      <c r="H47" s="2352"/>
      <c r="I47" s="2380" t="str">
        <f>S46&amp;".1"</f>
        <v>....1</v>
      </c>
      <c r="J47" s="1586"/>
      <c r="K47" s="1586"/>
      <c r="L47" s="1587" t="s">
        <v>1475</v>
      </c>
      <c r="P47" s="2350">
        <v>1</v>
      </c>
      <c r="Q47" s="1553"/>
      <c r="R47" s="504"/>
      <c r="S47" s="1558" t="str">
        <f>$I47</f>
        <v>....1</v>
      </c>
      <c r="T47" s="422" t="s">
        <v>1476</v>
      </c>
      <c r="U47" s="437"/>
      <c r="V47" s="2338"/>
      <c r="W47" s="2339"/>
      <c r="X47" s="2339"/>
      <c r="Y47" s="2339"/>
      <c r="Z47" s="2339"/>
      <c r="AA47" s="2339"/>
      <c r="AB47" s="2339"/>
      <c r="AC47" s="2340"/>
      <c r="AD47" s="2338"/>
      <c r="AE47" s="2339"/>
      <c r="AF47" s="2339"/>
      <c r="AG47" s="2339"/>
      <c r="AH47" s="2339"/>
      <c r="AI47" s="2339"/>
      <c r="AJ47" s="2339"/>
      <c r="AK47" s="2339"/>
      <c r="AL47" s="2340"/>
      <c r="AM47" s="1473" t="s">
        <v>1477</v>
      </c>
      <c r="AO47" s="664"/>
      <c r="AP47" s="664" t="str">
        <f>IF(T47="","",T47)</f>
        <v>Схема подключения теплопотребляющей установки к коллектору источника тепловой энергии</v>
      </c>
      <c r="AQ47" s="664"/>
      <c r="AR47" s="664"/>
    </row>
    <row customHeight="1" ht="21">
      <c r="A48" s="1586" t="s">
        <v>173</v>
      </c>
      <c r="B48" s="1586" t="s">
        <v>174</v>
      </c>
      <c r="C48" s="1586" t="s">
        <v>175</v>
      </c>
      <c r="D48" s="1586" t="s">
        <v>176</v>
      </c>
      <c r="E48" s="2352"/>
      <c r="F48" s="2352"/>
      <c r="G48" s="2352"/>
      <c r="H48" s="2352"/>
      <c r="I48" s="2381"/>
      <c r="J48" s="2349" t="str">
        <f>I47&amp;".1"</f>
        <v>....1.1</v>
      </c>
      <c r="K48" s="1586"/>
      <c r="L48" s="1587" t="s">
        <v>1478</v>
      </c>
      <c r="P48" s="2350"/>
      <c r="Q48" s="2350">
        <v>1</v>
      </c>
      <c r="R48" s="505"/>
      <c r="S48" s="1558" t="str">
        <f>$J48</f>
        <v>....1.1</v>
      </c>
      <c r="T48" s="423" t="s">
        <v>1479</v>
      </c>
      <c r="U48" s="437"/>
      <c r="V48" s="2338"/>
      <c r="W48" s="2339"/>
      <c r="X48" s="2339"/>
      <c r="Y48" s="2339"/>
      <c r="Z48" s="2339"/>
      <c r="AA48" s="2339"/>
      <c r="AB48" s="2339"/>
      <c r="AC48" s="2340"/>
      <c r="AD48" s="2338"/>
      <c r="AE48" s="2339"/>
      <c r="AF48" s="2339"/>
      <c r="AG48" s="2339"/>
      <c r="AH48" s="2339"/>
      <c r="AI48" s="2339"/>
      <c r="AJ48" s="2339"/>
      <c r="AK48" s="2339"/>
      <c r="AL48" s="2340"/>
      <c r="AM48" s="1473" t="s">
        <v>1480</v>
      </c>
      <c r="AO48" s="664"/>
      <c r="AP48" s="664" t="str">
        <f>IF(T48="","",T48)</f>
        <v>Группа потребителей</v>
      </c>
      <c r="AQ48" s="664"/>
      <c r="AR48" s="664"/>
    </row>
    <row customHeight="1" ht="21">
      <c r="A49" s="1586" t="s">
        <v>173</v>
      </c>
      <c r="B49" s="1586" t="s">
        <v>174</v>
      </c>
      <c r="C49" s="1586" t="s">
        <v>175</v>
      </c>
      <c r="D49" s="1586" t="s">
        <v>176</v>
      </c>
      <c r="E49" s="2352"/>
      <c r="F49" s="2352"/>
      <c r="G49" s="2352"/>
      <c r="H49" s="2352"/>
      <c r="I49" s="2381"/>
      <c r="J49" s="2382"/>
      <c r="K49" s="2349" t="str">
        <f>J48&amp;".1"</f>
        <v>....1.1.1</v>
      </c>
      <c r="L49" s="1587" t="s">
        <v>1481</v>
      </c>
      <c r="P49" s="2350"/>
      <c r="Q49" s="2350"/>
      <c r="R49" s="505">
        <v>1</v>
      </c>
      <c r="S49" s="1558" t="str">
        <f>$K49</f>
        <v>....1.1.1</v>
      </c>
      <c r="T49" s="1569"/>
      <c r="U49" s="437"/>
      <c r="V49" s="3992"/>
      <c r="W49" s="3993"/>
      <c r="X49" s="3992"/>
      <c r="Y49" s="3994"/>
      <c r="Z49" s="2357"/>
      <c r="AA49" s="2069" t="s">
        <v>66</v>
      </c>
      <c r="AB49" s="2357"/>
      <c r="AC49" s="2069" t="s">
        <v>66</v>
      </c>
      <c r="AD49" s="3992"/>
      <c r="AE49" s="3993"/>
      <c r="AF49" s="3992"/>
      <c r="AG49" s="3994"/>
      <c r="AH49" s="2357"/>
      <c r="AI49" s="2069" t="s">
        <v>66</v>
      </c>
      <c r="AJ49" s="2383"/>
      <c r="AK49" s="2069" t="s">
        <v>66</v>
      </c>
      <c r="AL49" s="4093"/>
      <c r="AM49" s="2346" t="s">
        <v>1482</v>
      </c>
      <c r="AN49" s="675">
        <f>STRCHECKDATE(V50:AL50)</f>
      </c>
      <c r="AO49" s="664"/>
      <c r="AP49" s="664" t="str">
        <f>IF(T49="","",T49)</f>
        <v/>
      </c>
      <c r="AQ49" s="664"/>
      <c r="AR49" s="664"/>
    </row>
    <row customHeight="1" ht="0.75">
      <c r="A50" s="1586" t="s">
        <v>173</v>
      </c>
      <c r="B50" s="1586" t="s">
        <v>174</v>
      </c>
      <c r="C50" s="1586" t="s">
        <v>175</v>
      </c>
      <c r="D50" s="1586" t="s">
        <v>176</v>
      </c>
      <c r="E50" s="2352"/>
      <c r="F50" s="2352"/>
      <c r="G50" s="2352"/>
      <c r="H50" s="2352"/>
      <c r="I50" s="2381"/>
      <c r="J50" s="2382"/>
      <c r="K50" s="2349"/>
      <c r="L50" s="1587"/>
      <c r="P50" s="2350"/>
      <c r="Q50" s="2350"/>
      <c r="R50" s="505"/>
      <c r="S50" s="1564"/>
      <c r="T50" s="437"/>
      <c r="U50" s="437"/>
      <c r="V50" s="3993"/>
      <c r="W50" s="3993"/>
      <c r="X50" s="3993"/>
      <c r="Y50" s="3998" t="str">
        <f>Z49&amp;"-"&amp;AB49</f>
        <v>-</v>
      </c>
      <c r="Z50" s="2358"/>
      <c r="AA50" s="2069"/>
      <c r="AB50" s="2358"/>
      <c r="AC50" s="2069"/>
      <c r="AD50" s="3993"/>
      <c r="AE50" s="3993"/>
      <c r="AF50" s="3993"/>
      <c r="AG50" s="3998" t="str">
        <f>AH49&amp;"-"&amp;AJ49</f>
        <v>-</v>
      </c>
      <c r="AH50" s="2358"/>
      <c r="AI50" s="2069"/>
      <c r="AJ50" s="2384"/>
      <c r="AK50" s="2069"/>
      <c r="AL50" s="4096"/>
      <c r="AM50" s="2347"/>
      <c r="AO50" s="664"/>
      <c r="AP50" s="664" t="str">
        <f>IF(T50="","",T50)</f>
        <v/>
      </c>
      <c r="AQ50" s="664"/>
      <c r="AR50" s="664"/>
    </row>
    <row customHeight="1" ht="11.25">
      <c r="A51" s="1586" t="s">
        <v>173</v>
      </c>
      <c r="B51" s="1586" t="s">
        <v>174</v>
      </c>
      <c r="C51" s="1586" t="s">
        <v>175</v>
      </c>
      <c r="D51" s="1586" t="s">
        <v>176</v>
      </c>
      <c r="E51" s="2352"/>
      <c r="F51" s="2352"/>
      <c r="G51" s="2352"/>
      <c r="H51" s="2352"/>
      <c r="I51" s="2381"/>
      <c r="J51" s="2349"/>
      <c r="K51" s="1586"/>
      <c r="L51" s="1587"/>
      <c r="P51" s="2350"/>
      <c r="Q51" s="2350"/>
      <c r="R51" s="504"/>
      <c r="S51" s="1495"/>
      <c r="T51" s="425" t="s">
        <v>1483</v>
      </c>
      <c r="U51" s="519"/>
      <c r="V51" s="519"/>
      <c r="W51" s="519"/>
      <c r="X51" s="519"/>
      <c r="Y51" s="519"/>
      <c r="Z51" s="519"/>
      <c r="AA51" s="519"/>
      <c r="AB51" s="519"/>
      <c r="AC51" s="519"/>
      <c r="AD51" s="519"/>
      <c r="AE51" s="519"/>
      <c r="AF51" s="519"/>
      <c r="AG51" s="519"/>
      <c r="AH51" s="519"/>
      <c r="AI51" s="519"/>
      <c r="AJ51" s="519"/>
      <c r="AK51" s="519"/>
      <c r="AL51" s="471"/>
      <c r="AM51" s="2348"/>
      <c r="AO51" s="664"/>
      <c r="AP51" s="664" t="str">
        <f>IF(T51="","",T51)</f>
        <v>Добавить вид теплоносителя (параметры теплоносителя)</v>
      </c>
      <c r="AQ51" s="664"/>
      <c r="AR51" s="664"/>
    </row>
    <row customHeight="1" ht="11.25">
      <c r="A52" s="1586" t="s">
        <v>173</v>
      </c>
      <c r="B52" s="1586" t="s">
        <v>174</v>
      </c>
      <c r="C52" s="1586" t="s">
        <v>175</v>
      </c>
      <c r="D52" s="1586" t="s">
        <v>176</v>
      </c>
      <c r="E52" s="2352"/>
      <c r="F52" s="2352"/>
      <c r="G52" s="2352"/>
      <c r="H52" s="2352"/>
      <c r="I52" s="2380"/>
      <c r="J52" s="1586"/>
      <c r="K52" s="1586"/>
      <c r="L52" s="1587"/>
      <c r="P52" s="2350"/>
      <c r="Q52" s="1553"/>
      <c r="R52" s="504"/>
      <c r="S52" s="1495"/>
      <c r="T52" s="424" t="s">
        <v>1484</v>
      </c>
      <c r="U52" s="519"/>
      <c r="V52" s="519"/>
      <c r="W52" s="519"/>
      <c r="X52" s="519"/>
      <c r="Y52" s="519"/>
      <c r="Z52" s="519"/>
      <c r="AA52" s="519"/>
      <c r="AB52" s="519"/>
      <c r="AC52" s="518"/>
      <c r="AD52" s="519"/>
      <c r="AE52" s="519"/>
      <c r="AF52" s="519"/>
      <c r="AG52" s="519"/>
      <c r="AH52" s="519"/>
      <c r="AI52" s="519"/>
      <c r="AJ52" s="519"/>
      <c r="AK52" s="518"/>
      <c r="AL52" s="519"/>
      <c r="AM52" s="440"/>
      <c r="AO52" s="664"/>
      <c r="AP52" s="664" t="str">
        <f>IF(T52="","",T52)</f>
        <v>Добавить группу потребителей</v>
      </c>
      <c r="AQ52" s="664"/>
      <c r="AR52" s="664"/>
    </row>
    <row customHeight="1" ht="14.25">
      <c r="A53" s="1586" t="s">
        <v>173</v>
      </c>
      <c r="B53" s="1586" t="s">
        <v>174</v>
      </c>
      <c r="C53" s="1586" t="s">
        <v>175</v>
      </c>
      <c r="D53" s="1586" t="s">
        <v>176</v>
      </c>
      <c r="E53" s="2352"/>
      <c r="F53" s="2352"/>
      <c r="G53" s="2352"/>
      <c r="H53" s="2351"/>
      <c r="I53" s="1586"/>
      <c r="J53" s="1586"/>
      <c r="K53" s="1586"/>
      <c r="L53" s="1587"/>
      <c r="M53" s="1588"/>
      <c r="N53" s="1588"/>
      <c r="O53" s="701"/>
      <c r="P53" s="508"/>
      <c r="Q53" s="528"/>
      <c r="R53" s="503"/>
      <c r="S53" s="1495"/>
      <c r="T53" s="516" t="s">
        <v>1485</v>
      </c>
      <c r="U53" s="519"/>
      <c r="V53" s="519"/>
      <c r="W53" s="519"/>
      <c r="X53" s="519"/>
      <c r="Y53" s="519"/>
      <c r="Z53" s="519"/>
      <c r="AA53" s="519"/>
      <c r="AB53" s="519"/>
      <c r="AC53" s="518"/>
      <c r="AD53" s="519"/>
      <c r="AE53" s="519"/>
      <c r="AF53" s="519"/>
      <c r="AG53" s="519"/>
      <c r="AH53" s="519"/>
      <c r="AI53" s="519"/>
      <c r="AJ53" s="519"/>
      <c r="AK53" s="518"/>
      <c r="AL53" s="519"/>
      <c r="AM53" s="440"/>
      <c r="AO53" s="664"/>
      <c r="AP53" s="664" t="str">
        <f>IF(T53="","",T53)</f>
        <v>Добавить схему подключения</v>
      </c>
      <c r="AQ53" s="664"/>
      <c r="AR53" s="664"/>
    </row>
    <row s="6520" customFormat="1" customHeight="1" ht="0.75">
      <c r="A54" s="1565" t="s">
        <v>173</v>
      </c>
      <c r="B54" s="1565" t="s">
        <v>174</v>
      </c>
      <c r="C54" s="1565" t="s">
        <v>175</v>
      </c>
      <c r="D54" s="1536"/>
      <c r="E54" s="2352"/>
      <c r="F54" s="2352"/>
      <c r="G54" s="2351"/>
      <c r="H54" s="1536"/>
      <c r="I54" s="1536"/>
      <c r="J54" s="1536"/>
      <c r="K54" s="1536"/>
      <c r="L54" s="1561"/>
      <c r="M54" s="1537"/>
      <c r="N54" s="1537"/>
      <c r="P54" s="1538"/>
      <c r="Q54" s="1539"/>
      <c r="R54" s="1538"/>
      <c r="S54" s="1544"/>
      <c r="T54" s="1547" t="s">
        <v>1444</v>
      </c>
      <c r="U54" s="1546"/>
      <c r="V54" s="1546"/>
      <c r="W54" s="1546"/>
      <c r="X54" s="1546"/>
      <c r="Y54" s="1546"/>
      <c r="Z54" s="1546"/>
      <c r="AA54" s="1546"/>
      <c r="AB54" s="1546"/>
      <c r="AC54" s="1546"/>
      <c r="AD54" s="1546"/>
      <c r="AE54" s="1546"/>
      <c r="AF54" s="1546"/>
      <c r="AG54" s="1546"/>
      <c r="AH54" s="1546"/>
      <c r="AI54" s="1546"/>
      <c r="AJ54" s="1546"/>
      <c r="AK54" s="1546"/>
      <c r="AL54" s="1546"/>
      <c r="AM54" s="1546"/>
      <c r="AO54" s="956"/>
      <c r="AP54" s="956" t="str">
        <f>IF(T54="","",T54)</f>
        <v>Добавить источник для дифференциации</v>
      </c>
      <c r="AQ54" s="956"/>
      <c r="AR54" s="956"/>
    </row>
    <row s="6520" customFormat="1" customHeight="1" ht="0.75">
      <c r="A55" s="1565" t="s">
        <v>173</v>
      </c>
      <c r="B55" s="1565" t="s">
        <v>174</v>
      </c>
      <c r="C55" s="1536"/>
      <c r="D55" s="1536"/>
      <c r="E55" s="2352"/>
      <c r="F55" s="2351"/>
      <c r="G55" s="1536"/>
      <c r="H55" s="1536"/>
      <c r="I55" s="1536"/>
      <c r="J55" s="1536"/>
      <c r="K55" s="1536"/>
      <c r="L55" s="1561"/>
      <c r="M55" s="1543"/>
      <c r="N55" s="1543"/>
      <c r="P55" s="1538"/>
      <c r="Q55" s="1539"/>
      <c r="R55" s="1538"/>
      <c r="S55" s="1544"/>
      <c r="T55" s="1547" t="s">
        <v>1445</v>
      </c>
      <c r="U55" s="1546"/>
      <c r="V55" s="1546"/>
      <c r="W55" s="1546"/>
      <c r="X55" s="1546"/>
      <c r="Y55" s="1546"/>
      <c r="Z55" s="1546"/>
      <c r="AA55" s="1546"/>
      <c r="AB55" s="1546"/>
      <c r="AC55" s="1546"/>
      <c r="AD55" s="1546"/>
      <c r="AE55" s="1546"/>
      <c r="AF55" s="1546"/>
      <c r="AG55" s="1546"/>
      <c r="AH55" s="1546"/>
      <c r="AI55" s="1546"/>
      <c r="AJ55" s="1546"/>
      <c r="AK55" s="1546"/>
      <c r="AL55" s="1546"/>
      <c r="AM55" s="1546"/>
      <c r="AO55" s="956"/>
      <c r="AP55" s="956" t="str">
        <f>IF(T55="","",T55)</f>
        <v>Добавить централизованную систему для дифференциации</v>
      </c>
      <c r="AQ55" s="956"/>
      <c r="AR55" s="956"/>
    </row>
    <row s="6608" customFormat="1" customHeight="1" ht="0.75">
      <c r="A56" s="1565" t="s">
        <v>173</v>
      </c>
      <c r="B56" s="1565"/>
      <c r="C56" s="1565"/>
      <c r="D56" s="1565"/>
      <c r="E56" s="2351"/>
      <c r="F56" s="1565"/>
      <c r="G56" s="1565"/>
      <c r="H56" s="1565"/>
      <c r="I56" s="1565"/>
      <c r="J56" s="1565"/>
      <c r="K56" s="1565"/>
      <c r="L56" s="1568"/>
      <c r="M56" s="1543"/>
      <c r="N56" s="1543"/>
      <c r="O56" s="682"/>
      <c r="P56" s="537"/>
      <c r="Q56" s="1566"/>
      <c r="R56" s="537"/>
      <c r="S56" s="1544"/>
      <c r="T56" s="1547" t="s">
        <v>1446</v>
      </c>
      <c r="U56" s="1546"/>
      <c r="V56" s="1546"/>
      <c r="W56" s="1546"/>
      <c r="X56" s="1546"/>
      <c r="Y56" s="1546"/>
      <c r="Z56" s="1546"/>
      <c r="AA56" s="1546"/>
      <c r="AB56" s="1546"/>
      <c r="AC56" s="1546"/>
      <c r="AD56" s="1546"/>
      <c r="AE56" s="1546"/>
      <c r="AF56" s="1546"/>
      <c r="AG56" s="1546"/>
      <c r="AH56" s="1546"/>
      <c r="AI56" s="1546"/>
      <c r="AJ56" s="1546"/>
      <c r="AK56" s="1546"/>
      <c r="AL56" s="1546"/>
      <c r="AM56" s="1546"/>
      <c r="AO56" s="664"/>
      <c r="AP56" s="664" t="str">
        <f>IF(T56="","",T56)</f>
        <v>Добавить территорию для дифференциации</v>
      </c>
      <c r="AQ56" s="664"/>
      <c r="AR56" s="664"/>
    </row>
    <row s="6520" customFormat="1" customHeight="1" ht="0.75">
      <c r="A57" s="1536"/>
      <c r="B57" s="1536"/>
      <c r="C57" s="1536"/>
      <c r="D57" s="1536"/>
      <c r="E57" s="1565"/>
      <c r="F57" s="1536"/>
      <c r="G57" s="1536"/>
      <c r="H57" s="1536"/>
      <c r="I57" s="1536"/>
      <c r="J57" s="1536"/>
      <c r="K57" s="1536"/>
      <c r="L57" s="1561"/>
      <c r="M57" s="1543"/>
      <c r="N57" s="1543"/>
      <c r="P57" s="1538"/>
      <c r="Q57" s="1539"/>
      <c r="R57" s="1538"/>
      <c r="S57" s="1544"/>
      <c r="T57" s="1547" t="s">
        <v>1447</v>
      </c>
      <c r="U57" s="1546"/>
      <c r="V57" s="1546"/>
      <c r="W57" s="1546"/>
      <c r="X57" s="1546"/>
      <c r="Y57" s="1546"/>
      <c r="Z57" s="1546"/>
      <c r="AA57" s="1546"/>
      <c r="AB57" s="1546"/>
      <c r="AC57" s="1546"/>
      <c r="AD57" s="1546"/>
      <c r="AE57" s="1546"/>
      <c r="AF57" s="1546"/>
      <c r="AG57" s="1546"/>
      <c r="AH57" s="1546"/>
      <c r="AI57" s="1546"/>
      <c r="AJ57" s="1546"/>
      <c r="AK57" s="1546"/>
      <c r="AL57" s="1546"/>
      <c r="AM57" s="1546"/>
      <c r="AO57" s="956"/>
      <c r="AP57" s="956" t="str">
        <f>IF(T57="","",T57)</f>
        <v>Добавить наименование тарифа</v>
      </c>
      <c r="AQ57" s="956"/>
      <c r="AR57" s="956"/>
    </row>
    <row customHeight="1" ht="11.25" hidden="1">
      <c r="M58" s="1348"/>
      <c r="N58" s="1348"/>
      <c r="O58" s="701"/>
      <c r="P58" s="1343"/>
      <c r="Q58" s="1343"/>
      <c r="R58" s="1343"/>
      <c r="S58" s="1343"/>
      <c r="AN58" s="1343"/>
      <c r="AO58" s="1343"/>
      <c r="AP58" s="1343"/>
      <c r="AQ58" s="1343"/>
      <c r="AR58" s="1343"/>
    </row>
    <row customHeight="1" ht="27" hidden="1">
      <c r="O59" s="701"/>
      <c r="S59" s="1460" t="s">
        <v>1517</v>
      </c>
      <c r="T59" s="2379" t="s">
        <v>1524</v>
      </c>
      <c r="U59" s="2379"/>
      <c r="V59" s="2379"/>
      <c r="W59" s="2379"/>
      <c r="X59" s="2379"/>
      <c r="Y59" s="2379"/>
      <c r="Z59" s="2379"/>
      <c r="AA59" s="2379"/>
      <c r="AB59" s="2379"/>
      <c r="AC59" s="2379"/>
      <c r="AD59" s="2379"/>
      <c r="AE59" s="2379"/>
      <c r="AF59" s="2379"/>
      <c r="AG59" s="2379"/>
      <c r="AH59" s="2379"/>
      <c r="AI59" s="2379"/>
      <c r="AJ59" s="2379"/>
      <c r="AK59" s="2379"/>
      <c r="AL59" s="2379"/>
      <c r="AM59" s="2379"/>
    </row>
    <row customHeight="1" ht="62.25" hidden="1">
      <c r="O60" s="701"/>
      <c r="T60" s="2379" t="s">
        <v>1519</v>
      </c>
      <c r="U60" s="2379"/>
      <c r="V60" s="2379"/>
      <c r="W60" s="2379"/>
      <c r="X60" s="2379"/>
      <c r="Y60" s="2379"/>
      <c r="Z60" s="2379"/>
      <c r="AA60" s="2379"/>
      <c r="AB60" s="2379"/>
      <c r="AC60" s="2379"/>
      <c r="AD60" s="2379"/>
      <c r="AE60" s="2379"/>
      <c r="AF60" s="2379"/>
      <c r="AG60" s="2379"/>
      <c r="AH60" s="2379"/>
      <c r="AI60" s="2379"/>
      <c r="AJ60" s="2379"/>
      <c r="AK60" s="2379"/>
      <c r="AL60" s="2379"/>
      <c r="AM60" s="2379"/>
    </row>
    <row customHeight="1" ht="14.25" hidden="1">
      <c r="O61" s="701"/>
    </row>
    <row customHeight="1" ht="18" hidden="1">
      <c r="O62" s="701"/>
      <c r="S62" s="1460" t="s">
        <v>1517</v>
      </c>
      <c r="T62" s="2379" t="s">
        <v>1520</v>
      </c>
      <c r="U62" s="2379"/>
      <c r="V62" s="2379"/>
      <c r="W62" s="2379"/>
      <c r="X62" s="2379"/>
      <c r="Y62" s="2379"/>
      <c r="Z62" s="2379"/>
      <c r="AA62" s="2379"/>
      <c r="AB62" s="2379"/>
      <c r="AC62" s="2379"/>
      <c r="AD62" s="2379"/>
      <c r="AE62" s="2379"/>
      <c r="AF62" s="2379"/>
      <c r="AG62" s="2379"/>
      <c r="AH62" s="2379"/>
      <c r="AI62" s="2379"/>
      <c r="AJ62" s="2379"/>
      <c r="AK62" s="2379"/>
      <c r="AL62" s="2379"/>
      <c r="AM62" s="2379"/>
    </row>
    <row customHeight="1" ht="18" hidden="1">
      <c r="O63" s="701"/>
      <c r="T63" s="2379" t="s">
        <v>1521</v>
      </c>
      <c r="U63" s="2379"/>
      <c r="V63" s="2379"/>
      <c r="W63" s="2379"/>
      <c r="X63" s="2379"/>
      <c r="Y63" s="2379"/>
      <c r="Z63" s="2379"/>
      <c r="AA63" s="2379"/>
      <c r="AB63" s="2379"/>
      <c r="AC63" s="2379"/>
      <c r="AD63" s="2379"/>
      <c r="AE63" s="2379"/>
      <c r="AF63" s="2379"/>
      <c r="AG63" s="2379"/>
      <c r="AH63" s="2379"/>
      <c r="AI63" s="2379"/>
      <c r="AJ63" s="2379"/>
      <c r="AK63" s="2379"/>
      <c r="AL63" s="2379"/>
      <c r="AM63" s="2379"/>
    </row>
    <row customHeight="1" ht="27.75" hidden="1">
      <c r="O64" s="701"/>
      <c r="S64" s="1460"/>
      <c r="T64" s="2379" t="s">
        <v>1522</v>
      </c>
      <c r="U64" s="2379"/>
      <c r="V64" s="2379"/>
      <c r="W64" s="2379"/>
      <c r="X64" s="2379"/>
      <c r="Y64" s="2379"/>
      <c r="Z64" s="2379"/>
      <c r="AA64" s="2379"/>
      <c r="AB64" s="2379"/>
      <c r="AC64" s="2379"/>
      <c r="AD64" s="2379"/>
      <c r="AE64" s="2379"/>
      <c r="AF64" s="2379"/>
      <c r="AG64" s="2379"/>
      <c r="AH64" s="2379"/>
      <c r="AI64" s="2379"/>
      <c r="AJ64" s="2379"/>
      <c r="AK64" s="2379"/>
      <c r="AL64" s="2379"/>
      <c r="AM64" s="2379"/>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674818-A9AB-62EA-10B6-F90AF40F05E6}"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28" width="3.7109375" customWidth="1"/>
    <col min="17" max="18" style="6619" width="3.7109375" customWidth="1"/>
    <col min="19" max="19" style="6620" width="12.7109375" customWidth="1"/>
    <col min="20" max="20" style="6104" width="32.00390625" customWidth="1"/>
    <col min="21" max="22" style="6104" width="0.140625" customWidth="1"/>
    <col min="23" max="23" style="6104" width="24.7109375" hidden="1" customWidth="1"/>
    <col min="24" max="25" style="6104" width="0.14062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0" style="6104" width="0.140625" customWidth="1"/>
    <col min="31" max="31" style="6104" width="24.7109375" customWidth="1"/>
    <col min="32" max="33" style="6104" width="0.140625" customWidth="1"/>
    <col min="34" max="34" style="6104" width="11.7109375" customWidth="1"/>
    <col min="35" max="35" style="6104" width="3.7109375" customWidth="1"/>
    <col min="36" max="36" style="6104" width="11.7109375" customWidth="1"/>
    <col min="37" max="37" style="6104" width="8.57421875" hidden="1" customWidth="1"/>
    <col min="38" max="38" style="6104" width="4.7109375" customWidth="1"/>
    <col min="39" max="39" style="6104" width="115.7109375" customWidth="1"/>
    <col min="40" max="41" style="6608" width="10.57421875"/>
    <col min="42" max="42" style="6608" width="11.140625" customWidth="1"/>
    <col min="43" max="44" style="6608" width="10.57421875"/>
  </cols>
  <sheetData>
    <row customHeight="1" ht="14.25" hidden="1">
      <c r="Y1" s="475"/>
      <c r="Z1" s="475"/>
      <c r="AG1" s="475"/>
      <c r="AH1" s="475"/>
    </row>
    <row customHeight="1" ht="21" hidden="1">
      <c r="A2" s="1586"/>
      <c r="B2" s="1586"/>
      <c r="C2" s="1586"/>
      <c r="D2" s="1586"/>
      <c r="E2" s="2351">
        <v>1</v>
      </c>
      <c r="F2" s="1586"/>
      <c r="G2" s="1586"/>
      <c r="H2" s="1586"/>
      <c r="I2" s="1586"/>
      <c r="J2" s="1586"/>
      <c r="K2" s="1586"/>
      <c r="L2" s="1587"/>
      <c r="M2" s="1588"/>
      <c r="N2" s="1588"/>
      <c r="O2" s="1588"/>
      <c r="P2" s="509"/>
      <c r="Q2" s="508"/>
      <c r="R2" s="503"/>
      <c r="S2" s="1558">
        <f>INDEX(PT_DIFFERENTIATION_NUM_NTAR,MATCH(A2,PT_DIFFERENTIATION_NTAR_ID,0))</f>
      </c>
      <c r="T2" s="435" t="s">
        <v>132</v>
      </c>
      <c r="U2" s="437"/>
      <c r="V2" s="3964"/>
      <c r="W2" s="3965"/>
      <c r="X2" s="3965"/>
      <c r="Y2" s="3965"/>
      <c r="Z2" s="3965"/>
      <c r="AA2" s="3965"/>
      <c r="AB2" s="3965"/>
      <c r="AC2" s="3966"/>
      <c r="AD2" s="3964">
        <f>INDEX(PT_DIFFERENTIATION_NTAR,MATCH(A2,PT_DIFFERENTIATION_NTAR_ID,0))</f>
      </c>
      <c r="AE2" s="3965"/>
      <c r="AF2" s="3965"/>
      <c r="AG2" s="3965"/>
      <c r="AH2" s="3965"/>
      <c r="AI2" s="3965"/>
      <c r="AJ2" s="3965"/>
      <c r="AK2" s="3965"/>
      <c r="AL2" s="3966"/>
      <c r="AM2" s="1473" t="s">
        <v>1468</v>
      </c>
      <c r="AO2" s="664"/>
      <c r="AP2" s="664" t="str">
        <f>IF(T2="","",T2)</f>
        <v>Наименование тарифа</v>
      </c>
      <c r="AQ2" s="664"/>
      <c r="AR2" s="664"/>
    </row>
    <row customHeight="1" ht="21" hidden="1">
      <c r="A3" s="1586"/>
      <c r="B3" s="1586"/>
      <c r="C3" s="1586"/>
      <c r="D3" s="1586"/>
      <c r="E3" s="2352"/>
      <c r="F3" s="2351">
        <v>1</v>
      </c>
      <c r="G3" s="1586"/>
      <c r="H3" s="1586"/>
      <c r="I3" s="1586"/>
      <c r="J3" s="1586"/>
      <c r="K3" s="1586"/>
      <c r="L3" s="1587"/>
      <c r="M3" s="1588"/>
      <c r="N3" s="1588"/>
      <c r="O3" s="1588"/>
      <c r="P3" s="1554"/>
      <c r="Q3" s="500"/>
      <c r="R3" s="501"/>
      <c r="S3" s="1558">
        <f>INDEX(PT_DIFFERENTIATION_NUM_TER,MATCH(B3,PT_DIFFERENTIATION_TER_ID,0))</f>
      </c>
      <c r="T3" s="447" t="s">
        <v>1469</v>
      </c>
      <c r="U3" s="437"/>
      <c r="V3" s="3964"/>
      <c r="W3" s="3965"/>
      <c r="X3" s="3965"/>
      <c r="Y3" s="3965"/>
      <c r="Z3" s="3965"/>
      <c r="AA3" s="3965"/>
      <c r="AB3" s="3965"/>
      <c r="AC3" s="3966"/>
      <c r="AD3" s="3964">
        <f>INDEX(PT_DIFFERENTIATION_TER,MATCH(B3,PT_DIFFERENTIATION_TER_ID,0))</f>
      </c>
      <c r="AE3" s="3965"/>
      <c r="AF3" s="3965"/>
      <c r="AG3" s="3965"/>
      <c r="AH3" s="3965"/>
      <c r="AI3" s="3965"/>
      <c r="AJ3" s="3965"/>
      <c r="AK3" s="3965"/>
      <c r="AL3" s="3966"/>
      <c r="AM3" s="1473" t="s">
        <v>1470</v>
      </c>
      <c r="AO3" s="664"/>
      <c r="AP3" s="664" t="str">
        <f>IF(T3="","",T3)</f>
        <v>Территория действия тарифа</v>
      </c>
      <c r="AQ3" s="664"/>
      <c r="AR3" s="664"/>
    </row>
    <row customHeight="1" ht="23.25" hidden="1">
      <c r="A4" s="1586"/>
      <c r="B4" s="1586"/>
      <c r="C4" s="1586"/>
      <c r="D4" s="1586"/>
      <c r="E4" s="2352"/>
      <c r="F4" s="2352"/>
      <c r="G4" s="2351">
        <v>1</v>
      </c>
      <c r="H4" s="1586"/>
      <c r="I4" s="1586"/>
      <c r="J4" s="1586"/>
      <c r="K4" s="1586"/>
      <c r="L4" s="1587"/>
      <c r="M4" s="1588"/>
      <c r="N4" s="1588"/>
      <c r="O4" s="1588"/>
      <c r="P4" s="502"/>
      <c r="Q4" s="500"/>
      <c r="R4" s="501"/>
      <c r="S4" s="1558">
        <f>INDEX(PT_DIFFERENTIATION_NUM_CS,MATCH(C4,PT_DIFFERENTIATION_CS_ID,0))</f>
      </c>
      <c r="T4" s="448" t="s">
        <v>1471</v>
      </c>
      <c r="U4" s="437"/>
      <c r="V4" s="3964"/>
      <c r="W4" s="3965"/>
      <c r="X4" s="3965"/>
      <c r="Y4" s="3965"/>
      <c r="Z4" s="3965"/>
      <c r="AA4" s="3965"/>
      <c r="AB4" s="3965"/>
      <c r="AC4" s="3966"/>
      <c r="AD4" s="3964">
        <f>INDEX(PT_DIFFERENTIATION_CS,MATCH(C4,PT_DIFFERENTIATION_CS_ID,0))</f>
      </c>
      <c r="AE4" s="3965"/>
      <c r="AF4" s="3965"/>
      <c r="AG4" s="3965"/>
      <c r="AH4" s="3965"/>
      <c r="AI4" s="3965"/>
      <c r="AJ4" s="3965"/>
      <c r="AK4" s="3965"/>
      <c r="AL4" s="3966"/>
      <c r="AM4" s="1473" t="s">
        <v>1472</v>
      </c>
      <c r="AO4" s="664"/>
      <c r="AP4" s="664" t="str">
        <f>IF(T4="","",T4)</f>
        <v>Наименование системы теплоснабжения </v>
      </c>
      <c r="AQ4" s="664"/>
      <c r="AR4" s="664"/>
    </row>
    <row customHeight="1" ht="21" hidden="1">
      <c r="A5" s="1586"/>
      <c r="B5" s="1586"/>
      <c r="C5" s="1586"/>
      <c r="D5" s="1586"/>
      <c r="E5" s="2352"/>
      <c r="F5" s="2352"/>
      <c r="G5" s="2352"/>
      <c r="H5" s="2351">
        <v>1</v>
      </c>
      <c r="I5" s="1586"/>
      <c r="J5" s="1586"/>
      <c r="K5" s="1586"/>
      <c r="L5" s="1587"/>
      <c r="M5" s="1588"/>
      <c r="N5" s="1588"/>
      <c r="O5" s="1588"/>
      <c r="P5" s="502"/>
      <c r="Q5" s="500"/>
      <c r="R5" s="501"/>
      <c r="S5" s="1558">
        <f>INDEX(PT_DIFFERENTIATION_NUM_IST_TE,MATCH(D5,PT_DIFFERENTIATION_IST_TE_ID,0))</f>
      </c>
      <c r="T5" s="449" t="s">
        <v>1473</v>
      </c>
      <c r="U5" s="437"/>
      <c r="V5" s="3964"/>
      <c r="W5" s="3965"/>
      <c r="X5" s="3965"/>
      <c r="Y5" s="3965"/>
      <c r="Z5" s="3965"/>
      <c r="AA5" s="3965"/>
      <c r="AB5" s="3965"/>
      <c r="AC5" s="3966"/>
      <c r="AD5" s="3964">
        <f>INDEX(PT_DIFFERENTIATION_IST_TE,MATCH(D5,PT_DIFFERENTIATION_IST_TE_ID,0))</f>
      </c>
      <c r="AE5" s="3965"/>
      <c r="AF5" s="3965"/>
      <c r="AG5" s="3965"/>
      <c r="AH5" s="3965"/>
      <c r="AI5" s="3965"/>
      <c r="AJ5" s="3965"/>
      <c r="AK5" s="3965"/>
      <c r="AL5" s="3966"/>
      <c r="AM5" s="1473" t="s">
        <v>1474</v>
      </c>
      <c r="AO5" s="664"/>
      <c r="AP5" s="664" t="str">
        <f>IF(T5="","",T5)</f>
        <v>Источник тепловой энергии  </v>
      </c>
      <c r="AQ5" s="664"/>
      <c r="AR5" s="664"/>
    </row>
    <row customHeight="1" ht="47.25" hidden="1">
      <c r="A6" s="1586"/>
      <c r="B6" s="1586"/>
      <c r="C6" s="1586"/>
      <c r="D6" s="1586"/>
      <c r="E6" s="2352"/>
      <c r="F6" s="2352"/>
      <c r="G6" s="2352"/>
      <c r="H6" s="2352"/>
      <c r="I6" s="2380">
        <f>S5&amp;".1"</f>
      </c>
      <c r="J6" s="1586"/>
      <c r="K6" s="1586"/>
      <c r="L6" s="1587" t="s">
        <v>1475</v>
      </c>
      <c r="M6" s="701"/>
      <c r="P6" s="2350">
        <v>1</v>
      </c>
      <c r="Q6" s="1553"/>
      <c r="R6" s="504"/>
      <c r="S6" s="1558">
        <f>$I6</f>
      </c>
      <c r="T6" s="422" t="s">
        <v>1476</v>
      </c>
      <c r="U6" s="437"/>
      <c r="V6" s="2338"/>
      <c r="W6" s="2339"/>
      <c r="X6" s="2339"/>
      <c r="Y6" s="2339"/>
      <c r="Z6" s="2339"/>
      <c r="AA6" s="2339"/>
      <c r="AB6" s="2339"/>
      <c r="AC6" s="2340"/>
      <c r="AD6" s="2338"/>
      <c r="AE6" s="2339"/>
      <c r="AF6" s="2339"/>
      <c r="AG6" s="2339"/>
      <c r="AH6" s="2339"/>
      <c r="AI6" s="2339"/>
      <c r="AJ6" s="2339"/>
      <c r="AK6" s="2339"/>
      <c r="AL6" s="2340"/>
      <c r="AM6" s="1473" t="s">
        <v>1477</v>
      </c>
      <c r="AO6" s="664"/>
      <c r="AP6" s="664" t="str">
        <f>IF(T6="","",T6)</f>
        <v>Схема подключения теплопотребляющей установки к коллектору источника тепловой энергии</v>
      </c>
      <c r="AQ6" s="664"/>
      <c r="AR6" s="664"/>
    </row>
    <row customHeight="1" ht="21" hidden="1">
      <c r="A7" s="1586"/>
      <c r="B7" s="1586"/>
      <c r="C7" s="1586"/>
      <c r="D7" s="1586"/>
      <c r="E7" s="2352"/>
      <c r="F7" s="2352"/>
      <c r="G7" s="2352"/>
      <c r="H7" s="2352"/>
      <c r="I7" s="2381"/>
      <c r="J7" s="2349">
        <f>I6&amp;".1"</f>
      </c>
      <c r="K7" s="1586"/>
      <c r="L7" s="1587" t="s">
        <v>1478</v>
      </c>
      <c r="M7" s="701"/>
      <c r="N7" s="1589"/>
      <c r="P7" s="2350"/>
      <c r="Q7" s="2350">
        <v>1</v>
      </c>
      <c r="R7" s="505"/>
      <c r="S7" s="1558">
        <f>$J7</f>
      </c>
      <c r="T7" s="423" t="s">
        <v>1479</v>
      </c>
      <c r="U7" s="437"/>
      <c r="V7" s="2338"/>
      <c r="W7" s="2339"/>
      <c r="X7" s="2339"/>
      <c r="Y7" s="2339"/>
      <c r="Z7" s="2339"/>
      <c r="AA7" s="2339"/>
      <c r="AB7" s="2339"/>
      <c r="AC7" s="2340"/>
      <c r="AD7" s="2338"/>
      <c r="AE7" s="2339"/>
      <c r="AF7" s="2339"/>
      <c r="AG7" s="2339"/>
      <c r="AH7" s="2339"/>
      <c r="AI7" s="2339"/>
      <c r="AJ7" s="2339"/>
      <c r="AK7" s="2339"/>
      <c r="AL7" s="2340"/>
      <c r="AM7" s="1473" t="s">
        <v>1480</v>
      </c>
      <c r="AO7" s="664"/>
      <c r="AP7" s="664" t="str">
        <f>IF(T7="","",T7)</f>
        <v>Группа потребителей</v>
      </c>
      <c r="AQ7" s="664"/>
      <c r="AR7" s="664"/>
    </row>
    <row customHeight="1" ht="21" hidden="1">
      <c r="A8" s="1586"/>
      <c r="B8" s="1586"/>
      <c r="C8" s="1586"/>
      <c r="D8" s="1586"/>
      <c r="E8" s="2352"/>
      <c r="F8" s="2352"/>
      <c r="G8" s="2352"/>
      <c r="H8" s="2352"/>
      <c r="I8" s="2381"/>
      <c r="J8" s="2382"/>
      <c r="K8" s="2349">
        <f>J7&amp;".1"</f>
      </c>
      <c r="L8" s="1587" t="s">
        <v>1481</v>
      </c>
      <c r="M8" s="701"/>
      <c r="N8" s="1589"/>
      <c r="O8" s="1589"/>
      <c r="P8" s="2350"/>
      <c r="Q8" s="2350"/>
      <c r="R8" s="505">
        <v>1</v>
      </c>
      <c r="S8" s="1558">
        <f>$K8</f>
      </c>
      <c r="T8" s="1569"/>
      <c r="U8" s="437"/>
      <c r="V8" s="3993"/>
      <c r="W8" s="3992"/>
      <c r="X8" s="3993"/>
      <c r="Y8" s="4113"/>
      <c r="Z8" s="2357"/>
      <c r="AA8" s="2069" t="s">
        <v>66</v>
      </c>
      <c r="AB8" s="2357"/>
      <c r="AC8" s="2069" t="s">
        <v>66</v>
      </c>
      <c r="AD8" s="3993"/>
      <c r="AE8" s="3992"/>
      <c r="AF8" s="3993"/>
      <c r="AG8" s="4113"/>
      <c r="AH8" s="2357"/>
      <c r="AI8" s="2069" t="s">
        <v>66</v>
      </c>
      <c r="AJ8" s="2357"/>
      <c r="AK8" s="2069" t="s">
        <v>66</v>
      </c>
      <c r="AL8" s="3993"/>
      <c r="AM8" s="2346" t="s">
        <v>1482</v>
      </c>
      <c r="AN8" s="675">
        <f>STRCHECKDATE(V9:AL9)</f>
      </c>
      <c r="AO8" s="664"/>
      <c r="AP8" s="664" t="str">
        <f>IF(T8="","",T8)</f>
        <v/>
      </c>
      <c r="AQ8" s="664"/>
      <c r="AR8" s="664"/>
    </row>
    <row customHeight="1" ht="0.75" hidden="1">
      <c r="A9" s="1586"/>
      <c r="B9" s="1586"/>
      <c r="C9" s="1586"/>
      <c r="D9" s="1586"/>
      <c r="E9" s="2352"/>
      <c r="F9" s="2352"/>
      <c r="G9" s="2352"/>
      <c r="H9" s="2352"/>
      <c r="I9" s="2381"/>
      <c r="J9" s="2382"/>
      <c r="K9" s="2349"/>
      <c r="L9" s="1587"/>
      <c r="M9" s="701"/>
      <c r="N9" s="1589"/>
      <c r="O9" s="1589"/>
      <c r="P9" s="2350"/>
      <c r="Q9" s="2350"/>
      <c r="R9" s="505"/>
      <c r="S9" s="1564"/>
      <c r="T9" s="437"/>
      <c r="U9" s="437"/>
      <c r="V9" s="3993"/>
      <c r="W9" s="3993"/>
      <c r="X9" s="3993"/>
      <c r="Y9" s="3998" t="str">
        <f>Z8&amp;"-"&amp;AB8</f>
        <v>-</v>
      </c>
      <c r="Z9" s="2358"/>
      <c r="AA9" s="2069"/>
      <c r="AB9" s="2358"/>
      <c r="AC9" s="2069"/>
      <c r="AD9" s="3993"/>
      <c r="AE9" s="3993"/>
      <c r="AF9" s="3993"/>
      <c r="AG9" s="3998" t="str">
        <f>AH8&amp;"-"&amp;AJ8</f>
        <v>-</v>
      </c>
      <c r="AH9" s="2358"/>
      <c r="AI9" s="2069"/>
      <c r="AJ9" s="2358"/>
      <c r="AK9" s="2069"/>
      <c r="AL9" s="3993"/>
      <c r="AM9" s="2347"/>
      <c r="AO9" s="664"/>
      <c r="AP9" s="664" t="str">
        <f>IF(T9="","",T9)</f>
        <v/>
      </c>
      <c r="AQ9" s="664"/>
      <c r="AR9" s="664"/>
    </row>
    <row customHeight="1" ht="15" hidden="1">
      <c r="A10" s="1586"/>
      <c r="B10" s="1586"/>
      <c r="C10" s="1586"/>
      <c r="D10" s="1586"/>
      <c r="E10" s="2352"/>
      <c r="F10" s="2352"/>
      <c r="G10" s="2352"/>
      <c r="H10" s="2352"/>
      <c r="I10" s="2381"/>
      <c r="J10" s="2349"/>
      <c r="K10" s="1586"/>
      <c r="L10" s="1587"/>
      <c r="M10" s="701"/>
      <c r="N10" s="1589"/>
      <c r="P10" s="2350"/>
      <c r="Q10" s="2350"/>
      <c r="R10" s="504"/>
      <c r="S10" s="1495"/>
      <c r="T10" s="425" t="s">
        <v>1483</v>
      </c>
      <c r="U10" s="519"/>
      <c r="V10" s="519"/>
      <c r="W10" s="519"/>
      <c r="X10" s="519"/>
      <c r="Y10" s="519"/>
      <c r="Z10" s="519"/>
      <c r="AA10" s="519"/>
      <c r="AB10" s="519"/>
      <c r="AC10" s="519"/>
      <c r="AD10" s="519"/>
      <c r="AE10" s="519"/>
      <c r="AF10" s="519"/>
      <c r="AG10" s="519"/>
      <c r="AH10" s="519"/>
      <c r="AI10" s="519"/>
      <c r="AJ10" s="519"/>
      <c r="AK10" s="519"/>
      <c r="AL10" s="471"/>
      <c r="AM10" s="2348"/>
      <c r="AO10" s="664"/>
      <c r="AP10" s="664" t="str">
        <f>IF(T10="","",T10)</f>
        <v>Добавить вид теплоносителя (параметры теплоносителя)</v>
      </c>
      <c r="AQ10" s="664"/>
      <c r="AR10" s="664"/>
    </row>
    <row customHeight="1" ht="15" hidden="1">
      <c r="A11" s="1586"/>
      <c r="B11" s="1586"/>
      <c r="C11" s="1586"/>
      <c r="D11" s="1586"/>
      <c r="E11" s="2352"/>
      <c r="F11" s="2352"/>
      <c r="G11" s="2352"/>
      <c r="H11" s="2352"/>
      <c r="I11" s="2380"/>
      <c r="J11" s="1586"/>
      <c r="K11" s="1586"/>
      <c r="L11" s="1587"/>
      <c r="M11" s="701"/>
      <c r="P11" s="2350"/>
      <c r="Q11" s="1553"/>
      <c r="R11" s="504"/>
      <c r="S11" s="1495"/>
      <c r="T11" s="424" t="s">
        <v>1484</v>
      </c>
      <c r="U11" s="519"/>
      <c r="V11" s="519"/>
      <c r="W11" s="519"/>
      <c r="X11" s="519"/>
      <c r="Y11" s="519"/>
      <c r="Z11" s="519"/>
      <c r="AA11" s="519"/>
      <c r="AB11" s="519"/>
      <c r="AC11" s="518"/>
      <c r="AD11" s="519"/>
      <c r="AE11" s="519"/>
      <c r="AF11" s="519"/>
      <c r="AG11" s="519"/>
      <c r="AH11" s="519"/>
      <c r="AI11" s="519"/>
      <c r="AJ11" s="519"/>
      <c r="AK11" s="518"/>
      <c r="AL11" s="519"/>
      <c r="AM11" s="440"/>
      <c r="AO11" s="664"/>
      <c r="AP11" s="664" t="str">
        <f>IF(T11="","",T11)</f>
        <v>Добавить группу потребителей</v>
      </c>
      <c r="AQ11" s="664"/>
      <c r="AR11" s="664"/>
    </row>
    <row customHeight="1" ht="14.25" hidden="1">
      <c r="A12" s="1586"/>
      <c r="B12" s="1586"/>
      <c r="C12" s="1586"/>
      <c r="D12" s="1586"/>
      <c r="E12" s="2352"/>
      <c r="F12" s="2352"/>
      <c r="G12" s="2352"/>
      <c r="H12" s="2351"/>
      <c r="I12" s="1586"/>
      <c r="J12" s="1586"/>
      <c r="K12" s="1586"/>
      <c r="L12" s="1587"/>
      <c r="M12" s="1588"/>
      <c r="N12" s="1588"/>
      <c r="O12" s="701"/>
      <c r="P12" s="508"/>
      <c r="Q12" s="528"/>
      <c r="R12" s="503"/>
      <c r="S12" s="1495"/>
      <c r="T12" s="516" t="s">
        <v>1485</v>
      </c>
      <c r="U12" s="519"/>
      <c r="V12" s="519"/>
      <c r="W12" s="519"/>
      <c r="X12" s="519"/>
      <c r="Y12" s="519"/>
      <c r="Z12" s="519"/>
      <c r="AA12" s="519"/>
      <c r="AB12" s="519"/>
      <c r="AC12" s="518"/>
      <c r="AD12" s="519"/>
      <c r="AE12" s="519"/>
      <c r="AF12" s="519"/>
      <c r="AG12" s="519"/>
      <c r="AH12" s="519"/>
      <c r="AI12" s="519"/>
      <c r="AJ12" s="519"/>
      <c r="AK12" s="518"/>
      <c r="AL12" s="519"/>
      <c r="AM12" s="440"/>
      <c r="AO12" s="664"/>
      <c r="AP12" s="664" t="str">
        <f>IF(T12="","",T12)</f>
        <v>Добавить схему подключения</v>
      </c>
      <c r="AQ12" s="664"/>
      <c r="AR12" s="664"/>
    </row>
    <row s="6520" customFormat="1" customHeight="1" ht="0.75" hidden="1">
      <c r="A13" s="1536"/>
      <c r="B13" s="1536"/>
      <c r="C13" s="1536"/>
      <c r="D13" s="1536"/>
      <c r="E13" s="2352"/>
      <c r="F13" s="2352"/>
      <c r="G13" s="2351"/>
      <c r="H13" s="1536"/>
      <c r="I13" s="1536"/>
      <c r="J13" s="1536"/>
      <c r="K13" s="1536"/>
      <c r="L13" s="1561"/>
      <c r="M13" s="1537"/>
      <c r="N13" s="1537"/>
      <c r="P13" s="1538"/>
      <c r="Q13" s="1539"/>
      <c r="R13" s="1538"/>
      <c r="S13" s="1540"/>
      <c r="T13" s="1541" t="s">
        <v>1444</v>
      </c>
      <c r="U13" s="1542"/>
      <c r="V13" s="1542"/>
      <c r="W13" s="1542"/>
      <c r="X13" s="1542"/>
      <c r="Y13" s="1542"/>
      <c r="Z13" s="1542"/>
      <c r="AA13" s="1542"/>
      <c r="AB13" s="1542"/>
      <c r="AC13" s="1542"/>
      <c r="AD13" s="1542"/>
      <c r="AE13" s="1542"/>
      <c r="AF13" s="1542"/>
      <c r="AG13" s="1542"/>
      <c r="AH13" s="1542"/>
      <c r="AI13" s="1542"/>
      <c r="AJ13" s="1542"/>
      <c r="AK13" s="1542"/>
      <c r="AL13" s="1542"/>
      <c r="AM13" s="1542"/>
      <c r="AO13" s="956"/>
      <c r="AP13" s="956" t="str">
        <f>IF(T13="","",T13)</f>
        <v>Добавить источник для дифференциации</v>
      </c>
      <c r="AQ13" s="956"/>
      <c r="AR13" s="956"/>
    </row>
    <row s="6520" customFormat="1" customHeight="1" ht="0.75" hidden="1">
      <c r="A14" s="1536"/>
      <c r="B14" s="1536"/>
      <c r="C14" s="1536"/>
      <c r="D14" s="1536"/>
      <c r="E14" s="2352"/>
      <c r="F14" s="2351"/>
      <c r="G14" s="1536"/>
      <c r="H14" s="1536"/>
      <c r="I14" s="1536"/>
      <c r="J14" s="1536"/>
      <c r="K14" s="1536"/>
      <c r="L14" s="1561"/>
      <c r="M14" s="1543"/>
      <c r="N14" s="1543"/>
      <c r="P14" s="1538"/>
      <c r="Q14" s="1539"/>
      <c r="R14" s="1538"/>
      <c r="S14" s="1544"/>
      <c r="T14" s="1545" t="s">
        <v>1445</v>
      </c>
      <c r="U14" s="1546"/>
      <c r="V14" s="1546"/>
      <c r="W14" s="1546"/>
      <c r="X14" s="1546"/>
      <c r="Y14" s="1546"/>
      <c r="Z14" s="1546"/>
      <c r="AA14" s="1546"/>
      <c r="AB14" s="1546"/>
      <c r="AC14" s="1546"/>
      <c r="AD14" s="1546"/>
      <c r="AE14" s="1546"/>
      <c r="AF14" s="1546"/>
      <c r="AG14" s="1546"/>
      <c r="AH14" s="1546"/>
      <c r="AI14" s="1546"/>
      <c r="AJ14" s="1546"/>
      <c r="AK14" s="1546"/>
      <c r="AL14" s="1546"/>
      <c r="AM14" s="1546"/>
      <c r="AO14" s="956"/>
      <c r="AP14" s="956" t="str">
        <f>IF(T14="","",T14)</f>
        <v>Добавить централизованную систему для дифференциации</v>
      </c>
      <c r="AQ14" s="956"/>
      <c r="AR14" s="956"/>
    </row>
    <row s="6520" customFormat="1" customHeight="1" ht="0.75" hidden="1">
      <c r="A15" s="1536"/>
      <c r="B15" s="1536"/>
      <c r="C15" s="1536"/>
      <c r="D15" s="1536"/>
      <c r="E15" s="2351"/>
      <c r="F15" s="1536"/>
      <c r="G15" s="1536"/>
      <c r="H15" s="1536"/>
      <c r="I15" s="1536"/>
      <c r="J15" s="1536"/>
      <c r="K15" s="1536"/>
      <c r="L15" s="1561"/>
      <c r="M15" s="1543"/>
      <c r="N15" s="1543"/>
      <c r="P15" s="1538"/>
      <c r="Q15" s="1539"/>
      <c r="R15" s="1538"/>
      <c r="S15" s="1544"/>
      <c r="T15" s="1547" t="s">
        <v>1446</v>
      </c>
      <c r="U15" s="1546"/>
      <c r="V15" s="1546"/>
      <c r="W15" s="1546"/>
      <c r="X15" s="1546"/>
      <c r="Y15" s="1546"/>
      <c r="Z15" s="1546"/>
      <c r="AA15" s="1546"/>
      <c r="AB15" s="1546"/>
      <c r="AC15" s="1546"/>
      <c r="AD15" s="1546"/>
      <c r="AE15" s="1546"/>
      <c r="AF15" s="1546"/>
      <c r="AG15" s="1546"/>
      <c r="AH15" s="1546"/>
      <c r="AI15" s="1546"/>
      <c r="AJ15" s="1546"/>
      <c r="AK15" s="1546"/>
      <c r="AL15" s="1546"/>
      <c r="AM15" s="1546"/>
      <c r="AO15" s="956"/>
      <c r="AP15" s="956" t="str">
        <f>IF(T15="","",T15)</f>
        <v>Добавить территорию для дифференциации</v>
      </c>
      <c r="AQ15" s="956"/>
      <c r="AR15" s="956"/>
    </row>
    <row customHeight="1" ht="14.25" hidden="1">
      <c r="AC16" s="475"/>
      <c r="AK16" s="475"/>
    </row>
    <row customHeight="1" ht="14.25" hidden="1">
      <c r="AD17" s="4025"/>
      <c r="AE17" s="4025"/>
      <c r="AF17" s="4025"/>
      <c r="AG17" s="4026"/>
      <c r="AH17" s="2359"/>
      <c r="AI17" s="2360" t="s">
        <v>66</v>
      </c>
      <c r="AJ17" s="2359"/>
      <c r="AK17" s="2360" t="s">
        <v>66</v>
      </c>
    </row>
    <row customHeight="1" ht="14.25" hidden="1">
      <c r="AD18" s="4025"/>
      <c r="AE18" s="4025"/>
      <c r="AF18" s="4025"/>
      <c r="AG18" s="3998" t="str">
        <f>AH17&amp;"-"&amp;AJ17</f>
        <v>-</v>
      </c>
      <c r="AH18" s="2360"/>
      <c r="AI18" s="2360"/>
      <c r="AJ18" s="2360"/>
      <c r="AK18" s="2360"/>
    </row>
    <row customHeight="1" ht="14.25" hidden="1">
      <c r="AK19" s="475"/>
    </row>
    <row s="6539" customFormat="1" customHeight="1" ht="22.5" hidden="1">
      <c r="L20" s="1551"/>
      <c r="M20" s="1585"/>
      <c r="N20" s="1585"/>
      <c r="O20" s="1590" t="s">
        <v>1486</v>
      </c>
      <c r="P20" s="1585"/>
      <c r="Q20" s="1594"/>
      <c r="R20" s="1594"/>
      <c r="S20" s="894"/>
      <c r="Z20" s="1590"/>
      <c r="AB20" s="1590"/>
      <c r="AC20" s="1589"/>
      <c r="AH20" s="1590"/>
      <c r="AJ20" s="1590"/>
      <c r="AK20" s="1589"/>
      <c r="AN20" s="675"/>
      <c r="AO20" s="675"/>
      <c r="AP20" s="675"/>
      <c r="AQ20" s="675"/>
      <c r="AR20" s="675"/>
    </row>
    <row s="6539" customFormat="1" customHeight="1" ht="14.25" hidden="1">
      <c r="L21" s="1551"/>
      <c r="M21" s="1585"/>
      <c r="N21" s="1585"/>
      <c r="O21" s="1585"/>
      <c r="P21" s="1585"/>
      <c r="Q21" s="1594"/>
      <c r="R21" s="1594"/>
      <c r="S21" s="894"/>
      <c r="AC21" s="1589"/>
      <c r="AK21" s="1589"/>
      <c r="AN21" s="675"/>
      <c r="AO21" s="675"/>
      <c r="AP21" s="675"/>
      <c r="AQ21" s="675"/>
      <c r="AR21" s="675"/>
    </row>
    <row s="6539" customFormat="1" customHeight="1" ht="33.75" hidden="1">
      <c r="L22" s="1551"/>
      <c r="M22" s="1585"/>
      <c r="N22" s="1585"/>
      <c r="O22" s="1587" t="s">
        <v>1487</v>
      </c>
      <c r="P22" s="1585"/>
      <c r="Q22" s="1594"/>
      <c r="R22" s="1594"/>
      <c r="S22" s="894"/>
      <c r="T22" s="1348" t="s">
        <v>1488</v>
      </c>
      <c r="AA22" s="320" t="s">
        <v>1489</v>
      </c>
      <c r="AC22" s="320" t="s">
        <v>1490</v>
      </c>
      <c r="AD22" s="1348" t="s">
        <v>1488</v>
      </c>
      <c r="AI22" s="320" t="s">
        <v>1491</v>
      </c>
      <c r="AK22" s="320" t="s">
        <v>1490</v>
      </c>
      <c r="AN22" s="675"/>
      <c r="AO22" s="675"/>
      <c r="AP22" s="675"/>
      <c r="AQ22" s="675"/>
      <c r="AR22" s="675"/>
    </row>
    <row customHeight="1" ht="14.25" hidden="1">
      <c r="O23" s="1587"/>
    </row>
    <row customHeight="1" ht="14.25" hidden="1">
      <c r="O24" s="1587"/>
    </row>
    <row customHeight="1" ht="14.25">
      <c r="Q25" s="529"/>
      <c r="R25" s="529"/>
      <c r="S25" s="1492"/>
      <c r="T25" s="513"/>
      <c r="U25" s="513"/>
      <c r="V25" s="673"/>
      <c r="W25" s="673"/>
      <c r="X25" s="673"/>
      <c r="Y25" s="673"/>
      <c r="Z25" s="673"/>
      <c r="AA25" s="673"/>
      <c r="AB25" s="673"/>
      <c r="AC25" s="673"/>
      <c r="AD25" s="673"/>
      <c r="AE25" s="673"/>
      <c r="AF25" s="673"/>
      <c r="AG25" s="673"/>
      <c r="AH25" s="673"/>
      <c r="AI25" s="673"/>
      <c r="AJ25" s="673"/>
      <c r="AK25" s="673"/>
    </row>
    <row customHeight="1" ht="88.5">
      <c r="Q26" s="529"/>
      <c r="R26" s="529"/>
      <c r="S26" s="2341" t="str">
        <f>IF(TEMPLATE_GROUP="P",PT_P_FORM_HEAT_4_NAME_FORM,PT_R_FORM_HEAT_21_NAME_FORM)</f>
        <v>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41"/>
      <c r="U26" s="2341"/>
      <c r="V26" s="2341"/>
      <c r="W26" s="2341"/>
      <c r="X26" s="2341"/>
      <c r="Y26" s="2341"/>
      <c r="Z26" s="2341"/>
      <c r="AA26" s="2341"/>
      <c r="AB26" s="2341"/>
      <c r="AC26" s="2341"/>
      <c r="AD26" s="2341"/>
      <c r="AE26" s="2341"/>
      <c r="AF26" s="2341"/>
      <c r="AG26" s="2341"/>
      <c r="AH26" s="2341"/>
      <c r="AI26" s="2341"/>
      <c r="AJ26" s="2341"/>
      <c r="AK26" s="1448"/>
    </row>
    <row customHeight="1" ht="14.25">
      <c r="Q27" s="529"/>
      <c r="R27" s="529"/>
      <c r="S27"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42"/>
      <c r="U27" s="2342"/>
      <c r="V27" s="2342"/>
      <c r="W27" s="2342"/>
      <c r="X27" s="2342"/>
      <c r="Y27" s="2342"/>
      <c r="Z27" s="2342"/>
      <c r="AA27" s="2342"/>
      <c r="AB27" s="2342"/>
      <c r="AC27" s="2342"/>
      <c r="AD27" s="2342"/>
      <c r="AE27" s="2342"/>
      <c r="AF27" s="2342"/>
      <c r="AG27" s="2342"/>
      <c r="AH27" s="2342"/>
      <c r="AI27" s="2342"/>
      <c r="AJ27" s="2342"/>
      <c r="AK27" s="1448"/>
    </row>
    <row customHeight="1" ht="14.25" hidden="1">
      <c r="Q28" s="529"/>
      <c r="R28" s="529"/>
      <c r="S28" s="1492"/>
      <c r="T28" s="513"/>
      <c r="U28" s="513"/>
      <c r="V28" s="468"/>
      <c r="W28" s="468"/>
      <c r="X28" s="468"/>
      <c r="Y28" s="468"/>
      <c r="Z28" s="468"/>
      <c r="AA28" s="468"/>
      <c r="AB28" s="468"/>
      <c r="AC28" s="468"/>
      <c r="AD28" s="468"/>
      <c r="AE28" s="468"/>
      <c r="AF28" s="468"/>
      <c r="AG28" s="468"/>
      <c r="AH28" s="468"/>
      <c r="AI28" s="468"/>
      <c r="AJ28" s="468"/>
      <c r="AK28" s="468"/>
      <c r="AL28" s="673"/>
    </row>
    <row s="6550" customFormat="1" customHeight="1" ht="25.5" hidden="1">
      <c r="A29" s="1591"/>
      <c r="B29" s="1591"/>
      <c r="C29" s="1591"/>
      <c r="D29" s="1591"/>
      <c r="E29" s="1591"/>
      <c r="F29" s="1591"/>
      <c r="G29" s="1591"/>
      <c r="H29" s="1591"/>
      <c r="I29" s="1591"/>
      <c r="J29" s="1591"/>
      <c r="K29" s="1591"/>
      <c r="L29" s="1592"/>
      <c r="M29" s="1591"/>
      <c r="N29" s="1591"/>
      <c r="O29" s="1591"/>
      <c r="S29" s="2343" t="s">
        <v>39</v>
      </c>
      <c r="T29" s="2343"/>
      <c r="U29" s="1595"/>
      <c r="V29" s="2344" t="str">
        <f>IF(TITLE_NAME_OR_PR_CHANGE="",IF(TITLE_NAME_OR_PR="","",TITLE_NAME_OR_PR),TITLE_NAME_OR_PR_CHANGE)</f>
        <v/>
      </c>
      <c r="W29" s="2344"/>
      <c r="X29" s="2344"/>
      <c r="Y29" s="2344"/>
      <c r="Z29" s="2344"/>
      <c r="AA29" s="2344"/>
      <c r="AB29" s="2344"/>
      <c r="AC29" s="474"/>
      <c r="AD29" s="2344" t="str">
        <f>IF(TITLE_NAME_OR_PR_CHANGE="",IF(TITLE_NAME_OR_PR="","",TITLE_NAME_OR_PR),TITLE_NAME_OR_PR_CHANGE)</f>
        <v/>
      </c>
      <c r="AE29" s="2344"/>
      <c r="AF29" s="2344"/>
      <c r="AG29" s="2344"/>
      <c r="AH29" s="2344"/>
      <c r="AI29" s="2344"/>
      <c r="AJ29" s="2344"/>
      <c r="AK29" s="474"/>
      <c r="AL29" s="474"/>
      <c r="AM29" s="417"/>
      <c r="AN29" s="520"/>
      <c r="AO29" s="520"/>
      <c r="AP29" s="520"/>
      <c r="AQ29" s="520"/>
      <c r="AR29" s="520"/>
    </row>
    <row s="6550" customFormat="1" customHeight="1" ht="18.75" hidden="1">
      <c r="A30" s="1591"/>
      <c r="B30" s="1591"/>
      <c r="C30" s="1591"/>
      <c r="D30" s="1591"/>
      <c r="E30" s="1591"/>
      <c r="F30" s="1591"/>
      <c r="G30" s="1591"/>
      <c r="H30" s="1591"/>
      <c r="I30" s="1591"/>
      <c r="J30" s="1591"/>
      <c r="K30" s="1591"/>
      <c r="L30" s="1592"/>
      <c r="M30" s="1591"/>
      <c r="N30" s="1591"/>
      <c r="O30" s="1591"/>
      <c r="S30" s="2343" t="s">
        <v>1492</v>
      </c>
      <c r="T30" s="2343"/>
      <c r="U30" s="1595"/>
      <c r="V30" s="2344" t="str">
        <f>IF(TITLE_DATE_CHANGE_PERIOD="",IF(TITLE_DATE_PR="","",TITLE_DATE_PR),TITLE_DATE_CHANGE_PERIOD)</f>
        <v/>
      </c>
      <c r="W30" s="2344"/>
      <c r="X30" s="2344"/>
      <c r="Y30" s="2344"/>
      <c r="Z30" s="2344"/>
      <c r="AA30" s="2344"/>
      <c r="AB30" s="2344"/>
      <c r="AC30" s="474"/>
      <c r="AD30" s="2344" t="str">
        <f>IF(TITLE_DATE_CHANGE_PERIOD="",IF(TITLE_DATE_PR="","",TITLE_DATE_PR),TITLE_DATE_CHANGE_PERIOD)</f>
        <v/>
      </c>
      <c r="AE30" s="2344"/>
      <c r="AF30" s="2344"/>
      <c r="AG30" s="2344"/>
      <c r="AH30" s="2344"/>
      <c r="AI30" s="2344"/>
      <c r="AJ30" s="2344"/>
      <c r="AK30" s="474"/>
      <c r="AL30" s="474"/>
      <c r="AM30" s="417"/>
      <c r="AN30" s="520"/>
      <c r="AO30" s="520"/>
      <c r="AP30" s="520"/>
      <c r="AQ30" s="520"/>
      <c r="AR30" s="520"/>
    </row>
    <row s="6550" customFormat="1" customHeight="1" ht="18.75" hidden="1">
      <c r="A31" s="1591"/>
      <c r="B31" s="1591"/>
      <c r="C31" s="1591"/>
      <c r="D31" s="1591"/>
      <c r="E31" s="1591"/>
      <c r="F31" s="1591"/>
      <c r="G31" s="1591"/>
      <c r="H31" s="1591"/>
      <c r="I31" s="1591"/>
      <c r="J31" s="1591"/>
      <c r="K31" s="1591"/>
      <c r="L31" s="1592"/>
      <c r="M31" s="1591"/>
      <c r="N31" s="1591"/>
      <c r="O31" s="1591"/>
      <c r="S31" s="2343" t="s">
        <v>1493</v>
      </c>
      <c r="T31" s="2343"/>
      <c r="U31" s="1595"/>
      <c r="V31" s="2344" t="str">
        <f>IF(TITLE_NUMBER_PR_CHANGE="",IF(TITLE_NUMBER_PR="","",TITLE_NUMBER_PR),TITLE_NUMBER_PR_CHANGE)</f>
        <v/>
      </c>
      <c r="W31" s="2344"/>
      <c r="X31" s="2344"/>
      <c r="Y31" s="2344"/>
      <c r="Z31" s="2344"/>
      <c r="AA31" s="2344"/>
      <c r="AB31" s="2344"/>
      <c r="AC31" s="474"/>
      <c r="AD31" s="2344" t="str">
        <f>IF(TITLE_NUMBER_PR_CHANGE="",IF(TITLE_NUMBER_PR="","",TITLE_NUMBER_PR),TITLE_NUMBER_PR_CHANGE)</f>
        <v/>
      </c>
      <c r="AE31" s="2344"/>
      <c r="AF31" s="2344"/>
      <c r="AG31" s="2344"/>
      <c r="AH31" s="2344"/>
      <c r="AI31" s="2344"/>
      <c r="AJ31" s="2344"/>
      <c r="AK31" s="474"/>
      <c r="AL31" s="474"/>
      <c r="AM31" s="417"/>
      <c r="AN31" s="520"/>
      <c r="AO31" s="520"/>
      <c r="AP31" s="520"/>
      <c r="AQ31" s="520"/>
      <c r="AR31" s="520"/>
    </row>
    <row s="6550" customFormat="1" customHeight="1" ht="18.75" hidden="1">
      <c r="A32" s="1591"/>
      <c r="B32" s="1591"/>
      <c r="C32" s="1591"/>
      <c r="D32" s="1591"/>
      <c r="E32" s="1591"/>
      <c r="F32" s="1591"/>
      <c r="G32" s="1591"/>
      <c r="H32" s="1591"/>
      <c r="I32" s="1591"/>
      <c r="J32" s="1591"/>
      <c r="K32" s="1591"/>
      <c r="L32" s="1592"/>
      <c r="M32" s="1591"/>
      <c r="N32" s="1591"/>
      <c r="O32" s="1591"/>
      <c r="S32" s="2343" t="s">
        <v>40</v>
      </c>
      <c r="T32" s="2343"/>
      <c r="U32" s="1595"/>
      <c r="V32" s="2344" t="str">
        <f>IF(TITLE_IST_PUB_CHANGE="",IF(TITLE_IST_PUB="","",TITLE_IST_PUB),TITLE_IST_PUB_CHANGE)</f>
        <v/>
      </c>
      <c r="W32" s="2344"/>
      <c r="X32" s="2344"/>
      <c r="Y32" s="2344"/>
      <c r="Z32" s="2344"/>
      <c r="AA32" s="2344"/>
      <c r="AB32" s="2344"/>
      <c r="AC32" s="474"/>
      <c r="AD32" s="2344" t="str">
        <f>IF(TITLE_IST_PUB_CHANGE="",IF(TITLE_IST_PUB="","",TITLE_IST_PUB),TITLE_IST_PUB_CHANGE)</f>
        <v/>
      </c>
      <c r="AE32" s="2344"/>
      <c r="AF32" s="2344"/>
      <c r="AG32" s="2344"/>
      <c r="AH32" s="2344"/>
      <c r="AI32" s="2344"/>
      <c r="AJ32" s="2344"/>
      <c r="AK32" s="474"/>
      <c r="AL32" s="474"/>
      <c r="AM32" s="417"/>
      <c r="AN32" s="520"/>
      <c r="AO32" s="520"/>
      <c r="AP32" s="520"/>
      <c r="AQ32" s="520"/>
      <c r="AR32" s="520"/>
    </row>
    <row customHeight="1" ht="14.25" hidden="1">
      <c r="Q33" s="529"/>
      <c r="R33" s="529"/>
      <c r="S33" s="1492"/>
      <c r="T33" s="513"/>
      <c r="U33" s="513"/>
      <c r="V33" s="468"/>
      <c r="W33" s="468"/>
      <c r="X33" s="468"/>
      <c r="Y33" s="468"/>
      <c r="Z33" s="468"/>
      <c r="AA33" s="468"/>
      <c r="AB33" s="468"/>
      <c r="AC33" s="468"/>
      <c r="AD33" s="468"/>
      <c r="AE33" s="468"/>
      <c r="AF33" s="468"/>
      <c r="AG33" s="468"/>
      <c r="AH33" s="468"/>
      <c r="AI33" s="468"/>
      <c r="AJ33" s="468"/>
      <c r="AK33" s="468"/>
      <c r="AL33" s="673"/>
    </row>
    <row s="6550" customFormat="1" customHeight="1" ht="18.75" hidden="1">
      <c r="A34" s="1591"/>
      <c r="B34" s="1591"/>
      <c r="C34" s="1591"/>
      <c r="D34" s="1591"/>
      <c r="E34" s="1591"/>
      <c r="F34" s="1591"/>
      <c r="G34" s="1591"/>
      <c r="H34" s="1591"/>
      <c r="I34" s="1591"/>
      <c r="J34" s="1591"/>
      <c r="K34" s="1591"/>
      <c r="L34" s="1592"/>
      <c r="M34" s="1591"/>
      <c r="N34" s="1591"/>
      <c r="O34" s="1591"/>
      <c r="S34" s="2343" t="s">
        <v>1494</v>
      </c>
      <c r="T34" s="2343"/>
      <c r="U34" s="1595"/>
      <c r="V34" s="2344" t="str">
        <f>IF(TITLE_DATE_CHANGE_PERIOD="",IF(TITLE_DATE_PR="","",TITLE_DATE_PR),TITLE_DATE_CHANGE_PERIOD)</f>
        <v/>
      </c>
      <c r="W34" s="2344"/>
      <c r="X34" s="2344"/>
      <c r="Y34" s="2344"/>
      <c r="Z34" s="2344"/>
      <c r="AA34" s="2344"/>
      <c r="AB34" s="2344"/>
      <c r="AC34" s="474"/>
      <c r="AD34" s="2344" t="str">
        <f>IF(TITLE_DATE_CHANGE_PERIOD="",IF(TITLE_DATE_PR="","",TITLE_DATE_PR),TITLE_DATE_CHANGE_PERIOD)</f>
        <v/>
      </c>
      <c r="AE34" s="2344"/>
      <c r="AF34" s="2344"/>
      <c r="AG34" s="2344"/>
      <c r="AH34" s="2344"/>
      <c r="AI34" s="2344"/>
      <c r="AJ34" s="2344"/>
      <c r="AK34" s="474"/>
      <c r="AL34" s="474"/>
      <c r="AM34" s="417"/>
      <c r="AN34" s="520"/>
      <c r="AO34" s="520"/>
      <c r="AP34" s="520"/>
      <c r="AQ34" s="520"/>
      <c r="AR34" s="520"/>
    </row>
    <row s="6550" customFormat="1" customHeight="1" ht="18.75" hidden="1">
      <c r="A35" s="1591"/>
      <c r="B35" s="1591"/>
      <c r="C35" s="1591"/>
      <c r="D35" s="1591"/>
      <c r="E35" s="1591"/>
      <c r="F35" s="1591"/>
      <c r="G35" s="1591"/>
      <c r="H35" s="1591"/>
      <c r="I35" s="1591"/>
      <c r="J35" s="1591"/>
      <c r="K35" s="1591"/>
      <c r="L35" s="1592"/>
      <c r="M35" s="1591"/>
      <c r="N35" s="1591"/>
      <c r="O35" s="1591"/>
      <c r="S35" s="2343" t="s">
        <v>1495</v>
      </c>
      <c r="T35" s="2343"/>
      <c r="U35" s="1595"/>
      <c r="V35" s="2344" t="str">
        <f>IF(TITLE_NUMBER_PR_CHANGE="",IF(TITLE_NUMBER_PR="","",TITLE_NUMBER_PR),TITLE_NUMBER_PR_CHANGE)</f>
        <v/>
      </c>
      <c r="W35" s="2344"/>
      <c r="X35" s="2344"/>
      <c r="Y35" s="2344"/>
      <c r="Z35" s="2344"/>
      <c r="AA35" s="2344"/>
      <c r="AB35" s="2344"/>
      <c r="AC35" s="474"/>
      <c r="AD35" s="2344" t="str">
        <f>IF(TITLE_NUMBER_PR_CHANGE="",IF(TITLE_NUMBER_PR="","",TITLE_NUMBER_PR),TITLE_NUMBER_PR_CHANGE)</f>
        <v/>
      </c>
      <c r="AE35" s="2344"/>
      <c r="AF35" s="2344"/>
      <c r="AG35" s="2344"/>
      <c r="AH35" s="2344"/>
      <c r="AI35" s="2344"/>
      <c r="AJ35" s="2344"/>
      <c r="AK35" s="474"/>
      <c r="AL35" s="474"/>
      <c r="AM35" s="417"/>
      <c r="AN35" s="520"/>
      <c r="AO35" s="520"/>
      <c r="AP35" s="520"/>
      <c r="AQ35" s="520"/>
      <c r="AR35" s="520"/>
    </row>
    <row s="6550" customFormat="1" customHeight="1" ht="0">
      <c r="A36" s="1591"/>
      <c r="B36" s="1591"/>
      <c r="C36" s="1591"/>
      <c r="D36" s="1591"/>
      <c r="E36" s="1591"/>
      <c r="F36" s="1591"/>
      <c r="G36" s="1591"/>
      <c r="H36" s="1591"/>
      <c r="I36" s="1591"/>
      <c r="J36" s="1591"/>
      <c r="K36" s="1591"/>
      <c r="L36" s="1592"/>
      <c r="M36" s="1591"/>
      <c r="N36" s="1591"/>
      <c r="O36" s="1591"/>
      <c r="S36" s="470"/>
      <c r="T36" s="470"/>
      <c r="U36" s="1562"/>
      <c r="V36" s="474"/>
      <c r="W36" s="474"/>
      <c r="X36" s="474"/>
      <c r="Y36" s="474"/>
      <c r="Z36" s="474"/>
      <c r="AA36" s="474"/>
      <c r="AB36" s="474"/>
      <c r="AC36" s="415" t="s">
        <v>1496</v>
      </c>
      <c r="AD36" s="474"/>
      <c r="AE36" s="474"/>
      <c r="AF36" s="474"/>
      <c r="AG36" s="474"/>
      <c r="AH36" s="474"/>
      <c r="AI36" s="474"/>
      <c r="AJ36" s="474"/>
      <c r="AK36" s="415" t="s">
        <v>1496</v>
      </c>
      <c r="AN36" s="520"/>
      <c r="AO36" s="520"/>
      <c r="AP36" s="520"/>
      <c r="AQ36" s="520"/>
      <c r="AR36" s="520"/>
    </row>
    <row customHeight="1" ht="14.25">
      <c r="Q37" s="529"/>
      <c r="R37" s="529"/>
      <c r="S37" s="1492"/>
      <c r="T37" s="513"/>
      <c r="U37" s="1449"/>
      <c r="V37" s="2345"/>
      <c r="W37" s="2345"/>
      <c r="X37" s="2345"/>
      <c r="Y37" s="2345"/>
      <c r="Z37" s="2345"/>
      <c r="AA37" s="2345"/>
      <c r="AB37" s="2345"/>
      <c r="AC37" s="2345"/>
      <c r="AD37" s="2345"/>
      <c r="AE37" s="2345"/>
      <c r="AF37" s="2345"/>
      <c r="AG37" s="2345"/>
      <c r="AH37" s="2345"/>
      <c r="AI37" s="2345"/>
      <c r="AJ37" s="2345"/>
      <c r="AK37" s="2345"/>
    </row>
    <row customHeight="1" ht="14.25">
      <c r="Q38" s="529"/>
      <c r="R38" s="529"/>
      <c r="S38" s="2204" t="s">
        <v>300</v>
      </c>
      <c r="T38" s="2204"/>
      <c r="U38" s="2204"/>
      <c r="V38" s="2204"/>
      <c r="W38" s="2204"/>
      <c r="X38" s="2204"/>
      <c r="Y38" s="2204"/>
      <c r="Z38" s="2204"/>
      <c r="AA38" s="2204"/>
      <c r="AB38" s="2204"/>
      <c r="AC38" s="2204"/>
      <c r="AD38" s="2204"/>
      <c r="AE38" s="2204"/>
      <c r="AF38" s="2204"/>
      <c r="AG38" s="2204"/>
      <c r="AH38" s="2204"/>
      <c r="AI38" s="2204"/>
      <c r="AJ38" s="2204"/>
      <c r="AK38" s="2204"/>
      <c r="AL38" s="2204"/>
      <c r="AM38" s="2204" t="s">
        <v>301</v>
      </c>
    </row>
    <row customHeight="1" ht="14.25">
      <c r="Q39" s="529"/>
      <c r="R39" s="529"/>
      <c r="S39" s="2367" t="s">
        <v>87</v>
      </c>
      <c r="T39" s="2228" t="s">
        <v>1497</v>
      </c>
      <c r="U39" s="438"/>
      <c r="V39" s="2368" t="s">
        <v>1498</v>
      </c>
      <c r="W39" s="2369"/>
      <c r="X39" s="2385"/>
      <c r="Y39" s="2385"/>
      <c r="Z39" s="2369"/>
      <c r="AA39" s="2369"/>
      <c r="AB39" s="2370"/>
      <c r="AC39" s="2371" t="s">
        <v>1499</v>
      </c>
      <c r="AD39" s="2368" t="s">
        <v>1498</v>
      </c>
      <c r="AE39" s="2369"/>
      <c r="AF39" s="2385"/>
      <c r="AG39" s="2385"/>
      <c r="AH39" s="2369"/>
      <c r="AI39" s="2369"/>
      <c r="AJ39" s="2370"/>
      <c r="AK39" s="2371" t="s">
        <v>1500</v>
      </c>
      <c r="AL39" s="2374" t="s">
        <v>1501</v>
      </c>
      <c r="AM39" s="2204"/>
    </row>
    <row customHeight="1" ht="23.25">
      <c r="Q40" s="529"/>
      <c r="R40" s="529"/>
      <c r="S40" s="2367"/>
      <c r="T40" s="2228"/>
      <c r="U40" s="1216"/>
      <c r="V40" s="2386" t="s">
        <v>1502</v>
      </c>
      <c r="W40" s="2388" t="s">
        <v>1503</v>
      </c>
      <c r="X40" s="1599" t="s">
        <v>1504</v>
      </c>
      <c r="Y40" s="1599"/>
      <c r="Z40" s="2362" t="s">
        <v>1505</v>
      </c>
      <c r="AA40" s="2362"/>
      <c r="AB40" s="2363"/>
      <c r="AC40" s="2372"/>
      <c r="AD40" s="2386" t="s">
        <v>1502</v>
      </c>
      <c r="AE40" s="2388" t="s">
        <v>1503</v>
      </c>
      <c r="AF40" s="1599" t="s">
        <v>1504</v>
      </c>
      <c r="AG40" s="1599"/>
      <c r="AH40" s="2362" t="s">
        <v>1505</v>
      </c>
      <c r="AI40" s="2362"/>
      <c r="AJ40" s="2363"/>
      <c r="AK40" s="2372"/>
      <c r="AL40" s="2375"/>
      <c r="AM40" s="2204"/>
    </row>
    <row s="6634" customFormat="1" customHeight="1" ht="23.25">
      <c r="A41" s="1593"/>
      <c r="B41" s="1593" t="s">
        <v>144</v>
      </c>
      <c r="C41" s="1593" t="s">
        <v>145</v>
      </c>
      <c r="D41" s="1593" t="s">
        <v>146</v>
      </c>
      <c r="E41" s="1587" t="s">
        <v>1506</v>
      </c>
      <c r="F41" s="1587" t="s">
        <v>1507</v>
      </c>
      <c r="G41" s="1587" t="s">
        <v>1508</v>
      </c>
      <c r="H41" s="1587" t="s">
        <v>1509</v>
      </c>
      <c r="I41" s="1587" t="s">
        <v>1510</v>
      </c>
      <c r="J41" s="1587" t="s">
        <v>1511</v>
      </c>
      <c r="K41" s="1587" t="s">
        <v>1512</v>
      </c>
      <c r="L41" s="1587" t="s">
        <v>1487</v>
      </c>
      <c r="M41" s="1585"/>
      <c r="N41" s="1585"/>
      <c r="O41" s="1585"/>
      <c r="P41" s="1550"/>
      <c r="Q41" s="529"/>
      <c r="R41" s="529"/>
      <c r="S41" s="2367"/>
      <c r="T41" s="2228"/>
      <c r="U41" s="439"/>
      <c r="V41" s="2387"/>
      <c r="W41" s="2389"/>
      <c r="X41" s="1596" t="s">
        <v>1513</v>
      </c>
      <c r="Y41" s="1596" t="s">
        <v>1514</v>
      </c>
      <c r="Z41" s="1556" t="s">
        <v>1515</v>
      </c>
      <c r="AA41" s="2364" t="s">
        <v>1516</v>
      </c>
      <c r="AB41" s="2365"/>
      <c r="AC41" s="2373"/>
      <c r="AD41" s="2387"/>
      <c r="AE41" s="2389"/>
      <c r="AF41" s="1596" t="s">
        <v>1513</v>
      </c>
      <c r="AG41" s="1596" t="s">
        <v>1514</v>
      </c>
      <c r="AH41" s="1556" t="s">
        <v>1515</v>
      </c>
      <c r="AI41" s="2364" t="s">
        <v>1516</v>
      </c>
      <c r="AJ41" s="2365"/>
      <c r="AK41" s="2373"/>
      <c r="AL41" s="2376"/>
      <c r="AM41" s="2204"/>
      <c r="AN41" s="675"/>
      <c r="AO41" s="664"/>
      <c r="AP41" s="664"/>
      <c r="AQ41" s="664"/>
      <c r="AR41" s="664"/>
    </row>
    <row s="5794" customFormat="1" customHeight="1" ht="11.25" hidden="1">
      <c r="A42" s="1593"/>
      <c r="B42" s="1593"/>
      <c r="C42" s="1593"/>
      <c r="D42" s="1593"/>
      <c r="E42" s="1593"/>
      <c r="F42" s="1593"/>
      <c r="G42" s="1593"/>
      <c r="H42" s="1593"/>
      <c r="I42" s="1593"/>
      <c r="J42" s="1593"/>
      <c r="K42" s="1593"/>
      <c r="L42" s="1587"/>
      <c r="M42" s="1585"/>
      <c r="N42" s="1585"/>
      <c r="O42" s="1585"/>
      <c r="P42" s="1451"/>
      <c r="Q42" s="1452"/>
      <c r="R42" s="1467">
        <v>1</v>
      </c>
      <c r="S42" s="1494" t="s">
        <v>118</v>
      </c>
      <c r="T42" s="1468" t="s">
        <v>102</v>
      </c>
      <c r="U42" s="1450" t="str">
        <f>OFFSET(U42,0,-1)</f>
        <v>2</v>
      </c>
      <c r="V42" s="1557">
        <f>OFFSET(V42,0,-1)+1</f>
        <v>3</v>
      </c>
      <c r="W42" s="1557"/>
      <c r="X42" s="1563">
        <f>OFFSET(X42,0,-1)+1</f>
        <v>1</v>
      </c>
      <c r="Y42" s="1563">
        <f>OFFSET(Y42,0,-1)+1</f>
        <v>2</v>
      </c>
      <c r="Z42" s="1557">
        <f>OFFSET(Z42,0,-1)+1</f>
        <v>3</v>
      </c>
      <c r="AA42" s="2366">
        <f>OFFSET(AA42,0,-1)+1</f>
        <v>4</v>
      </c>
      <c r="AB42" s="2366"/>
      <c r="AC42" s="1557">
        <f>OFFSET(AC42,0,-2)+1</f>
        <v>5</v>
      </c>
      <c r="AD42" s="1557">
        <f>OFFSET(AD42,0,-1)+1</f>
        <v>6</v>
      </c>
      <c r="AE42" s="1557"/>
      <c r="AF42" s="1563">
        <f>OFFSET(AF42,0,-1)+1</f>
        <v>1</v>
      </c>
      <c r="AG42" s="1563">
        <f>OFFSET(AG42,0,-1)+1</f>
        <v>2</v>
      </c>
      <c r="AH42" s="1557">
        <f>OFFSET(AH42,0,-1)+1</f>
        <v>3</v>
      </c>
      <c r="AI42" s="2366">
        <f>OFFSET(AI42,0,-1)+1</f>
        <v>4</v>
      </c>
      <c r="AJ42" s="2366"/>
      <c r="AK42" s="1557">
        <f>OFFSET(AK42,0,-2)+1</f>
        <v>5</v>
      </c>
      <c r="AL42" s="1450">
        <f>OFFSET(AL42,0,-1)</f>
        <v>5</v>
      </c>
      <c r="AM42" s="1557">
        <f>OFFSET(AM42,0,-1)+1</f>
        <v>6</v>
      </c>
      <c r="AN42" s="675"/>
      <c r="AO42" s="675"/>
      <c r="AP42" s="675"/>
      <c r="AQ42" s="675"/>
      <c r="AR42" s="675"/>
    </row>
    <row customHeight="1" ht="21">
      <c r="A43" s="1586" t="s">
        <v>206</v>
      </c>
      <c r="B43" s="1586"/>
      <c r="C43" s="1586"/>
      <c r="D43" s="1586"/>
      <c r="E43" s="2351">
        <v>1</v>
      </c>
      <c r="F43" s="1586"/>
      <c r="G43" s="1586"/>
      <c r="H43" s="1586"/>
      <c r="I43" s="1586"/>
      <c r="J43" s="1586"/>
      <c r="K43" s="1586"/>
      <c r="L43" s="1587"/>
      <c r="M43" s="1588"/>
      <c r="N43" s="1588"/>
      <c r="O43" s="1588"/>
      <c r="P43" s="509"/>
      <c r="Q43" s="508"/>
      <c r="R43" s="503"/>
      <c r="S43" s="1558">
        <f>INDEX(PT_DIFFERENTIATION_NUM_NTAR,MATCH(A43,PT_DIFFERENTIATION_NTAR_ID,0))</f>
        <v>0</v>
      </c>
      <c r="T43" s="435" t="s">
        <v>132</v>
      </c>
      <c r="U43" s="437"/>
      <c r="V43" s="3964"/>
      <c r="W43" s="3965"/>
      <c r="X43" s="3965"/>
      <c r="Y43" s="3965"/>
      <c r="Z43" s="3965"/>
      <c r="AA43" s="3965"/>
      <c r="AB43" s="3965"/>
      <c r="AC43" s="3966"/>
      <c r="AD43" s="3964" t="str">
        <f>INDEX(PT_DIFFERENTIATION_NTAR,MATCH(A43,PT_DIFFERENTIATION_NTAR_ID,0))</f>
        <v/>
      </c>
      <c r="AE43" s="3965"/>
      <c r="AF43" s="3965"/>
      <c r="AG43" s="3965"/>
      <c r="AH43" s="3965"/>
      <c r="AI43" s="3965"/>
      <c r="AJ43" s="3965"/>
      <c r="AK43" s="3965"/>
      <c r="AL43" s="3966"/>
      <c r="AM43" s="1473" t="s">
        <v>1468</v>
      </c>
      <c r="AO43" s="664"/>
      <c r="AP43" s="664" t="str">
        <f>IF(T43="","",T43)</f>
        <v>Наименование тарифа</v>
      </c>
      <c r="AQ43" s="664"/>
      <c r="AR43" s="664"/>
    </row>
    <row customHeight="1" ht="21">
      <c r="A44" s="1586" t="s">
        <v>206</v>
      </c>
      <c r="B44" s="1586" t="s">
        <v>207</v>
      </c>
      <c r="C44" s="1586"/>
      <c r="D44" s="1586"/>
      <c r="E44" s="2352"/>
      <c r="F44" s="2351">
        <v>1</v>
      </c>
      <c r="G44" s="1586"/>
      <c r="H44" s="1586"/>
      <c r="I44" s="1586"/>
      <c r="J44" s="1586"/>
      <c r="K44" s="1586"/>
      <c r="L44" s="1587"/>
      <c r="M44" s="1588"/>
      <c r="N44" s="1588"/>
      <c r="O44" s="1588"/>
      <c r="P44" s="1554"/>
      <c r="Q44" s="500"/>
      <c r="R44" s="501"/>
      <c r="S44" s="1558" t="str">
        <f>INDEX(PT_DIFFERENTIATION_NUM_TER,MATCH(B44,PT_DIFFERENTIATION_TER_ID,0))</f>
        <v>.</v>
      </c>
      <c r="T44" s="447" t="s">
        <v>1469</v>
      </c>
      <c r="U44" s="437"/>
      <c r="V44" s="3964"/>
      <c r="W44" s="3965"/>
      <c r="X44" s="3965"/>
      <c r="Y44" s="3965"/>
      <c r="Z44" s="3965"/>
      <c r="AA44" s="3965"/>
      <c r="AB44" s="3965"/>
      <c r="AC44" s="3966"/>
      <c r="AD44" s="3964" t="str">
        <f>INDEX(PT_DIFFERENTIATION_TER,MATCH(B44,PT_DIFFERENTIATION_TER_ID,0))</f>
        <v/>
      </c>
      <c r="AE44" s="3965"/>
      <c r="AF44" s="3965"/>
      <c r="AG44" s="3965"/>
      <c r="AH44" s="3965"/>
      <c r="AI44" s="3965"/>
      <c r="AJ44" s="3965"/>
      <c r="AK44" s="3965"/>
      <c r="AL44" s="3966"/>
      <c r="AM44" s="1473" t="s">
        <v>1470</v>
      </c>
      <c r="AO44" s="664"/>
      <c r="AP44" s="664" t="str">
        <f>IF(T44="","",T44)</f>
        <v>Территория действия тарифа</v>
      </c>
      <c r="AQ44" s="664"/>
      <c r="AR44" s="664"/>
    </row>
    <row customHeight="1" ht="23.25">
      <c r="A45" s="1586" t="s">
        <v>206</v>
      </c>
      <c r="B45" s="1586" t="s">
        <v>207</v>
      </c>
      <c r="C45" s="1586" t="s">
        <v>208</v>
      </c>
      <c r="D45" s="1586"/>
      <c r="E45" s="2352"/>
      <c r="F45" s="2352"/>
      <c r="G45" s="2351">
        <v>1</v>
      </c>
      <c r="H45" s="1586"/>
      <c r="I45" s="1586"/>
      <c r="J45" s="1586"/>
      <c r="K45" s="1586"/>
      <c r="L45" s="1587"/>
      <c r="M45" s="1588"/>
      <c r="N45" s="1588"/>
      <c r="O45" s="1588"/>
      <c r="P45" s="502"/>
      <c r="Q45" s="500"/>
      <c r="R45" s="501"/>
      <c r="S45" s="1558" t="str">
        <f>INDEX(PT_DIFFERENTIATION_NUM_CS,MATCH(C45,PT_DIFFERENTIATION_CS_ID,0))</f>
        <v>..</v>
      </c>
      <c r="T45" s="448" t="s">
        <v>1471</v>
      </c>
      <c r="U45" s="437"/>
      <c r="V45" s="3964"/>
      <c r="W45" s="3965"/>
      <c r="X45" s="3965"/>
      <c r="Y45" s="3965"/>
      <c r="Z45" s="3965"/>
      <c r="AA45" s="3965"/>
      <c r="AB45" s="3965"/>
      <c r="AC45" s="3966"/>
      <c r="AD45" s="3964" t="str">
        <f>INDEX(PT_DIFFERENTIATION_CS,MATCH(C45,PT_DIFFERENTIATION_CS_ID,0))</f>
        <v/>
      </c>
      <c r="AE45" s="3965"/>
      <c r="AF45" s="3965"/>
      <c r="AG45" s="3965"/>
      <c r="AH45" s="3965"/>
      <c r="AI45" s="3965"/>
      <c r="AJ45" s="3965"/>
      <c r="AK45" s="3965"/>
      <c r="AL45" s="3966"/>
      <c r="AM45" s="1473" t="s">
        <v>1472</v>
      </c>
      <c r="AO45" s="664"/>
      <c r="AP45" s="664" t="str">
        <f>IF(T45="","",T45)</f>
        <v>Наименование системы теплоснабжения </v>
      </c>
      <c r="AQ45" s="664"/>
      <c r="AR45" s="664"/>
    </row>
    <row customHeight="1" ht="21">
      <c r="A46" s="1586" t="s">
        <v>206</v>
      </c>
      <c r="B46" s="1586" t="s">
        <v>207</v>
      </c>
      <c r="C46" s="1586" t="s">
        <v>208</v>
      </c>
      <c r="D46" s="1586" t="s">
        <v>209</v>
      </c>
      <c r="E46" s="2352"/>
      <c r="F46" s="2352"/>
      <c r="G46" s="2352"/>
      <c r="H46" s="2351">
        <v>1</v>
      </c>
      <c r="I46" s="1586"/>
      <c r="J46" s="1586"/>
      <c r="K46" s="1586"/>
      <c r="L46" s="1587"/>
      <c r="M46" s="1588"/>
      <c r="N46" s="1588"/>
      <c r="O46" s="1588"/>
      <c r="P46" s="502"/>
      <c r="Q46" s="500"/>
      <c r="R46" s="501"/>
      <c r="S46" s="1558" t="str">
        <f>INDEX(PT_DIFFERENTIATION_NUM_IST_TE,MATCH(D46,PT_DIFFERENTIATION_IST_TE_ID,0))</f>
        <v>...</v>
      </c>
      <c r="T46" s="449" t="s">
        <v>1473</v>
      </c>
      <c r="U46" s="437"/>
      <c r="V46" s="3964"/>
      <c r="W46" s="3965"/>
      <c r="X46" s="3965"/>
      <c r="Y46" s="3965"/>
      <c r="Z46" s="3965"/>
      <c r="AA46" s="3965"/>
      <c r="AB46" s="3965"/>
      <c r="AC46" s="3966"/>
      <c r="AD46" s="3964" t="str">
        <f>INDEX(PT_DIFFERENTIATION_IST_TE,MATCH(D46,PT_DIFFERENTIATION_IST_TE_ID,0))</f>
        <v/>
      </c>
      <c r="AE46" s="3965"/>
      <c r="AF46" s="3965"/>
      <c r="AG46" s="3965"/>
      <c r="AH46" s="3965"/>
      <c r="AI46" s="3965"/>
      <c r="AJ46" s="3965"/>
      <c r="AK46" s="3965"/>
      <c r="AL46" s="3966"/>
      <c r="AM46" s="1473" t="s">
        <v>1474</v>
      </c>
      <c r="AO46" s="664"/>
      <c r="AP46" s="664" t="str">
        <f>IF(T46="","",T46)</f>
        <v>Источник тепловой энергии  </v>
      </c>
      <c r="AQ46" s="664"/>
      <c r="AR46" s="664"/>
    </row>
    <row customHeight="1" ht="47.25">
      <c r="A47" s="1586" t="s">
        <v>206</v>
      </c>
      <c r="B47" s="1586" t="s">
        <v>207</v>
      </c>
      <c r="C47" s="1586" t="s">
        <v>208</v>
      </c>
      <c r="D47" s="1586" t="s">
        <v>209</v>
      </c>
      <c r="E47" s="2352"/>
      <c r="F47" s="2352"/>
      <c r="G47" s="2352"/>
      <c r="H47" s="2352"/>
      <c r="I47" s="2380" t="str">
        <f>S46&amp;".1"</f>
        <v>....1</v>
      </c>
      <c r="J47" s="1586"/>
      <c r="K47" s="1586"/>
      <c r="L47" s="1587" t="s">
        <v>1475</v>
      </c>
      <c r="P47" s="2350">
        <v>1</v>
      </c>
      <c r="Q47" s="1553"/>
      <c r="R47" s="504"/>
      <c r="S47" s="1558" t="str">
        <f>$I47</f>
        <v>....1</v>
      </c>
      <c r="T47" s="422" t="s">
        <v>1476</v>
      </c>
      <c r="U47" s="437"/>
      <c r="V47" s="2338"/>
      <c r="W47" s="2339"/>
      <c r="X47" s="2339"/>
      <c r="Y47" s="2339"/>
      <c r="Z47" s="2339"/>
      <c r="AA47" s="2339"/>
      <c r="AB47" s="2339"/>
      <c r="AC47" s="2340"/>
      <c r="AD47" s="2338"/>
      <c r="AE47" s="2339"/>
      <c r="AF47" s="2339"/>
      <c r="AG47" s="2339"/>
      <c r="AH47" s="2339"/>
      <c r="AI47" s="2339"/>
      <c r="AJ47" s="2339"/>
      <c r="AK47" s="2339"/>
      <c r="AL47" s="2340"/>
      <c r="AM47" s="1473" t="s">
        <v>1477</v>
      </c>
      <c r="AO47" s="664"/>
      <c r="AP47" s="664" t="str">
        <f>IF(T47="","",T47)</f>
        <v>Схема подключения теплопотребляющей установки к коллектору источника тепловой энергии</v>
      </c>
      <c r="AQ47" s="664"/>
      <c r="AR47" s="664"/>
    </row>
    <row customHeight="1" ht="21">
      <c r="A48" s="1586" t="s">
        <v>206</v>
      </c>
      <c r="B48" s="1586" t="s">
        <v>207</v>
      </c>
      <c r="C48" s="1586" t="s">
        <v>208</v>
      </c>
      <c r="D48" s="1586" t="s">
        <v>209</v>
      </c>
      <c r="E48" s="2352"/>
      <c r="F48" s="2352"/>
      <c r="G48" s="2352"/>
      <c r="H48" s="2352"/>
      <c r="I48" s="2381"/>
      <c r="J48" s="2349" t="str">
        <f>I47&amp;".1"</f>
        <v>....1.1</v>
      </c>
      <c r="K48" s="1586"/>
      <c r="L48" s="1587" t="s">
        <v>1478</v>
      </c>
      <c r="P48" s="2350"/>
      <c r="Q48" s="2350">
        <v>1</v>
      </c>
      <c r="R48" s="505"/>
      <c r="S48" s="1558" t="str">
        <f>$J48</f>
        <v>....1.1</v>
      </c>
      <c r="T48" s="423" t="s">
        <v>1479</v>
      </c>
      <c r="U48" s="437"/>
      <c r="V48" s="2338"/>
      <c r="W48" s="2339"/>
      <c r="X48" s="2339"/>
      <c r="Y48" s="2339"/>
      <c r="Z48" s="2339"/>
      <c r="AA48" s="2339"/>
      <c r="AB48" s="2339"/>
      <c r="AC48" s="2340"/>
      <c r="AD48" s="2338"/>
      <c r="AE48" s="2339"/>
      <c r="AF48" s="2339"/>
      <c r="AG48" s="2339"/>
      <c r="AH48" s="2339"/>
      <c r="AI48" s="2339"/>
      <c r="AJ48" s="2339"/>
      <c r="AK48" s="2339"/>
      <c r="AL48" s="2340"/>
      <c r="AM48" s="1473" t="s">
        <v>1480</v>
      </c>
      <c r="AO48" s="664"/>
      <c r="AP48" s="664" t="str">
        <f>IF(T48="","",T48)</f>
        <v>Группа потребителей</v>
      </c>
      <c r="AQ48" s="664"/>
      <c r="AR48" s="664"/>
    </row>
    <row customHeight="1" ht="21">
      <c r="A49" s="1586" t="s">
        <v>206</v>
      </c>
      <c r="B49" s="1586" t="s">
        <v>207</v>
      </c>
      <c r="C49" s="1586" t="s">
        <v>208</v>
      </c>
      <c r="D49" s="1586" t="s">
        <v>209</v>
      </c>
      <c r="E49" s="2352"/>
      <c r="F49" s="2352"/>
      <c r="G49" s="2352"/>
      <c r="H49" s="2352"/>
      <c r="I49" s="2381"/>
      <c r="J49" s="2382"/>
      <c r="K49" s="2349" t="str">
        <f>J48&amp;".1"</f>
        <v>....1.1.1</v>
      </c>
      <c r="L49" s="1587" t="s">
        <v>1481</v>
      </c>
      <c r="P49" s="2350"/>
      <c r="Q49" s="2350"/>
      <c r="R49" s="505">
        <v>1</v>
      </c>
      <c r="S49" s="1558" t="str">
        <f>$K49</f>
        <v>....1.1.1</v>
      </c>
      <c r="T49" s="1569"/>
      <c r="U49" s="437"/>
      <c r="V49" s="3993"/>
      <c r="W49" s="3992"/>
      <c r="X49" s="3993"/>
      <c r="Y49" s="4113"/>
      <c r="Z49" s="2357"/>
      <c r="AA49" s="2069" t="s">
        <v>66</v>
      </c>
      <c r="AB49" s="2357"/>
      <c r="AC49" s="2069" t="s">
        <v>66</v>
      </c>
      <c r="AD49" s="3993"/>
      <c r="AE49" s="3992"/>
      <c r="AF49" s="3993"/>
      <c r="AG49" s="4113"/>
      <c r="AH49" s="2357"/>
      <c r="AI49" s="2069" t="s">
        <v>66</v>
      </c>
      <c r="AJ49" s="2383"/>
      <c r="AK49" s="2069" t="s">
        <v>66</v>
      </c>
      <c r="AL49" s="4093"/>
      <c r="AM49" s="2346" t="s">
        <v>1482</v>
      </c>
      <c r="AN49" s="675">
        <f>STRCHECKDATE(V50:AL50)</f>
      </c>
      <c r="AO49" s="664"/>
      <c r="AP49" s="664" t="str">
        <f>IF(T49="","",T49)</f>
        <v/>
      </c>
      <c r="AQ49" s="664"/>
      <c r="AR49" s="664"/>
    </row>
    <row customHeight="1" ht="0.75">
      <c r="A50" s="1586" t="s">
        <v>206</v>
      </c>
      <c r="B50" s="1586" t="s">
        <v>207</v>
      </c>
      <c r="C50" s="1586" t="s">
        <v>208</v>
      </c>
      <c r="D50" s="1586" t="s">
        <v>209</v>
      </c>
      <c r="E50" s="2352"/>
      <c r="F50" s="2352"/>
      <c r="G50" s="2352"/>
      <c r="H50" s="2352"/>
      <c r="I50" s="2381"/>
      <c r="J50" s="2382"/>
      <c r="K50" s="2349"/>
      <c r="L50" s="1587"/>
      <c r="P50" s="2350"/>
      <c r="Q50" s="2350"/>
      <c r="R50" s="505"/>
      <c r="S50" s="1564"/>
      <c r="T50" s="437"/>
      <c r="U50" s="437"/>
      <c r="V50" s="3993"/>
      <c r="W50" s="3993"/>
      <c r="X50" s="3993"/>
      <c r="Y50" s="3998" t="str">
        <f>Z49&amp;"-"&amp;AB49</f>
        <v>-</v>
      </c>
      <c r="Z50" s="2358"/>
      <c r="AA50" s="2069"/>
      <c r="AB50" s="2358"/>
      <c r="AC50" s="2069"/>
      <c r="AD50" s="3993"/>
      <c r="AE50" s="3993"/>
      <c r="AF50" s="3993"/>
      <c r="AG50" s="3998" t="str">
        <f>AH49&amp;"-"&amp;AJ49</f>
        <v>-</v>
      </c>
      <c r="AH50" s="2358"/>
      <c r="AI50" s="2069"/>
      <c r="AJ50" s="2384"/>
      <c r="AK50" s="2069"/>
      <c r="AL50" s="4096"/>
      <c r="AM50" s="2347"/>
      <c r="AO50" s="664"/>
      <c r="AP50" s="664" t="str">
        <f>IF(T50="","",T50)</f>
        <v/>
      </c>
      <c r="AQ50" s="664"/>
      <c r="AR50" s="664"/>
    </row>
    <row customHeight="1" ht="11.25">
      <c r="A51" s="1586" t="s">
        <v>206</v>
      </c>
      <c r="B51" s="1586" t="s">
        <v>207</v>
      </c>
      <c r="C51" s="1586" t="s">
        <v>208</v>
      </c>
      <c r="D51" s="1586" t="s">
        <v>209</v>
      </c>
      <c r="E51" s="2352"/>
      <c r="F51" s="2352"/>
      <c r="G51" s="2352"/>
      <c r="H51" s="2352"/>
      <c r="I51" s="2381"/>
      <c r="J51" s="2349"/>
      <c r="K51" s="1586"/>
      <c r="L51" s="1587"/>
      <c r="P51" s="2350"/>
      <c r="Q51" s="2350"/>
      <c r="R51" s="504"/>
      <c r="S51" s="1495"/>
      <c r="T51" s="425" t="s">
        <v>1483</v>
      </c>
      <c r="U51" s="519"/>
      <c r="V51" s="519"/>
      <c r="W51" s="519"/>
      <c r="X51" s="519"/>
      <c r="Y51" s="519"/>
      <c r="Z51" s="519"/>
      <c r="AA51" s="519"/>
      <c r="AB51" s="519"/>
      <c r="AC51" s="519"/>
      <c r="AD51" s="519"/>
      <c r="AE51" s="519"/>
      <c r="AF51" s="519"/>
      <c r="AG51" s="519"/>
      <c r="AH51" s="519"/>
      <c r="AI51" s="519"/>
      <c r="AJ51" s="519"/>
      <c r="AK51" s="519"/>
      <c r="AL51" s="471"/>
      <c r="AM51" s="2348"/>
      <c r="AO51" s="664"/>
      <c r="AP51" s="664" t="str">
        <f>IF(T51="","",T51)</f>
        <v>Добавить вид теплоносителя (параметры теплоносителя)</v>
      </c>
      <c r="AQ51" s="664"/>
      <c r="AR51" s="664"/>
    </row>
    <row customHeight="1" ht="11.25">
      <c r="A52" s="1586" t="s">
        <v>206</v>
      </c>
      <c r="B52" s="1586" t="s">
        <v>207</v>
      </c>
      <c r="C52" s="1586" t="s">
        <v>208</v>
      </c>
      <c r="D52" s="1586" t="s">
        <v>209</v>
      </c>
      <c r="E52" s="2352"/>
      <c r="F52" s="2352"/>
      <c r="G52" s="2352"/>
      <c r="H52" s="2352"/>
      <c r="I52" s="2380"/>
      <c r="J52" s="1586"/>
      <c r="K52" s="1586"/>
      <c r="L52" s="1587"/>
      <c r="P52" s="2350"/>
      <c r="Q52" s="1553"/>
      <c r="R52" s="504"/>
      <c r="S52" s="1495"/>
      <c r="T52" s="424" t="s">
        <v>1484</v>
      </c>
      <c r="U52" s="519"/>
      <c r="V52" s="519"/>
      <c r="W52" s="519"/>
      <c r="X52" s="519"/>
      <c r="Y52" s="519"/>
      <c r="Z52" s="519"/>
      <c r="AA52" s="519"/>
      <c r="AB52" s="519"/>
      <c r="AC52" s="518"/>
      <c r="AD52" s="519"/>
      <c r="AE52" s="519"/>
      <c r="AF52" s="519"/>
      <c r="AG52" s="519"/>
      <c r="AH52" s="519"/>
      <c r="AI52" s="519"/>
      <c r="AJ52" s="519"/>
      <c r="AK52" s="518"/>
      <c r="AL52" s="519"/>
      <c r="AM52" s="440"/>
      <c r="AO52" s="664"/>
      <c r="AP52" s="664" t="str">
        <f>IF(T52="","",T52)</f>
        <v>Добавить группу потребителей</v>
      </c>
      <c r="AQ52" s="664"/>
      <c r="AR52" s="664"/>
    </row>
    <row customHeight="1" ht="14.25">
      <c r="A53" s="1586" t="s">
        <v>206</v>
      </c>
      <c r="B53" s="1586" t="s">
        <v>207</v>
      </c>
      <c r="C53" s="1586" t="s">
        <v>208</v>
      </c>
      <c r="D53" s="1586" t="s">
        <v>209</v>
      </c>
      <c r="E53" s="2352"/>
      <c r="F53" s="2352"/>
      <c r="G53" s="2352"/>
      <c r="H53" s="2351"/>
      <c r="I53" s="1586"/>
      <c r="J53" s="1586"/>
      <c r="K53" s="1586"/>
      <c r="L53" s="1587"/>
      <c r="M53" s="1588"/>
      <c r="N53" s="1588"/>
      <c r="O53" s="701"/>
      <c r="P53" s="508"/>
      <c r="Q53" s="528"/>
      <c r="R53" s="503"/>
      <c r="S53" s="1495"/>
      <c r="T53" s="516" t="s">
        <v>1485</v>
      </c>
      <c r="U53" s="519"/>
      <c r="V53" s="519"/>
      <c r="W53" s="519"/>
      <c r="X53" s="519"/>
      <c r="Y53" s="519"/>
      <c r="Z53" s="519"/>
      <c r="AA53" s="519"/>
      <c r="AB53" s="519"/>
      <c r="AC53" s="518"/>
      <c r="AD53" s="519"/>
      <c r="AE53" s="519"/>
      <c r="AF53" s="519"/>
      <c r="AG53" s="519"/>
      <c r="AH53" s="519"/>
      <c r="AI53" s="519"/>
      <c r="AJ53" s="519"/>
      <c r="AK53" s="518"/>
      <c r="AL53" s="519"/>
      <c r="AM53" s="440"/>
      <c r="AO53" s="664"/>
      <c r="AP53" s="664" t="str">
        <f>IF(T53="","",T53)</f>
        <v>Добавить схему подключения</v>
      </c>
      <c r="AQ53" s="664"/>
      <c r="AR53" s="664"/>
    </row>
    <row s="6520" customFormat="1" customHeight="1" ht="0.75">
      <c r="A54" s="1565" t="s">
        <v>206</v>
      </c>
      <c r="B54" s="1565" t="s">
        <v>207</v>
      </c>
      <c r="C54" s="1565" t="s">
        <v>208</v>
      </c>
      <c r="D54" s="1536"/>
      <c r="E54" s="2352"/>
      <c r="F54" s="2352"/>
      <c r="G54" s="2351"/>
      <c r="H54" s="1536"/>
      <c r="I54" s="1536"/>
      <c r="J54" s="1536"/>
      <c r="K54" s="1536"/>
      <c r="L54" s="1561"/>
      <c r="M54" s="1537"/>
      <c r="N54" s="1537"/>
      <c r="P54" s="1538"/>
      <c r="Q54" s="1539"/>
      <c r="R54" s="1538"/>
      <c r="S54" s="1544"/>
      <c r="T54" s="1547" t="s">
        <v>1444</v>
      </c>
      <c r="U54" s="1546"/>
      <c r="V54" s="1546"/>
      <c r="W54" s="1546"/>
      <c r="X54" s="1546"/>
      <c r="Y54" s="1546"/>
      <c r="Z54" s="1546"/>
      <c r="AA54" s="1546"/>
      <c r="AB54" s="1546"/>
      <c r="AC54" s="1546"/>
      <c r="AD54" s="1546"/>
      <c r="AE54" s="1546"/>
      <c r="AF54" s="1546"/>
      <c r="AG54" s="1546"/>
      <c r="AH54" s="1546"/>
      <c r="AI54" s="1546"/>
      <c r="AJ54" s="1546"/>
      <c r="AK54" s="1546"/>
      <c r="AL54" s="1546"/>
      <c r="AM54" s="1546"/>
      <c r="AO54" s="956"/>
      <c r="AP54" s="956" t="str">
        <f>IF(T54="","",T54)</f>
        <v>Добавить источник для дифференциации</v>
      </c>
      <c r="AQ54" s="956"/>
      <c r="AR54" s="956"/>
    </row>
    <row s="6520" customFormat="1" customHeight="1" ht="0.75">
      <c r="A55" s="1565" t="s">
        <v>206</v>
      </c>
      <c r="B55" s="1565" t="s">
        <v>207</v>
      </c>
      <c r="C55" s="1536"/>
      <c r="D55" s="1536"/>
      <c r="E55" s="2352"/>
      <c r="F55" s="2351"/>
      <c r="G55" s="1536"/>
      <c r="H55" s="1536"/>
      <c r="I55" s="1536"/>
      <c r="J55" s="1536"/>
      <c r="K55" s="1536"/>
      <c r="L55" s="1561"/>
      <c r="M55" s="1543"/>
      <c r="N55" s="1543"/>
      <c r="P55" s="1538"/>
      <c r="Q55" s="1539"/>
      <c r="R55" s="1538"/>
      <c r="S55" s="1544"/>
      <c r="T55" s="1547" t="s">
        <v>1445</v>
      </c>
      <c r="U55" s="1546"/>
      <c r="V55" s="1546"/>
      <c r="W55" s="1546"/>
      <c r="X55" s="1546"/>
      <c r="Y55" s="1546"/>
      <c r="Z55" s="1546"/>
      <c r="AA55" s="1546"/>
      <c r="AB55" s="1546"/>
      <c r="AC55" s="1546"/>
      <c r="AD55" s="1546"/>
      <c r="AE55" s="1546"/>
      <c r="AF55" s="1546"/>
      <c r="AG55" s="1546"/>
      <c r="AH55" s="1546"/>
      <c r="AI55" s="1546"/>
      <c r="AJ55" s="1546"/>
      <c r="AK55" s="1546"/>
      <c r="AL55" s="1546"/>
      <c r="AM55" s="1546"/>
      <c r="AO55" s="956"/>
      <c r="AP55" s="956" t="str">
        <f>IF(T55="","",T55)</f>
        <v>Добавить централизованную систему для дифференциации</v>
      </c>
      <c r="AQ55" s="956"/>
      <c r="AR55" s="956"/>
    </row>
    <row s="6608" customFormat="1" customHeight="1" ht="0.75">
      <c r="A56" s="1565" t="s">
        <v>206</v>
      </c>
      <c r="B56" s="1565"/>
      <c r="C56" s="1565"/>
      <c r="D56" s="1565"/>
      <c r="E56" s="2351"/>
      <c r="F56" s="1565"/>
      <c r="G56" s="1565"/>
      <c r="H56" s="1565"/>
      <c r="I56" s="1565"/>
      <c r="J56" s="1565"/>
      <c r="K56" s="1565"/>
      <c r="L56" s="1568"/>
      <c r="M56" s="1543"/>
      <c r="N56" s="1543"/>
      <c r="O56" s="682"/>
      <c r="P56" s="537"/>
      <c r="Q56" s="1566"/>
      <c r="R56" s="537"/>
      <c r="S56" s="1544"/>
      <c r="T56" s="1547" t="s">
        <v>1446</v>
      </c>
      <c r="U56" s="1546"/>
      <c r="V56" s="1546"/>
      <c r="W56" s="1546"/>
      <c r="X56" s="1546"/>
      <c r="Y56" s="1546"/>
      <c r="Z56" s="1546"/>
      <c r="AA56" s="1546"/>
      <c r="AB56" s="1546"/>
      <c r="AC56" s="1546"/>
      <c r="AD56" s="1546"/>
      <c r="AE56" s="1546"/>
      <c r="AF56" s="1546"/>
      <c r="AG56" s="1546"/>
      <c r="AH56" s="1546"/>
      <c r="AI56" s="1546"/>
      <c r="AJ56" s="1546"/>
      <c r="AK56" s="1546"/>
      <c r="AL56" s="1546"/>
      <c r="AM56" s="1546"/>
      <c r="AO56" s="664"/>
      <c r="AP56" s="664" t="str">
        <f>IF(T56="","",T56)</f>
        <v>Добавить территорию для дифференциации</v>
      </c>
      <c r="AQ56" s="664"/>
      <c r="AR56" s="664"/>
    </row>
    <row s="6520" customFormat="1" customHeight="1" ht="0.75">
      <c r="A57" s="1536"/>
      <c r="B57" s="1536"/>
      <c r="C57" s="1536"/>
      <c r="D57" s="1536"/>
      <c r="E57" s="1565"/>
      <c r="F57" s="1536"/>
      <c r="G57" s="1536"/>
      <c r="H57" s="1536"/>
      <c r="I57" s="1536"/>
      <c r="J57" s="1536"/>
      <c r="K57" s="1536"/>
      <c r="L57" s="1561"/>
      <c r="M57" s="1543"/>
      <c r="N57" s="1543"/>
      <c r="P57" s="1538"/>
      <c r="Q57" s="1539"/>
      <c r="R57" s="1538"/>
      <c r="S57" s="1544"/>
      <c r="T57" s="1547" t="s">
        <v>1447</v>
      </c>
      <c r="U57" s="1546"/>
      <c r="V57" s="1546"/>
      <c r="W57" s="1546"/>
      <c r="X57" s="1546"/>
      <c r="Y57" s="1546"/>
      <c r="Z57" s="1546"/>
      <c r="AA57" s="1546"/>
      <c r="AB57" s="1546"/>
      <c r="AC57" s="1546"/>
      <c r="AD57" s="1546"/>
      <c r="AE57" s="1546"/>
      <c r="AF57" s="1546"/>
      <c r="AG57" s="1546"/>
      <c r="AH57" s="1546"/>
      <c r="AI57" s="1546"/>
      <c r="AJ57" s="1546"/>
      <c r="AK57" s="1546"/>
      <c r="AL57" s="1546"/>
      <c r="AM57" s="1546"/>
      <c r="AO57" s="956"/>
      <c r="AP57" s="956" t="str">
        <f>IF(T57="","",T57)</f>
        <v>Добавить наименование тарифа</v>
      </c>
      <c r="AQ57" s="956"/>
      <c r="AR57" s="956"/>
    </row>
    <row customHeight="1" ht="11.25" hidden="1">
      <c r="M58" s="1348"/>
      <c r="N58" s="1348"/>
      <c r="O58" s="701"/>
      <c r="P58" s="1343"/>
      <c r="Q58" s="1343"/>
      <c r="R58" s="1343"/>
      <c r="S58" s="1343"/>
      <c r="AN58" s="1343"/>
      <c r="AO58" s="1343"/>
      <c r="AP58" s="1343"/>
      <c r="AQ58" s="1343"/>
      <c r="AR58" s="1343"/>
    </row>
    <row customHeight="1" ht="27" hidden="1">
      <c r="O59" s="701"/>
      <c r="S59" s="1460" t="s">
        <v>1517</v>
      </c>
      <c r="T59" s="2379" t="s">
        <v>1524</v>
      </c>
      <c r="U59" s="2379"/>
      <c r="V59" s="2379"/>
      <c r="W59" s="2379"/>
      <c r="X59" s="2379"/>
      <c r="Y59" s="2379"/>
      <c r="Z59" s="2379"/>
      <c r="AA59" s="2379"/>
      <c r="AB59" s="2379"/>
      <c r="AC59" s="2379"/>
      <c r="AD59" s="2379"/>
      <c r="AE59" s="2379"/>
      <c r="AF59" s="2379"/>
      <c r="AG59" s="2379"/>
      <c r="AH59" s="2379"/>
      <c r="AI59" s="2379"/>
      <c r="AJ59" s="2379"/>
      <c r="AK59" s="2379"/>
      <c r="AL59" s="2379"/>
      <c r="AM59" s="2379"/>
    </row>
    <row customHeight="1" ht="75" hidden="1">
      <c r="O60" s="701"/>
      <c r="T60" s="2379" t="s">
        <v>1519</v>
      </c>
      <c r="U60" s="2379"/>
      <c r="V60" s="2379"/>
      <c r="W60" s="2379"/>
      <c r="X60" s="2379"/>
      <c r="Y60" s="2379"/>
      <c r="Z60" s="2379"/>
      <c r="AA60" s="2379"/>
      <c r="AB60" s="2379"/>
      <c r="AC60" s="2379"/>
      <c r="AD60" s="2379"/>
      <c r="AE60" s="2379"/>
      <c r="AF60" s="2379"/>
      <c r="AG60" s="2379"/>
      <c r="AH60" s="2379"/>
      <c r="AI60" s="2379"/>
      <c r="AJ60" s="2379"/>
      <c r="AK60" s="2379"/>
      <c r="AL60" s="2379"/>
      <c r="AM60" s="2379"/>
    </row>
    <row customHeight="1" ht="14.25" hidden="1">
      <c r="O61" s="701"/>
    </row>
    <row customHeight="1" ht="18" hidden="1">
      <c r="O62" s="701"/>
      <c r="S62" s="1460" t="s">
        <v>1517</v>
      </c>
      <c r="T62" s="2379" t="s">
        <v>1520</v>
      </c>
      <c r="U62" s="2379"/>
      <c r="V62" s="2379"/>
      <c r="W62" s="2379"/>
      <c r="X62" s="2379"/>
      <c r="Y62" s="2379"/>
      <c r="Z62" s="2379"/>
      <c r="AA62" s="2379"/>
      <c r="AB62" s="2379"/>
      <c r="AC62" s="2379"/>
      <c r="AD62" s="2379"/>
      <c r="AE62" s="2379"/>
      <c r="AF62" s="2379"/>
      <c r="AG62" s="2379"/>
      <c r="AH62" s="2379"/>
      <c r="AI62" s="2379"/>
      <c r="AJ62" s="2379"/>
      <c r="AK62" s="2379"/>
      <c r="AL62" s="2379"/>
      <c r="AM62" s="2379"/>
    </row>
    <row customHeight="1" ht="18" hidden="1">
      <c r="O63" s="701"/>
      <c r="T63" s="2379" t="s">
        <v>1521</v>
      </c>
      <c r="U63" s="2379"/>
      <c r="V63" s="2379"/>
      <c r="W63" s="2379"/>
      <c r="X63" s="2379"/>
      <c r="Y63" s="2379"/>
      <c r="Z63" s="2379"/>
      <c r="AA63" s="2379"/>
      <c r="AB63" s="2379"/>
      <c r="AC63" s="2379"/>
      <c r="AD63" s="2379"/>
      <c r="AE63" s="2379"/>
      <c r="AF63" s="2379"/>
      <c r="AG63" s="2379"/>
      <c r="AH63" s="2379"/>
      <c r="AI63" s="2379"/>
      <c r="AJ63" s="2379"/>
      <c r="AK63" s="2379"/>
      <c r="AL63" s="2379"/>
      <c r="AM63" s="2379"/>
    </row>
    <row customHeight="1" ht="38.25" hidden="1">
      <c r="O64" s="701"/>
      <c r="S64" s="1460"/>
      <c r="T64" s="2379" t="s">
        <v>1522</v>
      </c>
      <c r="U64" s="2379"/>
      <c r="V64" s="2379"/>
      <c r="W64" s="2379"/>
      <c r="X64" s="2379"/>
      <c r="Y64" s="2379"/>
      <c r="Z64" s="2379"/>
      <c r="AA64" s="2379"/>
      <c r="AB64" s="2379"/>
      <c r="AC64" s="2379"/>
      <c r="AD64" s="2379"/>
      <c r="AE64" s="2379"/>
      <c r="AF64" s="2379"/>
      <c r="AG64" s="2379"/>
      <c r="AH64" s="2379"/>
      <c r="AI64" s="2379"/>
      <c r="AJ64" s="2379"/>
      <c r="AK64" s="2379"/>
      <c r="AL64" s="2379"/>
      <c r="AM64" s="2379"/>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38790B-E4CB-325F-C613-0245661B7123}"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28" width="3.7109375" hidden="1" customWidth="1"/>
    <col min="17" max="18" style="6619" width="3.7109375" customWidth="1"/>
    <col min="19" max="19" style="6620" width="12.7109375" customWidth="1"/>
    <col min="20" max="20" style="6104" width="32.00390625" customWidth="1"/>
    <col min="21" max="21" style="6104" width="0.140625" customWidth="1"/>
    <col min="22" max="22" style="6104" width="24.7109375" hidden="1" customWidth="1"/>
    <col min="23" max="23" style="6104" width="0.140625" hidden="1" customWidth="1"/>
    <col min="24" max="25" style="6104" width="24.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0" style="6104" width="24.7109375" customWidth="1"/>
    <col min="31" max="31" style="6104" width="0.140625" customWidth="1"/>
    <col min="32" max="33" style="6104" width="24.7109375" customWidth="1"/>
    <col min="34" max="34" style="6104" width="11.7109375" customWidth="1"/>
    <col min="35" max="35" style="6104" width="3.7109375" customWidth="1"/>
    <col min="36" max="36" style="6104" width="11.7109375" customWidth="1"/>
    <col min="37" max="37" style="6104" width="8.57421875" hidden="1" customWidth="1"/>
    <col min="38" max="38" style="6104" width="4.7109375" customWidth="1"/>
    <col min="39" max="39" style="6104" width="115.7109375" customWidth="1"/>
    <col min="40" max="41" style="6608" width="10.57421875"/>
    <col min="42" max="42" style="6608" width="11.140625" customWidth="1"/>
    <col min="43" max="44" style="6608" width="10.57421875"/>
  </cols>
  <sheetData>
    <row customHeight="1" ht="14.25" hidden="1">
      <c r="Y1" s="475"/>
      <c r="Z1" s="475"/>
      <c r="AG1" s="475"/>
      <c r="AH1" s="475"/>
    </row>
    <row customHeight="1" ht="21" hidden="1">
      <c r="A2" s="1586"/>
      <c r="B2" s="1586"/>
      <c r="C2" s="1586"/>
      <c r="D2" s="1586"/>
      <c r="E2" s="2351">
        <v>1</v>
      </c>
      <c r="F2" s="1586"/>
      <c r="G2" s="1586"/>
      <c r="H2" s="1586"/>
      <c r="I2" s="1586"/>
      <c r="J2" s="1586"/>
      <c r="K2" s="1586"/>
      <c r="L2" s="1587"/>
      <c r="M2" s="1588"/>
      <c r="N2" s="1588"/>
      <c r="O2" s="1588"/>
      <c r="P2" s="509"/>
      <c r="Q2" s="508"/>
      <c r="R2" s="503"/>
      <c r="S2" s="1558">
        <f>INDEX(PT_DIFFERENTIATION_NUM_NTAR,MATCH(A2,PT_DIFFERENTIATION_NTAR_ID,0))</f>
      </c>
      <c r="T2" s="435" t="s">
        <v>132</v>
      </c>
      <c r="U2" s="437"/>
      <c r="V2" s="3964"/>
      <c r="W2" s="3965"/>
      <c r="X2" s="3965"/>
      <c r="Y2" s="3965"/>
      <c r="Z2" s="3965"/>
      <c r="AA2" s="3965"/>
      <c r="AB2" s="3965"/>
      <c r="AC2" s="3966"/>
      <c r="AD2" s="3964">
        <f>INDEX(PT_DIFFERENTIATION_NTAR,MATCH(A2,PT_DIFFERENTIATION_NTAR_ID,0))</f>
      </c>
      <c r="AE2" s="3965"/>
      <c r="AF2" s="3965"/>
      <c r="AG2" s="3965"/>
      <c r="AH2" s="3965"/>
      <c r="AI2" s="3965"/>
      <c r="AJ2" s="3965"/>
      <c r="AK2" s="3965"/>
      <c r="AL2" s="3966"/>
      <c r="AM2" s="1473" t="s">
        <v>1468</v>
      </c>
      <c r="AO2" s="664"/>
      <c r="AP2" s="664" t="str">
        <f>IF(T2="","",T2)</f>
        <v>Наименование тарифа</v>
      </c>
      <c r="AQ2" s="664"/>
      <c r="AR2" s="664"/>
    </row>
    <row customHeight="1" ht="21" hidden="1">
      <c r="A3" s="1586"/>
      <c r="B3" s="1586"/>
      <c r="C3" s="1586"/>
      <c r="D3" s="1586"/>
      <c r="E3" s="2352"/>
      <c r="F3" s="2351">
        <v>1</v>
      </c>
      <c r="G3" s="1586"/>
      <c r="H3" s="1586"/>
      <c r="I3" s="1586"/>
      <c r="J3" s="1586"/>
      <c r="K3" s="1586"/>
      <c r="L3" s="1587"/>
      <c r="M3" s="1588"/>
      <c r="N3" s="1588"/>
      <c r="O3" s="1588"/>
      <c r="P3" s="1554"/>
      <c r="Q3" s="500"/>
      <c r="R3" s="501"/>
      <c r="S3" s="1558">
        <f>INDEX(PT_DIFFERENTIATION_NUM_TER,MATCH(B3,PT_DIFFERENTIATION_TER_ID,0))</f>
      </c>
      <c r="T3" s="447" t="s">
        <v>1469</v>
      </c>
      <c r="U3" s="437"/>
      <c r="V3" s="3964"/>
      <c r="W3" s="3965"/>
      <c r="X3" s="3965"/>
      <c r="Y3" s="3965"/>
      <c r="Z3" s="3965"/>
      <c r="AA3" s="3965"/>
      <c r="AB3" s="3965"/>
      <c r="AC3" s="3966"/>
      <c r="AD3" s="3964">
        <f>INDEX(PT_DIFFERENTIATION_TER,MATCH(B3,PT_DIFFERENTIATION_TER_ID,0))</f>
      </c>
      <c r="AE3" s="3965"/>
      <c r="AF3" s="3965"/>
      <c r="AG3" s="3965"/>
      <c r="AH3" s="3965"/>
      <c r="AI3" s="3965"/>
      <c r="AJ3" s="3965"/>
      <c r="AK3" s="3965"/>
      <c r="AL3" s="3966"/>
      <c r="AM3" s="1473" t="s">
        <v>1470</v>
      </c>
      <c r="AO3" s="664"/>
      <c r="AP3" s="664" t="str">
        <f>IF(T3="","",T3)</f>
        <v>Территория действия тарифа</v>
      </c>
      <c r="AQ3" s="664"/>
      <c r="AR3" s="664"/>
    </row>
    <row customHeight="1" ht="23.25" hidden="1">
      <c r="A4" s="1586"/>
      <c r="B4" s="1586"/>
      <c r="C4" s="1586"/>
      <c r="D4" s="1586"/>
      <c r="E4" s="2352"/>
      <c r="F4" s="2352"/>
      <c r="G4" s="2351">
        <v>1</v>
      </c>
      <c r="H4" s="1586"/>
      <c r="I4" s="1586"/>
      <c r="J4" s="1586"/>
      <c r="K4" s="1586"/>
      <c r="L4" s="1587"/>
      <c r="M4" s="1588"/>
      <c r="N4" s="1588"/>
      <c r="O4" s="1588"/>
      <c r="P4" s="502"/>
      <c r="Q4" s="500"/>
      <c r="R4" s="501"/>
      <c r="S4" s="1558">
        <f>INDEX(PT_DIFFERENTIATION_NUM_CS,MATCH(C4,PT_DIFFERENTIATION_CS_ID,0))</f>
      </c>
      <c r="T4" s="448" t="s">
        <v>1471</v>
      </c>
      <c r="U4" s="437"/>
      <c r="V4" s="3964"/>
      <c r="W4" s="3965"/>
      <c r="X4" s="3965"/>
      <c r="Y4" s="3965"/>
      <c r="Z4" s="3965"/>
      <c r="AA4" s="3965"/>
      <c r="AB4" s="3965"/>
      <c r="AC4" s="3966"/>
      <c r="AD4" s="3964">
        <f>INDEX(PT_DIFFERENTIATION_CS,MATCH(C4,PT_DIFFERENTIATION_CS_ID,0))</f>
      </c>
      <c r="AE4" s="3965"/>
      <c r="AF4" s="3965"/>
      <c r="AG4" s="3965"/>
      <c r="AH4" s="3965"/>
      <c r="AI4" s="3965"/>
      <c r="AJ4" s="3965"/>
      <c r="AK4" s="3965"/>
      <c r="AL4" s="3966"/>
      <c r="AM4" s="1473" t="s">
        <v>1472</v>
      </c>
      <c r="AO4" s="664"/>
      <c r="AP4" s="664" t="str">
        <f>IF(T4="","",T4)</f>
        <v>Наименование системы теплоснабжения </v>
      </c>
      <c r="AQ4" s="664"/>
      <c r="AR4" s="664"/>
    </row>
    <row customHeight="1" ht="21" hidden="1">
      <c r="A5" s="1586"/>
      <c r="B5" s="1586"/>
      <c r="C5" s="1586"/>
      <c r="D5" s="1586"/>
      <c r="E5" s="2352"/>
      <c r="F5" s="2352"/>
      <c r="G5" s="2352"/>
      <c r="H5" s="2351">
        <v>1</v>
      </c>
      <c r="I5" s="1586"/>
      <c r="J5" s="1586"/>
      <c r="K5" s="1586"/>
      <c r="L5" s="1587"/>
      <c r="M5" s="1588"/>
      <c r="N5" s="1588"/>
      <c r="O5" s="1588"/>
      <c r="P5" s="502"/>
      <c r="Q5" s="500"/>
      <c r="R5" s="501"/>
      <c r="S5" s="1558">
        <f>INDEX(PT_DIFFERENTIATION_NUM_IST_TE,MATCH(D5,PT_DIFFERENTIATION_IST_TE_ID,0))</f>
      </c>
      <c r="T5" s="449" t="s">
        <v>1473</v>
      </c>
      <c r="U5" s="437"/>
      <c r="V5" s="3964"/>
      <c r="W5" s="3965"/>
      <c r="X5" s="3965"/>
      <c r="Y5" s="3965"/>
      <c r="Z5" s="3965"/>
      <c r="AA5" s="3965"/>
      <c r="AB5" s="3965"/>
      <c r="AC5" s="3966"/>
      <c r="AD5" s="3964">
        <f>INDEX(PT_DIFFERENTIATION_IST_TE,MATCH(D5,PT_DIFFERENTIATION_IST_TE_ID,0))</f>
      </c>
      <c r="AE5" s="3965"/>
      <c r="AF5" s="3965"/>
      <c r="AG5" s="3965"/>
      <c r="AH5" s="3965"/>
      <c r="AI5" s="3965"/>
      <c r="AJ5" s="3965"/>
      <c r="AK5" s="3965"/>
      <c r="AL5" s="3966"/>
      <c r="AM5" s="1473" t="s">
        <v>1474</v>
      </c>
      <c r="AO5" s="664"/>
      <c r="AP5" s="664" t="str">
        <f>IF(T5="","",T5)</f>
        <v>Источник тепловой энергии  </v>
      </c>
      <c r="AQ5" s="664"/>
      <c r="AR5" s="664"/>
    </row>
    <row customHeight="1" ht="14.25" hidden="1">
      <c r="A6" s="1586"/>
      <c r="B6" s="1586"/>
      <c r="C6" s="1586"/>
      <c r="D6" s="1586"/>
      <c r="E6" s="2352"/>
      <c r="F6" s="2352"/>
      <c r="G6" s="2352"/>
      <c r="H6" s="2352"/>
      <c r="I6" s="2380">
        <f>S5&amp;".1"</f>
      </c>
      <c r="J6" s="1586"/>
      <c r="K6" s="1586"/>
      <c r="L6" s="1587" t="s">
        <v>1475</v>
      </c>
      <c r="M6" s="701"/>
      <c r="P6" s="2350">
        <v>1</v>
      </c>
      <c r="Q6" s="1553"/>
      <c r="R6" s="504"/>
      <c r="S6" s="1227"/>
      <c r="T6" s="1606"/>
      <c r="U6" s="1607"/>
      <c r="V6" s="2390"/>
      <c r="W6" s="2391"/>
      <c r="X6" s="2391"/>
      <c r="Y6" s="2391"/>
      <c r="Z6" s="2391"/>
      <c r="AA6" s="2391"/>
      <c r="AB6" s="2391"/>
      <c r="AC6" s="2392"/>
      <c r="AD6" s="2390"/>
      <c r="AE6" s="2391"/>
      <c r="AF6" s="2391"/>
      <c r="AG6" s="2391"/>
      <c r="AH6" s="2391"/>
      <c r="AI6" s="2391"/>
      <c r="AJ6" s="2391"/>
      <c r="AK6" s="2391"/>
      <c r="AL6" s="2392"/>
      <c r="AM6" s="1608"/>
      <c r="AO6" s="664"/>
      <c r="AP6" s="664" t="str">
        <f>IF(T6="","",T6)</f>
        <v/>
      </c>
      <c r="AQ6" s="664"/>
      <c r="AR6" s="664"/>
    </row>
    <row customHeight="1" ht="21" hidden="1">
      <c r="A7" s="1586"/>
      <c r="B7" s="1586"/>
      <c r="C7" s="1586"/>
      <c r="D7" s="1586"/>
      <c r="E7" s="2352"/>
      <c r="F7" s="2352"/>
      <c r="G7" s="2352"/>
      <c r="H7" s="2352"/>
      <c r="I7" s="2381"/>
      <c r="J7" s="2349">
        <f>I6&amp;".1"</f>
      </c>
      <c r="K7" s="1586"/>
      <c r="L7" s="1587" t="s">
        <v>1478</v>
      </c>
      <c r="M7" s="701"/>
      <c r="N7" s="1589"/>
      <c r="P7" s="2350"/>
      <c r="Q7" s="2350">
        <v>1</v>
      </c>
      <c r="R7" s="505"/>
      <c r="S7" s="1558">
        <f>$J7</f>
      </c>
      <c r="T7" s="423" t="s">
        <v>1479</v>
      </c>
      <c r="U7" s="437"/>
      <c r="V7" s="2338"/>
      <c r="W7" s="2339"/>
      <c r="X7" s="2339"/>
      <c r="Y7" s="2339"/>
      <c r="Z7" s="2339"/>
      <c r="AA7" s="2339"/>
      <c r="AB7" s="2339"/>
      <c r="AC7" s="2340"/>
      <c r="AD7" s="2338"/>
      <c r="AE7" s="2339"/>
      <c r="AF7" s="2339"/>
      <c r="AG7" s="2339"/>
      <c r="AH7" s="2339"/>
      <c r="AI7" s="2339"/>
      <c r="AJ7" s="2339"/>
      <c r="AK7" s="2339"/>
      <c r="AL7" s="2340"/>
      <c r="AM7" s="1473" t="s">
        <v>1480</v>
      </c>
      <c r="AO7" s="664"/>
      <c r="AP7" s="664" t="str">
        <f>IF(T7="","",T7)</f>
        <v>Группа потребителей</v>
      </c>
      <c r="AQ7" s="664"/>
      <c r="AR7" s="664"/>
    </row>
    <row customHeight="1" ht="21" hidden="1">
      <c r="A8" s="1586"/>
      <c r="B8" s="1586"/>
      <c r="C8" s="1586"/>
      <c r="D8" s="1586"/>
      <c r="E8" s="2352"/>
      <c r="F8" s="2352"/>
      <c r="G8" s="2352"/>
      <c r="H8" s="2352"/>
      <c r="I8" s="2381"/>
      <c r="J8" s="2382"/>
      <c r="K8" s="2349">
        <f>J7&amp;".1"</f>
      </c>
      <c r="L8" s="1587" t="s">
        <v>1481</v>
      </c>
      <c r="M8" s="701"/>
      <c r="N8" s="1589"/>
      <c r="O8" s="1589"/>
      <c r="P8" s="2350"/>
      <c r="Q8" s="2350"/>
      <c r="R8" s="505">
        <v>1</v>
      </c>
      <c r="S8" s="1558">
        <f>$K8</f>
      </c>
      <c r="T8" s="1569"/>
      <c r="U8" s="437"/>
      <c r="V8" s="3992"/>
      <c r="W8" s="3993"/>
      <c r="X8" s="3992"/>
      <c r="Y8" s="3994"/>
      <c r="Z8" s="2357"/>
      <c r="AA8" s="2069" t="s">
        <v>66</v>
      </c>
      <c r="AB8" s="2357"/>
      <c r="AC8" s="2069" t="s">
        <v>66</v>
      </c>
      <c r="AD8" s="3992"/>
      <c r="AE8" s="3993"/>
      <c r="AF8" s="3992"/>
      <c r="AG8" s="3994"/>
      <c r="AH8" s="2357"/>
      <c r="AI8" s="2069" t="s">
        <v>66</v>
      </c>
      <c r="AJ8" s="2357"/>
      <c r="AK8" s="2069" t="s">
        <v>66</v>
      </c>
      <c r="AL8" s="3993"/>
      <c r="AM8" s="2346" t="s">
        <v>1482</v>
      </c>
      <c r="AN8" s="675">
        <f>STRCHECKDATE(V9:AL9)</f>
      </c>
      <c r="AO8" s="664"/>
      <c r="AP8" s="664" t="str">
        <f>IF(T8="","",T8)</f>
        <v/>
      </c>
      <c r="AQ8" s="664"/>
      <c r="AR8" s="664"/>
    </row>
    <row customHeight="1" ht="0.75" hidden="1">
      <c r="A9" s="1586"/>
      <c r="B9" s="1586"/>
      <c r="C9" s="1586"/>
      <c r="D9" s="1586"/>
      <c r="E9" s="2352"/>
      <c r="F9" s="2352"/>
      <c r="G9" s="2352"/>
      <c r="H9" s="2352"/>
      <c r="I9" s="2381"/>
      <c r="J9" s="2382"/>
      <c r="K9" s="2349"/>
      <c r="L9" s="1587"/>
      <c r="M9" s="701"/>
      <c r="N9" s="1589"/>
      <c r="O9" s="1589"/>
      <c r="P9" s="2350"/>
      <c r="Q9" s="2350"/>
      <c r="R9" s="505"/>
      <c r="S9" s="1564"/>
      <c r="T9" s="437"/>
      <c r="U9" s="437"/>
      <c r="V9" s="3993"/>
      <c r="W9" s="3993"/>
      <c r="X9" s="3993"/>
      <c r="Y9" s="3998" t="str">
        <f>Z8&amp;"-"&amp;AB8</f>
        <v>-</v>
      </c>
      <c r="Z9" s="2358"/>
      <c r="AA9" s="2069"/>
      <c r="AB9" s="2358"/>
      <c r="AC9" s="2069"/>
      <c r="AD9" s="3993"/>
      <c r="AE9" s="3993"/>
      <c r="AF9" s="3993"/>
      <c r="AG9" s="3998" t="str">
        <f>AH8&amp;"-"&amp;AJ8</f>
        <v>-</v>
      </c>
      <c r="AH9" s="2358"/>
      <c r="AI9" s="2069"/>
      <c r="AJ9" s="2358"/>
      <c r="AK9" s="2069"/>
      <c r="AL9" s="3993"/>
      <c r="AM9" s="2347"/>
      <c r="AO9" s="664"/>
      <c r="AP9" s="664" t="str">
        <f>IF(T9="","",T9)</f>
        <v/>
      </c>
      <c r="AQ9" s="664"/>
      <c r="AR9" s="664"/>
    </row>
    <row customHeight="1" ht="15" hidden="1">
      <c r="A10" s="1586"/>
      <c r="B10" s="1586"/>
      <c r="C10" s="1586"/>
      <c r="D10" s="1586"/>
      <c r="E10" s="2352"/>
      <c r="F10" s="2352"/>
      <c r="G10" s="2352"/>
      <c r="H10" s="2352"/>
      <c r="I10" s="2381"/>
      <c r="J10" s="2349"/>
      <c r="K10" s="1586"/>
      <c r="L10" s="1587"/>
      <c r="M10" s="701"/>
      <c r="N10" s="1589"/>
      <c r="P10" s="2350"/>
      <c r="Q10" s="2350"/>
      <c r="R10" s="504"/>
      <c r="S10" s="1495"/>
      <c r="T10" s="424" t="s">
        <v>1483</v>
      </c>
      <c r="U10" s="519"/>
      <c r="V10" s="519"/>
      <c r="W10" s="519"/>
      <c r="X10" s="519"/>
      <c r="Y10" s="519"/>
      <c r="Z10" s="519"/>
      <c r="AA10" s="519"/>
      <c r="AB10" s="519"/>
      <c r="AC10" s="519"/>
      <c r="AD10" s="519"/>
      <c r="AE10" s="519"/>
      <c r="AF10" s="519"/>
      <c r="AG10" s="519"/>
      <c r="AH10" s="519"/>
      <c r="AI10" s="519"/>
      <c r="AJ10" s="519"/>
      <c r="AK10" s="519"/>
      <c r="AL10" s="471"/>
      <c r="AM10" s="2348"/>
      <c r="AO10" s="664"/>
      <c r="AP10" s="664" t="str">
        <f>IF(T10="","",T10)</f>
        <v>Добавить вид теплоносителя (параметры теплоносителя)</v>
      </c>
      <c r="AQ10" s="664"/>
      <c r="AR10" s="664"/>
    </row>
    <row customHeight="1" ht="15" hidden="1">
      <c r="A11" s="1586"/>
      <c r="B11" s="1586"/>
      <c r="C11" s="1586"/>
      <c r="D11" s="1586"/>
      <c r="E11" s="2352"/>
      <c r="F11" s="2352"/>
      <c r="G11" s="2352"/>
      <c r="H11" s="2352"/>
      <c r="I11" s="2380"/>
      <c r="J11" s="1586"/>
      <c r="K11" s="1586"/>
      <c r="L11" s="1587"/>
      <c r="M11" s="701"/>
      <c r="P11" s="2350"/>
      <c r="Q11" s="1553"/>
      <c r="R11" s="504"/>
      <c r="S11" s="1495"/>
      <c r="T11" s="516" t="s">
        <v>1484</v>
      </c>
      <c r="U11" s="519"/>
      <c r="V11" s="519"/>
      <c r="W11" s="519"/>
      <c r="X11" s="519"/>
      <c r="Y11" s="519"/>
      <c r="Z11" s="519"/>
      <c r="AA11" s="519"/>
      <c r="AB11" s="519"/>
      <c r="AC11" s="518"/>
      <c r="AD11" s="519"/>
      <c r="AE11" s="519"/>
      <c r="AF11" s="519"/>
      <c r="AG11" s="519"/>
      <c r="AH11" s="519"/>
      <c r="AI11" s="519"/>
      <c r="AJ11" s="519"/>
      <c r="AK11" s="518"/>
      <c r="AL11" s="519"/>
      <c r="AM11" s="440"/>
      <c r="AO11" s="664"/>
      <c r="AP11" s="664" t="str">
        <f>IF(T11="","",T11)</f>
        <v>Добавить группу потребителей</v>
      </c>
      <c r="AQ11" s="664"/>
      <c r="AR11" s="664"/>
    </row>
    <row customHeight="1" ht="14.25" hidden="1">
      <c r="A12" s="1586"/>
      <c r="B12" s="1586"/>
      <c r="C12" s="1586"/>
      <c r="D12" s="1586"/>
      <c r="E12" s="2352"/>
      <c r="F12" s="2352"/>
      <c r="G12" s="2352"/>
      <c r="H12" s="2351"/>
      <c r="I12" s="1586"/>
      <c r="J12" s="1586"/>
      <c r="K12" s="1586"/>
      <c r="L12" s="1587"/>
      <c r="M12" s="1588"/>
      <c r="N12" s="1588"/>
      <c r="O12" s="701"/>
      <c r="P12" s="508"/>
      <c r="Q12" s="528"/>
      <c r="R12" s="503"/>
      <c r="S12" s="1609"/>
      <c r="T12" s="1610"/>
      <c r="U12" s="1611"/>
      <c r="V12" s="1611"/>
      <c r="W12" s="1611"/>
      <c r="X12" s="1611"/>
      <c r="Y12" s="1611"/>
      <c r="Z12" s="1611"/>
      <c r="AA12" s="1611"/>
      <c r="AB12" s="1611"/>
      <c r="AC12" s="1611"/>
      <c r="AD12" s="1611"/>
      <c r="AE12" s="1611"/>
      <c r="AF12" s="1611"/>
      <c r="AG12" s="1611"/>
      <c r="AH12" s="1611"/>
      <c r="AI12" s="1611"/>
      <c r="AJ12" s="1611"/>
      <c r="AK12" s="1611"/>
      <c r="AL12" s="1611"/>
      <c r="AM12" s="1612"/>
      <c r="AO12" s="664"/>
      <c r="AP12" s="664" t="str">
        <f>IF(T12="","",T12)</f>
        <v/>
      </c>
      <c r="AQ12" s="664"/>
      <c r="AR12" s="664"/>
    </row>
    <row s="6520" customFormat="1" customHeight="1" ht="0.75" hidden="1">
      <c r="A13" s="1536"/>
      <c r="B13" s="1536"/>
      <c r="C13" s="1536"/>
      <c r="D13" s="1536"/>
      <c r="E13" s="2352"/>
      <c r="F13" s="2352"/>
      <c r="G13" s="2351"/>
      <c r="H13" s="1536"/>
      <c r="I13" s="1536"/>
      <c r="J13" s="1536"/>
      <c r="K13" s="1536"/>
      <c r="L13" s="1561"/>
      <c r="M13" s="1537"/>
      <c r="N13" s="1537"/>
      <c r="P13" s="1538"/>
      <c r="Q13" s="1539"/>
      <c r="R13" s="1538"/>
      <c r="S13" s="1540"/>
      <c r="T13" s="1541" t="s">
        <v>1444</v>
      </c>
      <c r="U13" s="1542"/>
      <c r="V13" s="1542"/>
      <c r="W13" s="1542"/>
      <c r="X13" s="1542"/>
      <c r="Y13" s="1542"/>
      <c r="Z13" s="1542"/>
      <c r="AA13" s="1542"/>
      <c r="AB13" s="1542"/>
      <c r="AC13" s="1542"/>
      <c r="AD13" s="1542"/>
      <c r="AE13" s="1542"/>
      <c r="AF13" s="1542"/>
      <c r="AG13" s="1542"/>
      <c r="AH13" s="1542"/>
      <c r="AI13" s="1542"/>
      <c r="AJ13" s="1542"/>
      <c r="AK13" s="1542"/>
      <c r="AL13" s="1542"/>
      <c r="AM13" s="1542"/>
      <c r="AO13" s="956"/>
      <c r="AP13" s="956" t="str">
        <f>IF(T13="","",T13)</f>
        <v>Добавить источник для дифференциации</v>
      </c>
      <c r="AQ13" s="956"/>
      <c r="AR13" s="956"/>
    </row>
    <row s="6520" customFormat="1" customHeight="1" ht="0.75" hidden="1">
      <c r="A14" s="1536"/>
      <c r="B14" s="1536"/>
      <c r="C14" s="1536"/>
      <c r="D14" s="1536"/>
      <c r="E14" s="2352"/>
      <c r="F14" s="2351"/>
      <c r="G14" s="1536"/>
      <c r="H14" s="1536"/>
      <c r="I14" s="1536"/>
      <c r="J14" s="1536"/>
      <c r="K14" s="1536"/>
      <c r="L14" s="1561"/>
      <c r="M14" s="1543"/>
      <c r="N14" s="1543"/>
      <c r="P14" s="1538"/>
      <c r="Q14" s="1539"/>
      <c r="R14" s="1538"/>
      <c r="S14" s="1544"/>
      <c r="T14" s="1545" t="s">
        <v>1445</v>
      </c>
      <c r="U14" s="1546"/>
      <c r="V14" s="1546"/>
      <c r="W14" s="1546"/>
      <c r="X14" s="1546"/>
      <c r="Y14" s="1546"/>
      <c r="Z14" s="1546"/>
      <c r="AA14" s="1546"/>
      <c r="AB14" s="1546"/>
      <c r="AC14" s="1546"/>
      <c r="AD14" s="1546"/>
      <c r="AE14" s="1546"/>
      <c r="AF14" s="1546"/>
      <c r="AG14" s="1546"/>
      <c r="AH14" s="1546"/>
      <c r="AI14" s="1546"/>
      <c r="AJ14" s="1546"/>
      <c r="AK14" s="1546"/>
      <c r="AL14" s="1546"/>
      <c r="AM14" s="1546"/>
      <c r="AO14" s="956"/>
      <c r="AP14" s="956" t="str">
        <f>IF(T14="","",T14)</f>
        <v>Добавить централизованную систему для дифференциации</v>
      </c>
      <c r="AQ14" s="956"/>
      <c r="AR14" s="956"/>
    </row>
    <row s="6520" customFormat="1" customHeight="1" ht="0.75" hidden="1">
      <c r="A15" s="1536"/>
      <c r="B15" s="1536"/>
      <c r="C15" s="1536"/>
      <c r="D15" s="1536"/>
      <c r="E15" s="2351"/>
      <c r="F15" s="1536"/>
      <c r="G15" s="1536"/>
      <c r="H15" s="1536"/>
      <c r="I15" s="1536"/>
      <c r="J15" s="1536"/>
      <c r="K15" s="1536"/>
      <c r="L15" s="1561"/>
      <c r="M15" s="1543"/>
      <c r="N15" s="1543"/>
      <c r="P15" s="1538"/>
      <c r="Q15" s="1539"/>
      <c r="R15" s="1538"/>
      <c r="S15" s="1544"/>
      <c r="T15" s="1547" t="s">
        <v>1446</v>
      </c>
      <c r="U15" s="1546"/>
      <c r="V15" s="1546"/>
      <c r="W15" s="1546"/>
      <c r="X15" s="1546"/>
      <c r="Y15" s="1546"/>
      <c r="Z15" s="1546"/>
      <c r="AA15" s="1546"/>
      <c r="AB15" s="1546"/>
      <c r="AC15" s="1546"/>
      <c r="AD15" s="1546"/>
      <c r="AE15" s="1546"/>
      <c r="AF15" s="1546"/>
      <c r="AG15" s="1546"/>
      <c r="AH15" s="1546"/>
      <c r="AI15" s="1546"/>
      <c r="AJ15" s="1546"/>
      <c r="AK15" s="1546"/>
      <c r="AL15" s="1546"/>
      <c r="AM15" s="1546"/>
      <c r="AO15" s="956"/>
      <c r="AP15" s="956" t="str">
        <f>IF(T15="","",T15)</f>
        <v>Добавить территорию для дифференциации</v>
      </c>
      <c r="AQ15" s="956"/>
      <c r="AR15" s="956"/>
    </row>
    <row customHeight="1" ht="14.25" hidden="1">
      <c r="AC16" s="475"/>
      <c r="AK16" s="475"/>
    </row>
    <row customHeight="1" ht="14.25" hidden="1">
      <c r="AD17" s="4025"/>
      <c r="AE17" s="4025"/>
      <c r="AF17" s="4025"/>
      <c r="AG17" s="4026"/>
      <c r="AH17" s="2359"/>
      <c r="AI17" s="2360" t="s">
        <v>66</v>
      </c>
      <c r="AJ17" s="2359"/>
      <c r="AK17" s="2360" t="s">
        <v>66</v>
      </c>
    </row>
    <row customHeight="1" ht="14.25" hidden="1">
      <c r="AD18" s="4025"/>
      <c r="AE18" s="4025"/>
      <c r="AF18" s="4025"/>
      <c r="AG18" s="3998" t="str">
        <f>AH17&amp;"-"&amp;AJ17</f>
        <v>-</v>
      </c>
      <c r="AH18" s="2360"/>
      <c r="AI18" s="2360"/>
      <c r="AJ18" s="2360"/>
      <c r="AK18" s="2360"/>
    </row>
    <row customHeight="1" ht="14.25" hidden="1">
      <c r="AK19" s="475"/>
    </row>
    <row s="6539" customFormat="1" customHeight="1" ht="22.5" hidden="1">
      <c r="L20" s="1551"/>
      <c r="M20" s="1585"/>
      <c r="N20" s="1585"/>
      <c r="O20" s="1590" t="s">
        <v>1486</v>
      </c>
      <c r="P20" s="1585"/>
      <c r="Q20" s="1594"/>
      <c r="R20" s="1594"/>
      <c r="S20" s="894"/>
      <c r="Z20" s="1590"/>
      <c r="AB20" s="1590"/>
      <c r="AC20" s="1589"/>
      <c r="AH20" s="1590"/>
      <c r="AJ20" s="1590"/>
      <c r="AK20" s="1589"/>
      <c r="AN20" s="675"/>
      <c r="AO20" s="675"/>
      <c r="AP20" s="675"/>
      <c r="AQ20" s="675"/>
      <c r="AR20" s="675"/>
    </row>
    <row s="6539" customFormat="1" customHeight="1" ht="14.25" hidden="1">
      <c r="L21" s="1551"/>
      <c r="M21" s="1585"/>
      <c r="N21" s="1585"/>
      <c r="O21" s="1585"/>
      <c r="P21" s="1585"/>
      <c r="Q21" s="1594"/>
      <c r="R21" s="1594"/>
      <c r="S21" s="894"/>
      <c r="AC21" s="1589"/>
      <c r="AK21" s="1589"/>
      <c r="AN21" s="675"/>
      <c r="AO21" s="675"/>
      <c r="AP21" s="675"/>
      <c r="AQ21" s="675"/>
      <c r="AR21" s="675"/>
    </row>
    <row s="6539" customFormat="1" customHeight="1" ht="14.25" hidden="1">
      <c r="L22" s="1551"/>
      <c r="M22" s="1585"/>
      <c r="N22" s="1585"/>
      <c r="O22" s="1587" t="s">
        <v>1487</v>
      </c>
      <c r="P22" s="1585"/>
      <c r="Q22" s="1594"/>
      <c r="R22" s="1594"/>
      <c r="S22" s="894"/>
      <c r="T22" s="1348" t="s">
        <v>1488</v>
      </c>
      <c r="AA22" s="320" t="s">
        <v>1489</v>
      </c>
      <c r="AC22" s="320" t="s">
        <v>1490</v>
      </c>
      <c r="AD22" s="1348" t="s">
        <v>1488</v>
      </c>
      <c r="AI22" s="320" t="s">
        <v>1491</v>
      </c>
      <c r="AK22" s="320" t="s">
        <v>1490</v>
      </c>
      <c r="AN22" s="675"/>
      <c r="AO22" s="675"/>
      <c r="AP22" s="675"/>
      <c r="AQ22" s="675"/>
      <c r="AR22" s="675"/>
    </row>
    <row customHeight="1" ht="14.25" hidden="1">
      <c r="O23" s="1587"/>
    </row>
    <row customHeight="1" ht="14.25" hidden="1">
      <c r="O24" s="1587"/>
    </row>
    <row customHeight="1" ht="14.25">
      <c r="Q25" s="529"/>
      <c r="R25" s="529"/>
      <c r="S25" s="1492"/>
      <c r="T25" s="513"/>
      <c r="U25" s="513"/>
      <c r="V25" s="673"/>
      <c r="W25" s="673"/>
      <c r="X25" s="673"/>
      <c r="Y25" s="673"/>
      <c r="Z25" s="673"/>
      <c r="AA25" s="673"/>
      <c r="AB25" s="673"/>
      <c r="AC25" s="673"/>
      <c r="AD25" s="673"/>
      <c r="AE25" s="673"/>
      <c r="AF25" s="673"/>
      <c r="AG25" s="673"/>
      <c r="AH25" s="673"/>
      <c r="AI25" s="673"/>
      <c r="AJ25" s="673"/>
      <c r="AK25" s="673"/>
    </row>
    <row customHeight="1" ht="64.5">
      <c r="Q26" s="529"/>
      <c r="R26" s="529"/>
      <c r="S26" s="2341"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41"/>
      <c r="U26" s="2341"/>
      <c r="V26" s="2341"/>
      <c r="W26" s="2341"/>
      <c r="X26" s="2341"/>
      <c r="Y26" s="2341"/>
      <c r="Z26" s="2341"/>
      <c r="AA26" s="2341"/>
      <c r="AB26" s="2341"/>
      <c r="AC26" s="2341"/>
      <c r="AD26" s="2341"/>
      <c r="AE26" s="2341"/>
      <c r="AF26" s="2341"/>
      <c r="AG26" s="2341"/>
      <c r="AH26" s="2341"/>
      <c r="AI26" s="2341"/>
      <c r="AJ26" s="2341"/>
      <c r="AK26" s="1448"/>
    </row>
    <row customHeight="1" ht="14.25">
      <c r="Q27" s="529"/>
      <c r="R27" s="529"/>
      <c r="S27"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42"/>
      <c r="U27" s="2342"/>
      <c r="V27" s="2342"/>
      <c r="W27" s="2342"/>
      <c r="X27" s="2342"/>
      <c r="Y27" s="2342"/>
      <c r="Z27" s="2342"/>
      <c r="AA27" s="2342"/>
      <c r="AB27" s="2342"/>
      <c r="AC27" s="2342"/>
      <c r="AD27" s="2342"/>
      <c r="AE27" s="2342"/>
      <c r="AF27" s="2342"/>
      <c r="AG27" s="2342"/>
      <c r="AH27" s="2342"/>
      <c r="AI27" s="2342"/>
      <c r="AJ27" s="2342"/>
      <c r="AK27" s="1448"/>
    </row>
    <row customHeight="1" ht="14.25" hidden="1">
      <c r="Q28" s="529"/>
      <c r="R28" s="529"/>
      <c r="S28" s="1492"/>
      <c r="T28" s="513"/>
      <c r="U28" s="513"/>
      <c r="V28" s="468"/>
      <c r="W28" s="468"/>
      <c r="X28" s="468"/>
      <c r="Y28" s="468"/>
      <c r="Z28" s="468"/>
      <c r="AA28" s="468"/>
      <c r="AB28" s="468"/>
      <c r="AC28" s="468"/>
      <c r="AD28" s="468"/>
      <c r="AE28" s="468"/>
      <c r="AF28" s="468"/>
      <c r="AG28" s="468"/>
      <c r="AH28" s="468"/>
      <c r="AI28" s="468"/>
      <c r="AJ28" s="468"/>
      <c r="AK28" s="468"/>
      <c r="AL28" s="673"/>
    </row>
    <row s="6550" customFormat="1" customHeight="1" ht="25.5" hidden="1">
      <c r="A29" s="1591"/>
      <c r="B29" s="1591"/>
      <c r="C29" s="1591"/>
      <c r="D29" s="1591"/>
      <c r="E29" s="1591"/>
      <c r="F29" s="1591"/>
      <c r="G29" s="1591"/>
      <c r="H29" s="1591"/>
      <c r="I29" s="1591"/>
      <c r="J29" s="1591"/>
      <c r="K29" s="1591"/>
      <c r="L29" s="1592"/>
      <c r="M29" s="1591"/>
      <c r="N29" s="1591"/>
      <c r="O29" s="1591"/>
      <c r="S29" s="2343" t="s">
        <v>39</v>
      </c>
      <c r="T29" s="2343"/>
      <c r="U29" s="1595"/>
      <c r="V29" s="2344" t="str">
        <f>IF(TITLE_NAME_OR_PR_CHANGE="",IF(TITLE_NAME_OR_PR="","",TITLE_NAME_OR_PR),TITLE_NAME_OR_PR_CHANGE)</f>
        <v/>
      </c>
      <c r="W29" s="2344"/>
      <c r="X29" s="2344"/>
      <c r="Y29" s="2344"/>
      <c r="Z29" s="2344"/>
      <c r="AA29" s="2344"/>
      <c r="AB29" s="2344"/>
      <c r="AC29" s="474"/>
      <c r="AD29" s="2344" t="str">
        <f>IF(TITLE_NAME_OR_PR_CHANGE="",IF(TITLE_NAME_OR_PR="","",TITLE_NAME_OR_PR),TITLE_NAME_OR_PR_CHANGE)</f>
        <v/>
      </c>
      <c r="AE29" s="2344"/>
      <c r="AF29" s="2344"/>
      <c r="AG29" s="2344"/>
      <c r="AH29" s="2344"/>
      <c r="AI29" s="2344"/>
      <c r="AJ29" s="2344"/>
      <c r="AK29" s="474"/>
      <c r="AL29" s="474"/>
      <c r="AM29" s="417"/>
      <c r="AN29" s="520"/>
      <c r="AO29" s="520"/>
      <c r="AP29" s="520"/>
      <c r="AQ29" s="520"/>
      <c r="AR29" s="520"/>
    </row>
    <row s="6550" customFormat="1" customHeight="1" ht="18.75" hidden="1">
      <c r="A30" s="1591"/>
      <c r="B30" s="1591"/>
      <c r="C30" s="1591"/>
      <c r="D30" s="1591"/>
      <c r="E30" s="1591"/>
      <c r="F30" s="1591"/>
      <c r="G30" s="1591"/>
      <c r="H30" s="1591"/>
      <c r="I30" s="1591"/>
      <c r="J30" s="1591"/>
      <c r="K30" s="1591"/>
      <c r="L30" s="1592"/>
      <c r="M30" s="1591"/>
      <c r="N30" s="1591"/>
      <c r="O30" s="1591"/>
      <c r="S30" s="2343" t="s">
        <v>1492</v>
      </c>
      <c r="T30" s="2343"/>
      <c r="U30" s="1595"/>
      <c r="V30" s="2344" t="str">
        <f>IF(TITLE_DATE_CHANGE_PERIOD="",IF(TITLE_DATE_PR="","",TITLE_DATE_PR),TITLE_DATE_CHANGE_PERIOD)</f>
        <v/>
      </c>
      <c r="W30" s="2344"/>
      <c r="X30" s="2344"/>
      <c r="Y30" s="2344"/>
      <c r="Z30" s="2344"/>
      <c r="AA30" s="2344"/>
      <c r="AB30" s="2344"/>
      <c r="AC30" s="474"/>
      <c r="AD30" s="2344" t="str">
        <f>IF(TITLE_DATE_CHANGE_PERIOD="",IF(TITLE_DATE_PR="","",TITLE_DATE_PR),TITLE_DATE_CHANGE_PERIOD)</f>
        <v/>
      </c>
      <c r="AE30" s="2344"/>
      <c r="AF30" s="2344"/>
      <c r="AG30" s="2344"/>
      <c r="AH30" s="2344"/>
      <c r="AI30" s="2344"/>
      <c r="AJ30" s="2344"/>
      <c r="AK30" s="474"/>
      <c r="AL30" s="474"/>
      <c r="AM30" s="417"/>
      <c r="AN30" s="520"/>
      <c r="AO30" s="520"/>
      <c r="AP30" s="520"/>
      <c r="AQ30" s="520"/>
      <c r="AR30" s="520"/>
    </row>
    <row s="6550" customFormat="1" customHeight="1" ht="18.75" hidden="1">
      <c r="A31" s="1591"/>
      <c r="B31" s="1591"/>
      <c r="C31" s="1591"/>
      <c r="D31" s="1591"/>
      <c r="E31" s="1591"/>
      <c r="F31" s="1591"/>
      <c r="G31" s="1591"/>
      <c r="H31" s="1591"/>
      <c r="I31" s="1591"/>
      <c r="J31" s="1591"/>
      <c r="K31" s="1591"/>
      <c r="L31" s="1592"/>
      <c r="M31" s="1591"/>
      <c r="N31" s="1591"/>
      <c r="O31" s="1591"/>
      <c r="S31" s="2343" t="s">
        <v>1493</v>
      </c>
      <c r="T31" s="2343"/>
      <c r="U31" s="1595"/>
      <c r="V31" s="2344" t="str">
        <f>IF(TITLE_NUMBER_PR_CHANGE="",IF(TITLE_NUMBER_PR="","",TITLE_NUMBER_PR),TITLE_NUMBER_PR_CHANGE)</f>
        <v/>
      </c>
      <c r="W31" s="2344"/>
      <c r="X31" s="2344"/>
      <c r="Y31" s="2344"/>
      <c r="Z31" s="2344"/>
      <c r="AA31" s="2344"/>
      <c r="AB31" s="2344"/>
      <c r="AC31" s="474"/>
      <c r="AD31" s="2344" t="str">
        <f>IF(TITLE_NUMBER_PR_CHANGE="",IF(TITLE_NUMBER_PR="","",TITLE_NUMBER_PR),TITLE_NUMBER_PR_CHANGE)</f>
        <v/>
      </c>
      <c r="AE31" s="2344"/>
      <c r="AF31" s="2344"/>
      <c r="AG31" s="2344"/>
      <c r="AH31" s="2344"/>
      <c r="AI31" s="2344"/>
      <c r="AJ31" s="2344"/>
      <c r="AK31" s="474"/>
      <c r="AL31" s="474"/>
      <c r="AM31" s="417"/>
      <c r="AN31" s="520"/>
      <c r="AO31" s="520"/>
      <c r="AP31" s="520"/>
      <c r="AQ31" s="520"/>
      <c r="AR31" s="520"/>
    </row>
    <row s="6550" customFormat="1" customHeight="1" ht="18.75" hidden="1">
      <c r="A32" s="1591"/>
      <c r="B32" s="1591"/>
      <c r="C32" s="1591"/>
      <c r="D32" s="1591"/>
      <c r="E32" s="1591"/>
      <c r="F32" s="1591"/>
      <c r="G32" s="1591"/>
      <c r="H32" s="1591"/>
      <c r="I32" s="1591"/>
      <c r="J32" s="1591"/>
      <c r="K32" s="1591"/>
      <c r="L32" s="1592"/>
      <c r="M32" s="1591"/>
      <c r="N32" s="1591"/>
      <c r="O32" s="1591"/>
      <c r="S32" s="2343" t="s">
        <v>40</v>
      </c>
      <c r="T32" s="2343"/>
      <c r="U32" s="1595"/>
      <c r="V32" s="2344" t="str">
        <f>IF(TITLE_IST_PUB_CHANGE="",IF(TITLE_IST_PUB="","",TITLE_IST_PUB),TITLE_IST_PUB_CHANGE)</f>
        <v/>
      </c>
      <c r="W32" s="2344"/>
      <c r="X32" s="2344"/>
      <c r="Y32" s="2344"/>
      <c r="Z32" s="2344"/>
      <c r="AA32" s="2344"/>
      <c r="AB32" s="2344"/>
      <c r="AC32" s="474"/>
      <c r="AD32" s="2344" t="str">
        <f>IF(TITLE_IST_PUB_CHANGE="",IF(TITLE_IST_PUB="","",TITLE_IST_PUB),TITLE_IST_PUB_CHANGE)</f>
        <v/>
      </c>
      <c r="AE32" s="2344"/>
      <c r="AF32" s="2344"/>
      <c r="AG32" s="2344"/>
      <c r="AH32" s="2344"/>
      <c r="AI32" s="2344"/>
      <c r="AJ32" s="2344"/>
      <c r="AK32" s="474"/>
      <c r="AL32" s="474"/>
      <c r="AM32" s="417"/>
      <c r="AN32" s="520"/>
      <c r="AO32" s="520"/>
      <c r="AP32" s="520"/>
      <c r="AQ32" s="520"/>
      <c r="AR32" s="520"/>
    </row>
    <row customHeight="1" ht="14.25" hidden="1">
      <c r="Q33" s="529"/>
      <c r="R33" s="529"/>
      <c r="S33" s="1492"/>
      <c r="T33" s="513"/>
      <c r="U33" s="513"/>
      <c r="V33" s="468"/>
      <c r="W33" s="468"/>
      <c r="X33" s="468"/>
      <c r="Y33" s="468"/>
      <c r="Z33" s="468"/>
      <c r="AA33" s="468"/>
      <c r="AB33" s="468"/>
      <c r="AC33" s="468"/>
      <c r="AD33" s="468"/>
      <c r="AE33" s="468"/>
      <c r="AF33" s="468"/>
      <c r="AG33" s="468"/>
      <c r="AH33" s="468"/>
      <c r="AI33" s="468"/>
      <c r="AJ33" s="468"/>
      <c r="AK33" s="468"/>
      <c r="AL33" s="673"/>
    </row>
    <row s="6550" customFormat="1" customHeight="1" ht="18.75" hidden="1">
      <c r="A34" s="1591"/>
      <c r="B34" s="1591"/>
      <c r="C34" s="1591"/>
      <c r="D34" s="1591"/>
      <c r="E34" s="1591"/>
      <c r="F34" s="1591"/>
      <c r="G34" s="1591"/>
      <c r="H34" s="1591"/>
      <c r="I34" s="1591"/>
      <c r="J34" s="1591"/>
      <c r="K34" s="1591"/>
      <c r="L34" s="1592"/>
      <c r="M34" s="1591"/>
      <c r="N34" s="1591"/>
      <c r="O34" s="1591"/>
      <c r="S34" s="2343" t="s">
        <v>1494</v>
      </c>
      <c r="T34" s="2343"/>
      <c r="U34" s="1595"/>
      <c r="V34" s="2344" t="str">
        <f>IF(TITLE_DATE_CHANGE_PERIOD="",IF(TITLE_DATE_PR="","",TITLE_DATE_PR),TITLE_DATE_CHANGE_PERIOD)</f>
        <v/>
      </c>
      <c r="W34" s="2344"/>
      <c r="X34" s="2344"/>
      <c r="Y34" s="2344"/>
      <c r="Z34" s="2344"/>
      <c r="AA34" s="2344"/>
      <c r="AB34" s="2344"/>
      <c r="AC34" s="474"/>
      <c r="AD34" s="2344" t="str">
        <f>IF(TITLE_DATE_CHANGE_PERIOD="",IF(TITLE_DATE_PR="","",TITLE_DATE_PR),TITLE_DATE_CHANGE_PERIOD)</f>
        <v/>
      </c>
      <c r="AE34" s="2344"/>
      <c r="AF34" s="2344"/>
      <c r="AG34" s="2344"/>
      <c r="AH34" s="2344"/>
      <c r="AI34" s="2344"/>
      <c r="AJ34" s="2344"/>
      <c r="AK34" s="474"/>
      <c r="AL34" s="474"/>
      <c r="AM34" s="417"/>
      <c r="AN34" s="520"/>
      <c r="AO34" s="520"/>
      <c r="AP34" s="520"/>
      <c r="AQ34" s="520"/>
      <c r="AR34" s="520"/>
    </row>
    <row s="6550" customFormat="1" customHeight="1" ht="18.75" hidden="1">
      <c r="A35" s="1591"/>
      <c r="B35" s="1591"/>
      <c r="C35" s="1591"/>
      <c r="D35" s="1591"/>
      <c r="E35" s="1591"/>
      <c r="F35" s="1591"/>
      <c r="G35" s="1591"/>
      <c r="H35" s="1591"/>
      <c r="I35" s="1591"/>
      <c r="J35" s="1591"/>
      <c r="K35" s="1591"/>
      <c r="L35" s="1592"/>
      <c r="M35" s="1591"/>
      <c r="N35" s="1591"/>
      <c r="O35" s="1591"/>
      <c r="S35" s="2343" t="s">
        <v>1495</v>
      </c>
      <c r="T35" s="2343"/>
      <c r="U35" s="1595"/>
      <c r="V35" s="2344" t="str">
        <f>IF(TITLE_NUMBER_PR_CHANGE="",IF(TITLE_NUMBER_PR="","",TITLE_NUMBER_PR),TITLE_NUMBER_PR_CHANGE)</f>
        <v/>
      </c>
      <c r="W35" s="2344"/>
      <c r="X35" s="2344"/>
      <c r="Y35" s="2344"/>
      <c r="Z35" s="2344"/>
      <c r="AA35" s="2344"/>
      <c r="AB35" s="2344"/>
      <c r="AC35" s="474"/>
      <c r="AD35" s="2344" t="str">
        <f>IF(TITLE_NUMBER_PR_CHANGE="",IF(TITLE_NUMBER_PR="","",TITLE_NUMBER_PR),TITLE_NUMBER_PR_CHANGE)</f>
        <v/>
      </c>
      <c r="AE35" s="2344"/>
      <c r="AF35" s="2344"/>
      <c r="AG35" s="2344"/>
      <c r="AH35" s="2344"/>
      <c r="AI35" s="2344"/>
      <c r="AJ35" s="2344"/>
      <c r="AK35" s="474"/>
      <c r="AL35" s="474"/>
      <c r="AM35" s="417"/>
      <c r="AN35" s="520"/>
      <c r="AO35" s="520"/>
      <c r="AP35" s="520"/>
      <c r="AQ35" s="520"/>
      <c r="AR35" s="520"/>
    </row>
    <row s="6550" customFormat="1" customHeight="1" ht="0">
      <c r="A36" s="1591"/>
      <c r="B36" s="1591"/>
      <c r="C36" s="1591"/>
      <c r="D36" s="1591"/>
      <c r="E36" s="1591"/>
      <c r="F36" s="1591"/>
      <c r="G36" s="1591"/>
      <c r="H36" s="1591"/>
      <c r="I36" s="1591"/>
      <c r="J36" s="1591"/>
      <c r="K36" s="1591"/>
      <c r="L36" s="1592"/>
      <c r="M36" s="1591"/>
      <c r="N36" s="1591"/>
      <c r="O36" s="1591"/>
      <c r="S36" s="470"/>
      <c r="T36" s="470"/>
      <c r="U36" s="1562"/>
      <c r="V36" s="474"/>
      <c r="W36" s="474"/>
      <c r="X36" s="474"/>
      <c r="Y36" s="474"/>
      <c r="Z36" s="474"/>
      <c r="AA36" s="474"/>
      <c r="AB36" s="474"/>
      <c r="AC36" s="415" t="s">
        <v>1496</v>
      </c>
      <c r="AD36" s="474"/>
      <c r="AE36" s="474"/>
      <c r="AF36" s="474"/>
      <c r="AG36" s="474"/>
      <c r="AH36" s="474"/>
      <c r="AI36" s="474"/>
      <c r="AJ36" s="474"/>
      <c r="AK36" s="415" t="s">
        <v>1496</v>
      </c>
      <c r="AN36" s="520"/>
      <c r="AO36" s="520"/>
      <c r="AP36" s="520"/>
      <c r="AQ36" s="520"/>
      <c r="AR36" s="520"/>
    </row>
    <row customHeight="1" ht="14.25">
      <c r="Q37" s="529"/>
      <c r="R37" s="529"/>
      <c r="S37" s="1492"/>
      <c r="T37" s="513"/>
      <c r="U37" s="1449"/>
      <c r="V37" s="2345"/>
      <c r="W37" s="2345"/>
      <c r="X37" s="2345"/>
      <c r="Y37" s="2345"/>
      <c r="Z37" s="2345"/>
      <c r="AA37" s="2345"/>
      <c r="AB37" s="2345"/>
      <c r="AC37" s="2345"/>
      <c r="AD37" s="2345"/>
      <c r="AE37" s="2345"/>
      <c r="AF37" s="2345"/>
      <c r="AG37" s="2345"/>
      <c r="AH37" s="2345"/>
      <c r="AI37" s="2345"/>
      <c r="AJ37" s="2345"/>
      <c r="AK37" s="2345"/>
    </row>
    <row customHeight="1" ht="14.25">
      <c r="Q38" s="529"/>
      <c r="R38" s="529"/>
      <c r="S38" s="2204" t="s">
        <v>300</v>
      </c>
      <c r="T38" s="2204"/>
      <c r="U38" s="2204"/>
      <c r="V38" s="2204"/>
      <c r="W38" s="2204"/>
      <c r="X38" s="2204"/>
      <c r="Y38" s="2204"/>
      <c r="Z38" s="2204"/>
      <c r="AA38" s="2204"/>
      <c r="AB38" s="2204"/>
      <c r="AC38" s="2204"/>
      <c r="AD38" s="2204"/>
      <c r="AE38" s="2204"/>
      <c r="AF38" s="2204"/>
      <c r="AG38" s="2204"/>
      <c r="AH38" s="2204"/>
      <c r="AI38" s="2204"/>
      <c r="AJ38" s="2204"/>
      <c r="AK38" s="2204"/>
      <c r="AL38" s="2204"/>
      <c r="AM38" s="2204" t="s">
        <v>301</v>
      </c>
    </row>
    <row customHeight="1" ht="14.25">
      <c r="Q39" s="529"/>
      <c r="R39" s="529"/>
      <c r="S39" s="2367" t="s">
        <v>87</v>
      </c>
      <c r="T39" s="2228" t="s">
        <v>1497</v>
      </c>
      <c r="U39" s="438"/>
      <c r="V39" s="2368" t="s">
        <v>1498</v>
      </c>
      <c r="W39" s="2369"/>
      <c r="X39" s="2369"/>
      <c r="Y39" s="2369"/>
      <c r="Z39" s="2369"/>
      <c r="AA39" s="2369"/>
      <c r="AB39" s="2370"/>
      <c r="AC39" s="2371" t="s">
        <v>1499</v>
      </c>
      <c r="AD39" s="2368" t="s">
        <v>1498</v>
      </c>
      <c r="AE39" s="2369"/>
      <c r="AF39" s="2369"/>
      <c r="AG39" s="2369"/>
      <c r="AH39" s="2369"/>
      <c r="AI39" s="2369"/>
      <c r="AJ39" s="2370"/>
      <c r="AK39" s="2371" t="s">
        <v>1500</v>
      </c>
      <c r="AL39" s="2374" t="s">
        <v>1501</v>
      </c>
      <c r="AM39" s="2204"/>
    </row>
    <row customHeight="1" ht="33.75">
      <c r="Q40" s="529"/>
      <c r="R40" s="529"/>
      <c r="S40" s="2367"/>
      <c r="T40" s="2228"/>
      <c r="U40" s="1216"/>
      <c r="V40" s="2353" t="s">
        <v>1502</v>
      </c>
      <c r="W40" s="2377"/>
      <c r="X40" s="2355" t="s">
        <v>1504</v>
      </c>
      <c r="Y40" s="2356"/>
      <c r="Z40" s="2361" t="s">
        <v>1505</v>
      </c>
      <c r="AA40" s="2362"/>
      <c r="AB40" s="2363"/>
      <c r="AC40" s="2372"/>
      <c r="AD40" s="2353" t="s">
        <v>1502</v>
      </c>
      <c r="AE40" s="2377"/>
      <c r="AF40" s="2355" t="s">
        <v>1504</v>
      </c>
      <c r="AG40" s="2356"/>
      <c r="AH40" s="2361" t="s">
        <v>1505</v>
      </c>
      <c r="AI40" s="2362"/>
      <c r="AJ40" s="2363"/>
      <c r="AK40" s="2372"/>
      <c r="AL40" s="2375"/>
      <c r="AM40" s="2204"/>
    </row>
    <row customHeight="1" ht="33.75">
      <c r="A41" s="1593"/>
      <c r="B41" s="1593" t="s">
        <v>144</v>
      </c>
      <c r="C41" s="1593" t="s">
        <v>145</v>
      </c>
      <c r="D41" s="1593" t="s">
        <v>146</v>
      </c>
      <c r="E41" s="1587" t="s">
        <v>1506</v>
      </c>
      <c r="F41" s="1587" t="s">
        <v>1507</v>
      </c>
      <c r="G41" s="1587" t="s">
        <v>1508</v>
      </c>
      <c r="H41" s="1587" t="s">
        <v>1509</v>
      </c>
      <c r="I41" s="1587" t="s">
        <v>1510</v>
      </c>
      <c r="J41" s="1587" t="s">
        <v>1511</v>
      </c>
      <c r="K41" s="1587" t="s">
        <v>1512</v>
      </c>
      <c r="L41" s="1587" t="s">
        <v>1487</v>
      </c>
      <c r="Q41" s="529"/>
      <c r="R41" s="529"/>
      <c r="S41" s="2367"/>
      <c r="T41" s="2228"/>
      <c r="U41" s="439"/>
      <c r="V41" s="2354"/>
      <c r="W41" s="2378"/>
      <c r="X41" s="1424" t="s">
        <v>1513</v>
      </c>
      <c r="Y41" s="1424" t="s">
        <v>1514</v>
      </c>
      <c r="Z41" s="1560" t="s">
        <v>1515</v>
      </c>
      <c r="AA41" s="2364" t="s">
        <v>1516</v>
      </c>
      <c r="AB41" s="2365"/>
      <c r="AC41" s="2373"/>
      <c r="AD41" s="2354"/>
      <c r="AE41" s="2378"/>
      <c r="AF41" s="1424" t="s">
        <v>1513</v>
      </c>
      <c r="AG41" s="1424" t="s">
        <v>1514</v>
      </c>
      <c r="AH41" s="1560" t="s">
        <v>1515</v>
      </c>
      <c r="AI41" s="2364" t="s">
        <v>1516</v>
      </c>
      <c r="AJ41" s="2365"/>
      <c r="AK41" s="2373"/>
      <c r="AL41" s="2376"/>
      <c r="AM41" s="2204"/>
    </row>
    <row s="5794" customFormat="1" customHeight="1" ht="11.25" hidden="1">
      <c r="A42" s="1593"/>
      <c r="B42" s="1593"/>
      <c r="C42" s="1593"/>
      <c r="D42" s="1593"/>
      <c r="E42" s="1593"/>
      <c r="F42" s="1593"/>
      <c r="G42" s="1593"/>
      <c r="H42" s="1593"/>
      <c r="I42" s="1593"/>
      <c r="J42" s="1593"/>
      <c r="K42" s="1593"/>
      <c r="L42" s="1587"/>
      <c r="M42" s="1585"/>
      <c r="N42" s="1585"/>
      <c r="O42" s="1585"/>
      <c r="P42" s="1451"/>
      <c r="Q42" s="1452"/>
      <c r="R42" s="1467">
        <v>1</v>
      </c>
      <c r="S42" s="1494" t="s">
        <v>118</v>
      </c>
      <c r="T42" s="1468" t="s">
        <v>102</v>
      </c>
      <c r="U42" s="1450" t="str">
        <f>OFFSET(U42,0,-1)</f>
        <v>2</v>
      </c>
      <c r="V42" s="1557">
        <f>OFFSET(V42,0,-1)+1</f>
        <v>3</v>
      </c>
      <c r="W42" s="1557"/>
      <c r="X42" s="1557">
        <f>OFFSET(X42,0,-1)+1</f>
        <v>1</v>
      </c>
      <c r="Y42" s="1557">
        <f>OFFSET(Y42,0,-1)+1</f>
        <v>2</v>
      </c>
      <c r="Z42" s="1557">
        <f>OFFSET(Z42,0,-1)+1</f>
        <v>3</v>
      </c>
      <c r="AA42" s="2366">
        <f>OFFSET(AA42,0,-1)+1</f>
        <v>4</v>
      </c>
      <c r="AB42" s="2366"/>
      <c r="AC42" s="1557">
        <f>OFFSET(AC42,0,-2)+1</f>
        <v>5</v>
      </c>
      <c r="AD42" s="1557">
        <f>OFFSET(AD42,0,-1)+1</f>
        <v>6</v>
      </c>
      <c r="AE42" s="1557"/>
      <c r="AF42" s="1557">
        <f>OFFSET(AF42,0,-1)+1</f>
        <v>1</v>
      </c>
      <c r="AG42" s="1557">
        <f>OFFSET(AG42,0,-1)+1</f>
        <v>2</v>
      </c>
      <c r="AH42" s="1557">
        <f>OFFSET(AH42,0,-1)+1</f>
        <v>3</v>
      </c>
      <c r="AI42" s="2366">
        <f>OFFSET(AI42,0,-1)+1</f>
        <v>4</v>
      </c>
      <c r="AJ42" s="2366"/>
      <c r="AK42" s="1557">
        <f>OFFSET(AK42,0,-2)+1</f>
        <v>5</v>
      </c>
      <c r="AL42" s="1450">
        <f>OFFSET(AL42,0,-1)</f>
        <v>5</v>
      </c>
      <c r="AM42" s="1557">
        <f>OFFSET(AM42,0,-1)+1</f>
        <v>6</v>
      </c>
      <c r="AN42" s="675"/>
      <c r="AO42" s="675"/>
      <c r="AP42" s="675"/>
      <c r="AQ42" s="675"/>
      <c r="AR42" s="675"/>
    </row>
    <row customHeight="1" ht="21">
      <c r="A43" s="1586" t="s">
        <v>179</v>
      </c>
      <c r="B43" s="1586"/>
      <c r="C43" s="1586"/>
      <c r="D43" s="1586"/>
      <c r="E43" s="2351">
        <v>1</v>
      </c>
      <c r="F43" s="1586"/>
      <c r="G43" s="1586"/>
      <c r="H43" s="1586"/>
      <c r="I43" s="1586"/>
      <c r="J43" s="1586"/>
      <c r="K43" s="1586"/>
      <c r="L43" s="1587"/>
      <c r="M43" s="1588"/>
      <c r="N43" s="1588"/>
      <c r="O43" s="1588"/>
      <c r="P43" s="509"/>
      <c r="Q43" s="508"/>
      <c r="R43" s="503"/>
      <c r="S43" s="1558">
        <f>INDEX(PT_DIFFERENTIATION_NUM_NTAR,MATCH(A43,PT_DIFFERENTIATION_NTAR_ID,0))</f>
        <v>0</v>
      </c>
      <c r="T43" s="435" t="s">
        <v>132</v>
      </c>
      <c r="U43" s="437"/>
      <c r="V43" s="3964"/>
      <c r="W43" s="3965"/>
      <c r="X43" s="3965"/>
      <c r="Y43" s="3965"/>
      <c r="Z43" s="3965"/>
      <c r="AA43" s="3965"/>
      <c r="AB43" s="3965"/>
      <c r="AC43" s="3966"/>
      <c r="AD43" s="3964" t="str">
        <f>INDEX(PT_DIFFERENTIATION_NTAR,MATCH(A43,PT_DIFFERENTIATION_NTAR_ID,0))</f>
        <v/>
      </c>
      <c r="AE43" s="3965"/>
      <c r="AF43" s="3965"/>
      <c r="AG43" s="3965"/>
      <c r="AH43" s="3965"/>
      <c r="AI43" s="3965"/>
      <c r="AJ43" s="3965"/>
      <c r="AK43" s="3965"/>
      <c r="AL43" s="3966"/>
      <c r="AM43" s="1473" t="s">
        <v>1468</v>
      </c>
      <c r="AO43" s="664"/>
      <c r="AP43" s="664" t="str">
        <f>IF(T43="","",T43)</f>
        <v>Наименование тарифа</v>
      </c>
      <c r="AQ43" s="664"/>
      <c r="AR43" s="664"/>
    </row>
    <row customHeight="1" ht="21">
      <c r="A44" s="1586" t="s">
        <v>179</v>
      </c>
      <c r="B44" s="1586" t="s">
        <v>180</v>
      </c>
      <c r="C44" s="1586"/>
      <c r="D44" s="1586"/>
      <c r="E44" s="2352"/>
      <c r="F44" s="2351">
        <v>1</v>
      </c>
      <c r="G44" s="1586"/>
      <c r="H44" s="1586"/>
      <c r="I44" s="1586"/>
      <c r="J44" s="1586"/>
      <c r="K44" s="1586"/>
      <c r="L44" s="1587"/>
      <c r="M44" s="1588"/>
      <c r="N44" s="1588"/>
      <c r="O44" s="1588"/>
      <c r="P44" s="1554"/>
      <c r="Q44" s="500"/>
      <c r="R44" s="501"/>
      <c r="S44" s="1558" t="str">
        <f>INDEX(PT_DIFFERENTIATION_NUM_TER,MATCH(B44,PT_DIFFERENTIATION_TER_ID,0))</f>
        <v>.</v>
      </c>
      <c r="T44" s="447" t="s">
        <v>1469</v>
      </c>
      <c r="U44" s="437"/>
      <c r="V44" s="3964"/>
      <c r="W44" s="3965"/>
      <c r="X44" s="3965"/>
      <c r="Y44" s="3965"/>
      <c r="Z44" s="3965"/>
      <c r="AA44" s="3965"/>
      <c r="AB44" s="3965"/>
      <c r="AC44" s="3966"/>
      <c r="AD44" s="3964" t="str">
        <f>INDEX(PT_DIFFERENTIATION_TER,MATCH(B44,PT_DIFFERENTIATION_TER_ID,0))</f>
        <v/>
      </c>
      <c r="AE44" s="3965"/>
      <c r="AF44" s="3965"/>
      <c r="AG44" s="3965"/>
      <c r="AH44" s="3965"/>
      <c r="AI44" s="3965"/>
      <c r="AJ44" s="3965"/>
      <c r="AK44" s="3965"/>
      <c r="AL44" s="3966"/>
      <c r="AM44" s="1473" t="s">
        <v>1470</v>
      </c>
      <c r="AO44" s="664"/>
      <c r="AP44" s="664" t="str">
        <f>IF(T44="","",T44)</f>
        <v>Территория действия тарифа</v>
      </c>
      <c r="AQ44" s="664"/>
      <c r="AR44" s="664"/>
    </row>
    <row customHeight="1" ht="23.25">
      <c r="A45" s="1586" t="s">
        <v>179</v>
      </c>
      <c r="B45" s="1586" t="s">
        <v>180</v>
      </c>
      <c r="C45" s="1586" t="s">
        <v>181</v>
      </c>
      <c r="D45" s="1586"/>
      <c r="E45" s="2352"/>
      <c r="F45" s="2352"/>
      <c r="G45" s="2351">
        <v>1</v>
      </c>
      <c r="H45" s="1586"/>
      <c r="I45" s="1586"/>
      <c r="J45" s="1586"/>
      <c r="K45" s="1586"/>
      <c r="L45" s="1587"/>
      <c r="M45" s="1588"/>
      <c r="N45" s="1588"/>
      <c r="O45" s="1588"/>
      <c r="P45" s="502"/>
      <c r="Q45" s="500"/>
      <c r="R45" s="501"/>
      <c r="S45" s="1558" t="str">
        <f>INDEX(PT_DIFFERENTIATION_NUM_CS,MATCH(C45,PT_DIFFERENTIATION_CS_ID,0))</f>
        <v>..</v>
      </c>
      <c r="T45" s="448" t="s">
        <v>1471</v>
      </c>
      <c r="U45" s="437"/>
      <c r="V45" s="3964"/>
      <c r="W45" s="3965"/>
      <c r="X45" s="3965"/>
      <c r="Y45" s="3965"/>
      <c r="Z45" s="3965"/>
      <c r="AA45" s="3965"/>
      <c r="AB45" s="3965"/>
      <c r="AC45" s="3966"/>
      <c r="AD45" s="3964" t="str">
        <f>INDEX(PT_DIFFERENTIATION_CS,MATCH(C45,PT_DIFFERENTIATION_CS_ID,0))</f>
        <v/>
      </c>
      <c r="AE45" s="3965"/>
      <c r="AF45" s="3965"/>
      <c r="AG45" s="3965"/>
      <c r="AH45" s="3965"/>
      <c r="AI45" s="3965"/>
      <c r="AJ45" s="3965"/>
      <c r="AK45" s="3965"/>
      <c r="AL45" s="3966"/>
      <c r="AM45" s="1473" t="s">
        <v>1472</v>
      </c>
      <c r="AO45" s="664"/>
      <c r="AP45" s="664" t="str">
        <f>IF(T45="","",T45)</f>
        <v>Наименование системы теплоснабжения </v>
      </c>
      <c r="AQ45" s="664"/>
      <c r="AR45" s="664"/>
    </row>
    <row customHeight="1" ht="21">
      <c r="A46" s="1586" t="s">
        <v>179</v>
      </c>
      <c r="B46" s="1586" t="s">
        <v>180</v>
      </c>
      <c r="C46" s="1586" t="s">
        <v>181</v>
      </c>
      <c r="D46" s="1586" t="s">
        <v>182</v>
      </c>
      <c r="E46" s="2352"/>
      <c r="F46" s="2352"/>
      <c r="G46" s="2352"/>
      <c r="H46" s="2351">
        <v>1</v>
      </c>
      <c r="I46" s="1586"/>
      <c r="J46" s="1586"/>
      <c r="K46" s="1586"/>
      <c r="L46" s="1587"/>
      <c r="M46" s="1588"/>
      <c r="N46" s="1588"/>
      <c r="O46" s="1588"/>
      <c r="P46" s="502"/>
      <c r="Q46" s="500"/>
      <c r="R46" s="501"/>
      <c r="S46" s="1558" t="str">
        <f>INDEX(PT_DIFFERENTIATION_NUM_IST_TE,MATCH(D46,PT_DIFFERENTIATION_IST_TE_ID,0))</f>
        <v>...</v>
      </c>
      <c r="T46" s="449" t="s">
        <v>1473</v>
      </c>
      <c r="U46" s="437"/>
      <c r="V46" s="3964"/>
      <c r="W46" s="3965"/>
      <c r="X46" s="3965"/>
      <c r="Y46" s="3965"/>
      <c r="Z46" s="3965"/>
      <c r="AA46" s="3965"/>
      <c r="AB46" s="3965"/>
      <c r="AC46" s="3966"/>
      <c r="AD46" s="3964" t="str">
        <f>INDEX(PT_DIFFERENTIATION_IST_TE,MATCH(D46,PT_DIFFERENTIATION_IST_TE_ID,0))</f>
        <v/>
      </c>
      <c r="AE46" s="3965"/>
      <c r="AF46" s="3965"/>
      <c r="AG46" s="3965"/>
      <c r="AH46" s="3965"/>
      <c r="AI46" s="3965"/>
      <c r="AJ46" s="3965"/>
      <c r="AK46" s="3965"/>
      <c r="AL46" s="3966"/>
      <c r="AM46" s="1473" t="s">
        <v>1474</v>
      </c>
      <c r="AO46" s="664"/>
      <c r="AP46" s="664" t="str">
        <f>IF(T46="","",T46)</f>
        <v>Источник тепловой энергии  </v>
      </c>
      <c r="AQ46" s="664"/>
      <c r="AR46" s="664"/>
    </row>
    <row s="6608" customFormat="1" customHeight="1" ht="0">
      <c r="A47" s="1565" t="s">
        <v>179</v>
      </c>
      <c r="B47" s="1565" t="s">
        <v>180</v>
      </c>
      <c r="C47" s="1565" t="s">
        <v>181</v>
      </c>
      <c r="D47" s="1565" t="s">
        <v>182</v>
      </c>
      <c r="E47" s="2352"/>
      <c r="F47" s="2352"/>
      <c r="G47" s="2352"/>
      <c r="H47" s="2352"/>
      <c r="I47" s="2380" t="str">
        <f>S46&amp;".1"</f>
        <v>....1</v>
      </c>
      <c r="J47" s="1565"/>
      <c r="K47" s="1565"/>
      <c r="L47" s="1568" t="s">
        <v>1475</v>
      </c>
      <c r="M47" s="674"/>
      <c r="N47" s="674"/>
      <c r="O47" s="674"/>
      <c r="P47" s="2350">
        <v>1</v>
      </c>
      <c r="Q47" s="1553"/>
      <c r="R47" s="504"/>
      <c r="S47" s="1227"/>
      <c r="T47" s="1606"/>
      <c r="U47" s="1607"/>
      <c r="V47" s="2390"/>
      <c r="W47" s="2391"/>
      <c r="X47" s="2391"/>
      <c r="Y47" s="2391"/>
      <c r="Z47" s="2391"/>
      <c r="AA47" s="2391"/>
      <c r="AB47" s="2391"/>
      <c r="AC47" s="2392"/>
      <c r="AD47" s="2390"/>
      <c r="AE47" s="2391"/>
      <c r="AF47" s="2391"/>
      <c r="AG47" s="2391"/>
      <c r="AH47" s="2391"/>
      <c r="AI47" s="2391"/>
      <c r="AJ47" s="2391"/>
      <c r="AK47" s="2391"/>
      <c r="AL47" s="2392"/>
      <c r="AM47" s="1608"/>
      <c r="AO47" s="664"/>
      <c r="AP47" s="664" t="str">
        <f>IF(T47="","",T47)</f>
        <v/>
      </c>
      <c r="AQ47" s="664"/>
      <c r="AR47" s="664"/>
    </row>
    <row customHeight="1" ht="21">
      <c r="A48" s="1586" t="s">
        <v>179</v>
      </c>
      <c r="B48" s="1586" t="s">
        <v>180</v>
      </c>
      <c r="C48" s="1586" t="s">
        <v>181</v>
      </c>
      <c r="D48" s="1586" t="s">
        <v>182</v>
      </c>
      <c r="E48" s="2352"/>
      <c r="F48" s="2352"/>
      <c r="G48" s="2352"/>
      <c r="H48" s="2352"/>
      <c r="I48" s="2381"/>
      <c r="J48" s="2349" t="str">
        <f>S46&amp;".1"</f>
        <v>....1</v>
      </c>
      <c r="K48" s="1586"/>
      <c r="L48" s="1587" t="s">
        <v>1478</v>
      </c>
      <c r="P48" s="2350"/>
      <c r="Q48" s="2350">
        <v>1</v>
      </c>
      <c r="R48" s="505"/>
      <c r="S48" s="1558" t="str">
        <f>$J48</f>
        <v>....1</v>
      </c>
      <c r="T48" s="423" t="s">
        <v>1479</v>
      </c>
      <c r="U48" s="437"/>
      <c r="V48" s="2338"/>
      <c r="W48" s="2339"/>
      <c r="X48" s="2339"/>
      <c r="Y48" s="2339"/>
      <c r="Z48" s="2339"/>
      <c r="AA48" s="2339"/>
      <c r="AB48" s="2339"/>
      <c r="AC48" s="2340"/>
      <c r="AD48" s="2338"/>
      <c r="AE48" s="2339"/>
      <c r="AF48" s="2339"/>
      <c r="AG48" s="2339"/>
      <c r="AH48" s="2339"/>
      <c r="AI48" s="2339"/>
      <c r="AJ48" s="2339"/>
      <c r="AK48" s="2339"/>
      <c r="AL48" s="2340"/>
      <c r="AM48" s="1473" t="s">
        <v>1480</v>
      </c>
      <c r="AO48" s="664"/>
      <c r="AP48" s="664" t="str">
        <f>IF(T48="","",T48)</f>
        <v>Группа потребителей</v>
      </c>
      <c r="AQ48" s="664"/>
      <c r="AR48" s="664"/>
    </row>
    <row customHeight="1" ht="21">
      <c r="A49" s="1586" t="s">
        <v>179</v>
      </c>
      <c r="B49" s="1586" t="s">
        <v>180</v>
      </c>
      <c r="C49" s="1586" t="s">
        <v>181</v>
      </c>
      <c r="D49" s="1586" t="s">
        <v>182</v>
      </c>
      <c r="E49" s="2352"/>
      <c r="F49" s="2352"/>
      <c r="G49" s="2352"/>
      <c r="H49" s="2352"/>
      <c r="I49" s="2381"/>
      <c r="J49" s="2382"/>
      <c r="K49" s="2349" t="str">
        <f>J48&amp;".1"</f>
        <v>....1.1</v>
      </c>
      <c r="L49" s="1587" t="s">
        <v>1481</v>
      </c>
      <c r="P49" s="2350"/>
      <c r="Q49" s="2350"/>
      <c r="R49" s="505">
        <v>1</v>
      </c>
      <c r="S49" s="1558" t="str">
        <f>$K49</f>
        <v>....1.1</v>
      </c>
      <c r="T49" s="1569"/>
      <c r="U49" s="437"/>
      <c r="V49" s="3992"/>
      <c r="W49" s="3993"/>
      <c r="X49" s="3992"/>
      <c r="Y49" s="3994"/>
      <c r="Z49" s="2357"/>
      <c r="AA49" s="2069" t="s">
        <v>66</v>
      </c>
      <c r="AB49" s="2357"/>
      <c r="AC49" s="2069" t="s">
        <v>66</v>
      </c>
      <c r="AD49" s="3992"/>
      <c r="AE49" s="3993"/>
      <c r="AF49" s="3992"/>
      <c r="AG49" s="3994"/>
      <c r="AH49" s="2357"/>
      <c r="AI49" s="2069" t="s">
        <v>66</v>
      </c>
      <c r="AJ49" s="2383"/>
      <c r="AK49" s="2069" t="s">
        <v>66</v>
      </c>
      <c r="AL49" s="4093"/>
      <c r="AM49" s="2346" t="s">
        <v>1525</v>
      </c>
      <c r="AN49" s="675">
        <f>STRCHECKDATE(V50:AL50)</f>
      </c>
      <c r="AO49" s="664"/>
      <c r="AP49" s="664" t="str">
        <f>IF(T49="","",T49)</f>
        <v/>
      </c>
      <c r="AQ49" s="664"/>
      <c r="AR49" s="664"/>
    </row>
    <row customHeight="1" ht="0.75">
      <c r="A50" s="1586" t="s">
        <v>179</v>
      </c>
      <c r="B50" s="1586" t="s">
        <v>180</v>
      </c>
      <c r="C50" s="1586" t="s">
        <v>181</v>
      </c>
      <c r="D50" s="1586" t="s">
        <v>182</v>
      </c>
      <c r="E50" s="2352"/>
      <c r="F50" s="2352"/>
      <c r="G50" s="2352"/>
      <c r="H50" s="2352"/>
      <c r="I50" s="2381"/>
      <c r="J50" s="2382"/>
      <c r="K50" s="2349"/>
      <c r="L50" s="1587"/>
      <c r="P50" s="2350"/>
      <c r="Q50" s="2350"/>
      <c r="R50" s="505"/>
      <c r="S50" s="1564"/>
      <c r="T50" s="437"/>
      <c r="U50" s="437"/>
      <c r="V50" s="3993"/>
      <c r="W50" s="3993"/>
      <c r="X50" s="3993"/>
      <c r="Y50" s="3998" t="str">
        <f>Z49&amp;"-"&amp;AB49</f>
        <v>-</v>
      </c>
      <c r="Z50" s="2358"/>
      <c r="AA50" s="2069"/>
      <c r="AB50" s="2358"/>
      <c r="AC50" s="2069"/>
      <c r="AD50" s="3993"/>
      <c r="AE50" s="3993"/>
      <c r="AF50" s="3993"/>
      <c r="AG50" s="3998" t="str">
        <f>AH49&amp;"-"&amp;AJ49</f>
        <v>-</v>
      </c>
      <c r="AH50" s="2358"/>
      <c r="AI50" s="2069"/>
      <c r="AJ50" s="2384"/>
      <c r="AK50" s="2069"/>
      <c r="AL50" s="4096"/>
      <c r="AM50" s="2347"/>
      <c r="AO50" s="664"/>
      <c r="AP50" s="664" t="str">
        <f>IF(T50="","",T50)</f>
        <v/>
      </c>
      <c r="AQ50" s="664"/>
      <c r="AR50" s="664"/>
    </row>
    <row customHeight="1" ht="11.25">
      <c r="A51" s="1586" t="s">
        <v>179</v>
      </c>
      <c r="B51" s="1586" t="s">
        <v>180</v>
      </c>
      <c r="C51" s="1586" t="s">
        <v>181</v>
      </c>
      <c r="D51" s="1586" t="s">
        <v>182</v>
      </c>
      <c r="E51" s="2352"/>
      <c r="F51" s="2352"/>
      <c r="G51" s="2352"/>
      <c r="H51" s="2352"/>
      <c r="I51" s="2381"/>
      <c r="J51" s="2349"/>
      <c r="K51" s="1586"/>
      <c r="L51" s="1587"/>
      <c r="P51" s="2350"/>
      <c r="Q51" s="2350"/>
      <c r="R51" s="504"/>
      <c r="S51" s="1495"/>
      <c r="T51" s="424" t="s">
        <v>1483</v>
      </c>
      <c r="U51" s="519"/>
      <c r="V51" s="519"/>
      <c r="W51" s="519"/>
      <c r="X51" s="519"/>
      <c r="Y51" s="519"/>
      <c r="Z51" s="519"/>
      <c r="AA51" s="519"/>
      <c r="AB51" s="519"/>
      <c r="AC51" s="519"/>
      <c r="AD51" s="519"/>
      <c r="AE51" s="519"/>
      <c r="AF51" s="519"/>
      <c r="AG51" s="519"/>
      <c r="AH51" s="519"/>
      <c r="AI51" s="519"/>
      <c r="AJ51" s="519"/>
      <c r="AK51" s="519"/>
      <c r="AL51" s="471"/>
      <c r="AM51" s="2348"/>
      <c r="AO51" s="664"/>
      <c r="AP51" s="664" t="str">
        <f>IF(T51="","",T51)</f>
        <v>Добавить вид теплоносителя (параметры теплоносителя)</v>
      </c>
      <c r="AQ51" s="664"/>
      <c r="AR51" s="664"/>
    </row>
    <row customHeight="1" ht="11.25">
      <c r="A52" s="1586" t="s">
        <v>179</v>
      </c>
      <c r="B52" s="1586" t="s">
        <v>180</v>
      </c>
      <c r="C52" s="1586" t="s">
        <v>181</v>
      </c>
      <c r="D52" s="1586" t="s">
        <v>182</v>
      </c>
      <c r="E52" s="2352"/>
      <c r="F52" s="2352"/>
      <c r="G52" s="2352"/>
      <c r="H52" s="2352"/>
      <c r="I52" s="2380"/>
      <c r="J52" s="1586"/>
      <c r="K52" s="1586"/>
      <c r="L52" s="1587"/>
      <c r="P52" s="2350"/>
      <c r="Q52" s="1553"/>
      <c r="R52" s="504"/>
      <c r="S52" s="1495"/>
      <c r="T52" s="516" t="s">
        <v>1484</v>
      </c>
      <c r="U52" s="519"/>
      <c r="V52" s="519"/>
      <c r="W52" s="519"/>
      <c r="X52" s="519"/>
      <c r="Y52" s="519"/>
      <c r="Z52" s="519"/>
      <c r="AA52" s="519"/>
      <c r="AB52" s="519"/>
      <c r="AC52" s="518"/>
      <c r="AD52" s="519"/>
      <c r="AE52" s="519"/>
      <c r="AF52" s="519"/>
      <c r="AG52" s="519"/>
      <c r="AH52" s="519"/>
      <c r="AI52" s="519"/>
      <c r="AJ52" s="519"/>
      <c r="AK52" s="518"/>
      <c r="AL52" s="519"/>
      <c r="AM52" s="440"/>
      <c r="AO52" s="664"/>
      <c r="AP52" s="664" t="str">
        <f>IF(T52="","",T52)</f>
        <v>Добавить группу потребителей</v>
      </c>
      <c r="AQ52" s="664"/>
      <c r="AR52" s="664"/>
    </row>
    <row customHeight="1" ht="0">
      <c r="A53" s="1586" t="s">
        <v>179</v>
      </c>
      <c r="B53" s="1586" t="s">
        <v>180</v>
      </c>
      <c r="C53" s="1586" t="s">
        <v>181</v>
      </c>
      <c r="D53" s="1586" t="s">
        <v>182</v>
      </c>
      <c r="E53" s="2352"/>
      <c r="F53" s="2352"/>
      <c r="G53" s="2352"/>
      <c r="H53" s="2351"/>
      <c r="I53" s="1586"/>
      <c r="J53" s="1586"/>
      <c r="K53" s="1586"/>
      <c r="L53" s="1587"/>
      <c r="M53" s="1588"/>
      <c r="N53" s="1588"/>
      <c r="O53" s="701"/>
      <c r="P53" s="508"/>
      <c r="Q53" s="528"/>
      <c r="R53" s="503"/>
      <c r="S53" s="1609"/>
      <c r="T53" s="1610"/>
      <c r="U53" s="1611"/>
      <c r="V53" s="1611"/>
      <c r="W53" s="1611"/>
      <c r="X53" s="1611"/>
      <c r="Y53" s="1611"/>
      <c r="Z53" s="1611"/>
      <c r="AA53" s="1611"/>
      <c r="AB53" s="1611"/>
      <c r="AC53" s="1611"/>
      <c r="AD53" s="1611"/>
      <c r="AE53" s="1611"/>
      <c r="AF53" s="1611"/>
      <c r="AG53" s="1611"/>
      <c r="AH53" s="1611"/>
      <c r="AI53" s="1611"/>
      <c r="AJ53" s="1611"/>
      <c r="AK53" s="1611"/>
      <c r="AL53" s="1611"/>
      <c r="AM53" s="1612"/>
      <c r="AO53" s="664"/>
      <c r="AP53" s="664" t="str">
        <f>IF(T53="","",T53)</f>
        <v/>
      </c>
      <c r="AQ53" s="664"/>
      <c r="AR53" s="664"/>
    </row>
    <row s="6520" customFormat="1" customHeight="1" ht="0.75">
      <c r="A54" s="1565" t="s">
        <v>179</v>
      </c>
      <c r="B54" s="1565" t="s">
        <v>180</v>
      </c>
      <c r="C54" s="1565" t="s">
        <v>181</v>
      </c>
      <c r="D54" s="1536"/>
      <c r="E54" s="2352"/>
      <c r="F54" s="2352"/>
      <c r="G54" s="2351"/>
      <c r="H54" s="1536"/>
      <c r="I54" s="1536"/>
      <c r="J54" s="1536"/>
      <c r="K54" s="1536"/>
      <c r="L54" s="1561"/>
      <c r="M54" s="1537"/>
      <c r="N54" s="1537"/>
      <c r="P54" s="1538"/>
      <c r="Q54" s="1539"/>
      <c r="R54" s="1538"/>
      <c r="S54" s="1544"/>
      <c r="T54" s="1547" t="s">
        <v>1444</v>
      </c>
      <c r="U54" s="1546"/>
      <c r="V54" s="1546"/>
      <c r="W54" s="1546"/>
      <c r="X54" s="1546"/>
      <c r="Y54" s="1546"/>
      <c r="Z54" s="1546"/>
      <c r="AA54" s="1546"/>
      <c r="AB54" s="1546"/>
      <c r="AC54" s="1546"/>
      <c r="AD54" s="1546"/>
      <c r="AE54" s="1546"/>
      <c r="AF54" s="1546"/>
      <c r="AG54" s="1546"/>
      <c r="AH54" s="1546"/>
      <c r="AI54" s="1546"/>
      <c r="AJ54" s="1546"/>
      <c r="AK54" s="1546"/>
      <c r="AL54" s="1546"/>
      <c r="AM54" s="1546"/>
      <c r="AO54" s="956"/>
      <c r="AP54" s="956" t="str">
        <f>IF(T54="","",T54)</f>
        <v>Добавить источник для дифференциации</v>
      </c>
      <c r="AQ54" s="956"/>
      <c r="AR54" s="956"/>
    </row>
    <row s="6520" customFormat="1" customHeight="1" ht="0.75">
      <c r="A55" s="1565" t="s">
        <v>179</v>
      </c>
      <c r="B55" s="1565" t="s">
        <v>180</v>
      </c>
      <c r="C55" s="1536"/>
      <c r="D55" s="1536"/>
      <c r="E55" s="2352"/>
      <c r="F55" s="2351"/>
      <c r="G55" s="1536"/>
      <c r="H55" s="1536"/>
      <c r="I55" s="1536"/>
      <c r="J55" s="1536"/>
      <c r="K55" s="1536"/>
      <c r="L55" s="1561"/>
      <c r="M55" s="1543"/>
      <c r="N55" s="1543"/>
      <c r="P55" s="1538"/>
      <c r="Q55" s="1539"/>
      <c r="R55" s="1538"/>
      <c r="S55" s="1544"/>
      <c r="T55" s="1547" t="s">
        <v>1445</v>
      </c>
      <c r="U55" s="1546"/>
      <c r="V55" s="1546"/>
      <c r="W55" s="1546"/>
      <c r="X55" s="1546"/>
      <c r="Y55" s="1546"/>
      <c r="Z55" s="1546"/>
      <c r="AA55" s="1546"/>
      <c r="AB55" s="1546"/>
      <c r="AC55" s="1546"/>
      <c r="AD55" s="1546"/>
      <c r="AE55" s="1546"/>
      <c r="AF55" s="1546"/>
      <c r="AG55" s="1546"/>
      <c r="AH55" s="1546"/>
      <c r="AI55" s="1546"/>
      <c r="AJ55" s="1546"/>
      <c r="AK55" s="1546"/>
      <c r="AL55" s="1546"/>
      <c r="AM55" s="1546"/>
      <c r="AO55" s="956"/>
      <c r="AP55" s="956" t="str">
        <f>IF(T55="","",T55)</f>
        <v>Добавить централизованную систему для дифференциации</v>
      </c>
      <c r="AQ55" s="956"/>
      <c r="AR55" s="956"/>
    </row>
    <row s="6608" customFormat="1" customHeight="1" ht="0.75">
      <c r="A56" s="1565" t="s">
        <v>179</v>
      </c>
      <c r="B56" s="1565"/>
      <c r="C56" s="1565"/>
      <c r="D56" s="1565"/>
      <c r="E56" s="2351"/>
      <c r="F56" s="1565"/>
      <c r="G56" s="1565"/>
      <c r="H56" s="1565"/>
      <c r="I56" s="1565"/>
      <c r="J56" s="1565"/>
      <c r="K56" s="1565"/>
      <c r="L56" s="1568"/>
      <c r="M56" s="1543"/>
      <c r="N56" s="1543"/>
      <c r="O56" s="682"/>
      <c r="P56" s="537"/>
      <c r="Q56" s="1566"/>
      <c r="R56" s="537"/>
      <c r="S56" s="1544"/>
      <c r="T56" s="1547" t="s">
        <v>1446</v>
      </c>
      <c r="U56" s="1546"/>
      <c r="V56" s="1546"/>
      <c r="W56" s="1546"/>
      <c r="X56" s="1546"/>
      <c r="Y56" s="1546"/>
      <c r="Z56" s="1546"/>
      <c r="AA56" s="1546"/>
      <c r="AB56" s="1546"/>
      <c r="AC56" s="1546"/>
      <c r="AD56" s="1546"/>
      <c r="AE56" s="1546"/>
      <c r="AF56" s="1546"/>
      <c r="AG56" s="1546"/>
      <c r="AH56" s="1546"/>
      <c r="AI56" s="1546"/>
      <c r="AJ56" s="1546"/>
      <c r="AK56" s="1546"/>
      <c r="AL56" s="1546"/>
      <c r="AM56" s="1546"/>
      <c r="AO56" s="664"/>
      <c r="AP56" s="664" t="str">
        <f>IF(T56="","",T56)</f>
        <v>Добавить территорию для дифференциации</v>
      </c>
      <c r="AQ56" s="664"/>
      <c r="AR56" s="664"/>
    </row>
    <row s="6520" customFormat="1" customHeight="1" ht="0.75">
      <c r="A57" s="1536"/>
      <c r="B57" s="1536"/>
      <c r="C57" s="1536"/>
      <c r="D57" s="1536"/>
      <c r="E57" s="1565"/>
      <c r="F57" s="1536"/>
      <c r="G57" s="1536"/>
      <c r="H57" s="1536"/>
      <c r="I57" s="1536"/>
      <c r="J57" s="1536"/>
      <c r="K57" s="1536"/>
      <c r="L57" s="1561"/>
      <c r="M57" s="1543"/>
      <c r="N57" s="1543"/>
      <c r="P57" s="1538"/>
      <c r="Q57" s="1539"/>
      <c r="R57" s="1538"/>
      <c r="S57" s="1544"/>
      <c r="T57" s="1547" t="s">
        <v>1447</v>
      </c>
      <c r="U57" s="1546"/>
      <c r="V57" s="1546"/>
      <c r="W57" s="1546"/>
      <c r="X57" s="1546"/>
      <c r="Y57" s="1546"/>
      <c r="Z57" s="1546"/>
      <c r="AA57" s="1546"/>
      <c r="AB57" s="1546"/>
      <c r="AC57" s="1546"/>
      <c r="AD57" s="1546"/>
      <c r="AE57" s="1546"/>
      <c r="AF57" s="1546"/>
      <c r="AG57" s="1546"/>
      <c r="AH57" s="1546"/>
      <c r="AI57" s="1546"/>
      <c r="AJ57" s="1546"/>
      <c r="AK57" s="1546"/>
      <c r="AL57" s="1546"/>
      <c r="AM57" s="1546"/>
      <c r="AO57" s="956"/>
      <c r="AP57" s="956" t="str">
        <f>IF(T57="","",T57)</f>
        <v>Добавить наименование тарифа</v>
      </c>
      <c r="AQ57" s="956"/>
      <c r="AR57" s="956"/>
    </row>
    <row customHeight="1" ht="11.25" hidden="1">
      <c r="M58" s="1348"/>
      <c r="N58" s="1348"/>
      <c r="O58" s="701"/>
      <c r="P58" s="1343"/>
      <c r="Q58" s="1343"/>
      <c r="R58" s="1343"/>
      <c r="S58" s="1343"/>
      <c r="AN58" s="1343"/>
      <c r="AO58" s="1343"/>
      <c r="AP58" s="1343"/>
      <c r="AQ58" s="1343"/>
      <c r="AR58" s="1343"/>
    </row>
    <row customHeight="1" ht="18.75" hidden="1">
      <c r="O59" s="701"/>
      <c r="S59" s="1460" t="s">
        <v>1517</v>
      </c>
      <c r="T59" s="2379" t="s">
        <v>1526</v>
      </c>
      <c r="U59" s="2379"/>
      <c r="V59" s="2379"/>
      <c r="W59" s="2379"/>
      <c r="X59" s="2379"/>
      <c r="Y59" s="2379"/>
      <c r="Z59" s="2379"/>
      <c r="AA59" s="2379"/>
      <c r="AB59" s="2379"/>
      <c r="AC59" s="2379"/>
      <c r="AD59" s="2379"/>
      <c r="AE59" s="2379"/>
      <c r="AF59" s="2379"/>
      <c r="AG59" s="2379"/>
      <c r="AH59" s="2379"/>
      <c r="AI59" s="2379"/>
      <c r="AJ59" s="2379"/>
      <c r="AK59" s="2379"/>
      <c r="AL59" s="2379"/>
      <c r="AM59" s="2379"/>
    </row>
    <row customHeight="1" ht="27.75" hidden="1">
      <c r="O60" s="701"/>
      <c r="T60" s="2379" t="s">
        <v>1527</v>
      </c>
      <c r="U60" s="2379"/>
      <c r="V60" s="2379"/>
      <c r="W60" s="2379"/>
      <c r="X60" s="2379"/>
      <c r="Y60" s="2379"/>
      <c r="Z60" s="2379"/>
      <c r="AA60" s="2379"/>
      <c r="AB60" s="2379"/>
      <c r="AC60" s="2379"/>
      <c r="AD60" s="2379"/>
      <c r="AE60" s="2379"/>
      <c r="AF60" s="2379"/>
      <c r="AG60" s="2379"/>
      <c r="AH60" s="2379"/>
      <c r="AI60" s="2379"/>
      <c r="AJ60" s="2379"/>
      <c r="AK60" s="2379"/>
      <c r="AL60" s="2379"/>
      <c r="AM60" s="2379"/>
    </row>
    <row customHeight="1" ht="39.75" hidden="1">
      <c r="O61" s="701"/>
      <c r="T61" s="2379" t="s">
        <v>1528</v>
      </c>
      <c r="U61" s="2379"/>
      <c r="V61" s="2379"/>
      <c r="W61" s="2379"/>
      <c r="X61" s="2379"/>
      <c r="Y61" s="2379"/>
      <c r="Z61" s="2379"/>
      <c r="AA61" s="2379"/>
      <c r="AB61" s="2379"/>
      <c r="AC61" s="2379"/>
      <c r="AD61" s="2379"/>
      <c r="AE61" s="2379"/>
      <c r="AF61" s="2379"/>
      <c r="AG61" s="2379"/>
      <c r="AH61" s="2379"/>
      <c r="AI61" s="2379"/>
      <c r="AJ61" s="2379"/>
      <c r="AK61" s="2379"/>
      <c r="AL61" s="2379"/>
      <c r="AM61" s="2379"/>
    </row>
    <row customHeight="1" ht="14.25" hidden="1">
      <c r="O62" s="701"/>
    </row>
    <row customHeight="1" ht="19.5" hidden="1">
      <c r="O63" s="701"/>
      <c r="S63" s="1460" t="s">
        <v>1517</v>
      </c>
      <c r="T63" s="2393" t="s">
        <v>1520</v>
      </c>
      <c r="U63" s="2379"/>
      <c r="V63" s="2379"/>
      <c r="W63" s="2379"/>
      <c r="X63" s="2379"/>
      <c r="Y63" s="2379"/>
      <c r="Z63" s="2379"/>
      <c r="AA63" s="2379"/>
      <c r="AB63" s="2379"/>
      <c r="AC63" s="2379"/>
      <c r="AD63" s="2379"/>
      <c r="AE63" s="2379"/>
      <c r="AF63" s="2379"/>
      <c r="AG63" s="2379"/>
      <c r="AH63" s="2379"/>
      <c r="AI63" s="2379"/>
      <c r="AJ63" s="2379"/>
      <c r="AK63" s="2379"/>
      <c r="AL63" s="2379"/>
      <c r="AM63" s="2379"/>
    </row>
    <row customHeight="1" ht="27.75" hidden="1">
      <c r="O64" s="701"/>
      <c r="T64" s="2379" t="s">
        <v>1529</v>
      </c>
      <c r="U64" s="2379"/>
      <c r="V64" s="2379"/>
      <c r="W64" s="2379"/>
      <c r="X64" s="2379"/>
      <c r="Y64" s="2379"/>
      <c r="Z64" s="2379"/>
      <c r="AA64" s="2379"/>
      <c r="AB64" s="2379"/>
      <c r="AC64" s="2379"/>
      <c r="AD64" s="2379"/>
      <c r="AE64" s="2379"/>
      <c r="AF64" s="2379"/>
      <c r="AG64" s="2379"/>
      <c r="AH64" s="2379"/>
      <c r="AI64" s="2379"/>
      <c r="AJ64" s="2379"/>
      <c r="AK64" s="2379"/>
      <c r="AL64" s="2379"/>
      <c r="AM64" s="2379"/>
    </row>
    <row customHeight="1" ht="33.75" hidden="1">
      <c r="T65" s="2379" t="s">
        <v>1530</v>
      </c>
      <c r="U65" s="2379"/>
      <c r="V65" s="2379"/>
      <c r="W65" s="2379"/>
      <c r="X65" s="2379"/>
      <c r="Y65" s="2379"/>
      <c r="Z65" s="2379"/>
      <c r="AA65" s="2379"/>
      <c r="AB65" s="2379"/>
      <c r="AC65" s="2379"/>
      <c r="AD65" s="2379"/>
      <c r="AE65" s="2379"/>
      <c r="AF65" s="2379"/>
      <c r="AG65" s="2379"/>
      <c r="AH65" s="2379"/>
      <c r="AI65" s="2379"/>
      <c r="AJ65" s="2379"/>
      <c r="AK65" s="2379"/>
      <c r="AL65" s="2379"/>
      <c r="AM65" s="2379"/>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315345-04AE-AEEF-A4D1-1A278AFA26A1}"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28" width="3.7109375" hidden="1" customWidth="1"/>
    <col min="17" max="18" style="6619" width="3.7109375" customWidth="1"/>
    <col min="19" max="19" style="6620" width="12.7109375" customWidth="1"/>
    <col min="20" max="20" style="6104" width="32.00390625" customWidth="1"/>
    <col min="21" max="21" style="6104" width="0.140625" customWidth="1"/>
    <col min="22" max="22" style="6104" width="24.7109375" hidden="1" customWidth="1"/>
    <col min="23" max="23" style="6104" width="0.140625" hidden="1" customWidth="1"/>
    <col min="24" max="25" style="6104" width="24.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0" style="6104" width="24.7109375" customWidth="1"/>
    <col min="31" max="31" style="6104" width="0.140625" customWidth="1"/>
    <col min="32" max="33" style="6104" width="24.7109375" customWidth="1"/>
    <col min="34" max="34" style="6104" width="11.7109375" customWidth="1"/>
    <col min="35" max="35" style="6104" width="3.7109375" customWidth="1"/>
    <col min="36" max="36" style="6104" width="11.7109375" customWidth="1"/>
    <col min="37" max="37" style="6104" width="8.57421875" hidden="1" customWidth="1"/>
    <col min="38" max="38" style="6104" width="4.7109375" customWidth="1"/>
    <col min="39" max="39" style="6104" width="115.7109375" customWidth="1"/>
    <col min="40" max="41" style="6608" width="10.57421875"/>
    <col min="42" max="42" style="6608" width="11.140625" customWidth="1"/>
    <col min="43" max="44" style="6608" width="10.57421875"/>
  </cols>
  <sheetData>
    <row customHeight="1" ht="14.25" hidden="1">
      <c r="Y1" s="475"/>
      <c r="Z1" s="475"/>
      <c r="AG1" s="475"/>
      <c r="AH1" s="475"/>
    </row>
    <row customHeight="1" ht="21" hidden="1">
      <c r="A2" s="1586"/>
      <c r="B2" s="1586"/>
      <c r="C2" s="1586"/>
      <c r="D2" s="1586"/>
      <c r="E2" s="2351">
        <v>1</v>
      </c>
      <c r="F2" s="1586"/>
      <c r="G2" s="1586"/>
      <c r="H2" s="1586"/>
      <c r="I2" s="1586"/>
      <c r="J2" s="1586"/>
      <c r="K2" s="1586"/>
      <c r="L2" s="1587"/>
      <c r="M2" s="1588"/>
      <c r="N2" s="1588"/>
      <c r="O2" s="1588"/>
      <c r="P2" s="509"/>
      <c r="Q2" s="508"/>
      <c r="R2" s="503"/>
      <c r="S2" s="1558">
        <f>INDEX(PT_DIFFERENTIATION_NUM_NTAR,MATCH(A2,PT_DIFFERENTIATION_NTAR_ID,0))</f>
      </c>
      <c r="T2" s="435" t="s">
        <v>132</v>
      </c>
      <c r="U2" s="437"/>
      <c r="V2" s="3964"/>
      <c r="W2" s="3965"/>
      <c r="X2" s="3965"/>
      <c r="Y2" s="3965"/>
      <c r="Z2" s="3965"/>
      <c r="AA2" s="3965"/>
      <c r="AB2" s="3965"/>
      <c r="AC2" s="3966"/>
      <c r="AD2" s="3964">
        <f>INDEX(PT_DIFFERENTIATION_NTAR,MATCH(A2,PT_DIFFERENTIATION_NTAR_ID,0))</f>
      </c>
      <c r="AE2" s="3965"/>
      <c r="AF2" s="3965"/>
      <c r="AG2" s="3965"/>
      <c r="AH2" s="3965"/>
      <c r="AI2" s="3965"/>
      <c r="AJ2" s="3965"/>
      <c r="AK2" s="3965"/>
      <c r="AL2" s="3966"/>
      <c r="AM2" s="1473" t="s">
        <v>1468</v>
      </c>
      <c r="AO2" s="664"/>
      <c r="AP2" s="664" t="str">
        <f>IF(T2="","",T2)</f>
        <v>Наименование тарифа</v>
      </c>
      <c r="AQ2" s="664"/>
      <c r="AR2" s="664"/>
    </row>
    <row customHeight="1" ht="21" hidden="1">
      <c r="A3" s="1586"/>
      <c r="B3" s="1586"/>
      <c r="C3" s="1586"/>
      <c r="D3" s="1586"/>
      <c r="E3" s="2352"/>
      <c r="F3" s="2351">
        <v>1</v>
      </c>
      <c r="G3" s="1586"/>
      <c r="H3" s="1586"/>
      <c r="I3" s="1586"/>
      <c r="J3" s="1586"/>
      <c r="K3" s="1586"/>
      <c r="L3" s="1587"/>
      <c r="M3" s="1588"/>
      <c r="N3" s="1588"/>
      <c r="O3" s="1588"/>
      <c r="P3" s="1554"/>
      <c r="Q3" s="500"/>
      <c r="R3" s="501"/>
      <c r="S3" s="1558">
        <f>INDEX(PT_DIFFERENTIATION_NUM_TER,MATCH(B3,PT_DIFFERENTIATION_TER_ID,0))</f>
      </c>
      <c r="T3" s="447" t="s">
        <v>1469</v>
      </c>
      <c r="U3" s="437"/>
      <c r="V3" s="3964"/>
      <c r="W3" s="3965"/>
      <c r="X3" s="3965"/>
      <c r="Y3" s="3965"/>
      <c r="Z3" s="3965"/>
      <c r="AA3" s="3965"/>
      <c r="AB3" s="3965"/>
      <c r="AC3" s="3966"/>
      <c r="AD3" s="3964">
        <f>INDEX(PT_DIFFERENTIATION_TER,MATCH(B3,PT_DIFFERENTIATION_TER_ID,0))</f>
      </c>
      <c r="AE3" s="3965"/>
      <c r="AF3" s="3965"/>
      <c r="AG3" s="3965"/>
      <c r="AH3" s="3965"/>
      <c r="AI3" s="3965"/>
      <c r="AJ3" s="3965"/>
      <c r="AK3" s="3965"/>
      <c r="AL3" s="3966"/>
      <c r="AM3" s="1473" t="s">
        <v>1470</v>
      </c>
      <c r="AO3" s="664"/>
      <c r="AP3" s="664" t="str">
        <f>IF(T3="","",T3)</f>
        <v>Территория действия тарифа</v>
      </c>
      <c r="AQ3" s="664"/>
      <c r="AR3" s="664"/>
    </row>
    <row customHeight="1" ht="23.25" hidden="1">
      <c r="A4" s="1586"/>
      <c r="B4" s="1586"/>
      <c r="C4" s="1586"/>
      <c r="D4" s="1586"/>
      <c r="E4" s="2352"/>
      <c r="F4" s="2352"/>
      <c r="G4" s="2351">
        <v>1</v>
      </c>
      <c r="H4" s="1586"/>
      <c r="I4" s="1586"/>
      <c r="J4" s="1586"/>
      <c r="K4" s="1586"/>
      <c r="L4" s="1587"/>
      <c r="M4" s="1588"/>
      <c r="N4" s="1588"/>
      <c r="O4" s="1588"/>
      <c r="P4" s="502"/>
      <c r="Q4" s="500"/>
      <c r="R4" s="501"/>
      <c r="S4" s="1558">
        <f>INDEX(PT_DIFFERENTIATION_NUM_CS,MATCH(C4,PT_DIFFERENTIATION_CS_ID,0))</f>
      </c>
      <c r="T4" s="448" t="s">
        <v>1471</v>
      </c>
      <c r="U4" s="437"/>
      <c r="V4" s="3964"/>
      <c r="W4" s="3965"/>
      <c r="X4" s="3965"/>
      <c r="Y4" s="3965"/>
      <c r="Z4" s="3965"/>
      <c r="AA4" s="3965"/>
      <c r="AB4" s="3965"/>
      <c r="AC4" s="3966"/>
      <c r="AD4" s="3964">
        <f>INDEX(PT_DIFFERENTIATION_CS,MATCH(C4,PT_DIFFERENTIATION_CS_ID,0))</f>
      </c>
      <c r="AE4" s="3965"/>
      <c r="AF4" s="3965"/>
      <c r="AG4" s="3965"/>
      <c r="AH4" s="3965"/>
      <c r="AI4" s="3965"/>
      <c r="AJ4" s="3965"/>
      <c r="AK4" s="3965"/>
      <c r="AL4" s="3966"/>
      <c r="AM4" s="1473" t="s">
        <v>1472</v>
      </c>
      <c r="AO4" s="664"/>
      <c r="AP4" s="664" t="str">
        <f>IF(T4="","",T4)</f>
        <v>Наименование системы теплоснабжения </v>
      </c>
      <c r="AQ4" s="664"/>
      <c r="AR4" s="664"/>
    </row>
    <row customHeight="1" ht="21" hidden="1">
      <c r="A5" s="1586"/>
      <c r="B5" s="1586"/>
      <c r="C5" s="1586"/>
      <c r="D5" s="1586"/>
      <c r="E5" s="2352"/>
      <c r="F5" s="2352"/>
      <c r="G5" s="2352"/>
      <c r="H5" s="2351">
        <v>1</v>
      </c>
      <c r="I5" s="1586"/>
      <c r="J5" s="1586"/>
      <c r="K5" s="1586"/>
      <c r="L5" s="1587"/>
      <c r="M5" s="1588"/>
      <c r="N5" s="1588"/>
      <c r="O5" s="1588"/>
      <c r="P5" s="502"/>
      <c r="Q5" s="500"/>
      <c r="R5" s="501"/>
      <c r="S5" s="1558">
        <f>INDEX(PT_DIFFERENTIATION_NUM_IST_TE,MATCH(D5,PT_DIFFERENTIATION_IST_TE_ID,0))</f>
      </c>
      <c r="T5" s="449" t="s">
        <v>1473</v>
      </c>
      <c r="U5" s="437"/>
      <c r="V5" s="3964"/>
      <c r="W5" s="3965"/>
      <c r="X5" s="3965"/>
      <c r="Y5" s="3965"/>
      <c r="Z5" s="3965"/>
      <c r="AA5" s="3965"/>
      <c r="AB5" s="3965"/>
      <c r="AC5" s="3966"/>
      <c r="AD5" s="3964">
        <f>INDEX(PT_DIFFERENTIATION_IST_TE,MATCH(D5,PT_DIFFERENTIATION_IST_TE_ID,0))</f>
      </c>
      <c r="AE5" s="3965"/>
      <c r="AF5" s="3965"/>
      <c r="AG5" s="3965"/>
      <c r="AH5" s="3965"/>
      <c r="AI5" s="3965"/>
      <c r="AJ5" s="3965"/>
      <c r="AK5" s="3965"/>
      <c r="AL5" s="3966"/>
      <c r="AM5" s="1473" t="s">
        <v>1474</v>
      </c>
      <c r="AO5" s="664"/>
      <c r="AP5" s="664" t="str">
        <f>IF(T5="","",T5)</f>
        <v>Источник тепловой энергии  </v>
      </c>
      <c r="AQ5" s="664"/>
      <c r="AR5" s="664"/>
    </row>
    <row customHeight="1" ht="14.25" hidden="1">
      <c r="A6" s="1586"/>
      <c r="B6" s="1586"/>
      <c r="C6" s="1586"/>
      <c r="D6" s="1586"/>
      <c r="E6" s="2352"/>
      <c r="F6" s="2352"/>
      <c r="G6" s="2352"/>
      <c r="H6" s="2352"/>
      <c r="I6" s="2380">
        <f>S5&amp;".1"</f>
      </c>
      <c r="J6" s="1586"/>
      <c r="K6" s="1586"/>
      <c r="L6" s="1587" t="s">
        <v>1475</v>
      </c>
      <c r="M6" s="701"/>
      <c r="P6" s="2350">
        <v>1</v>
      </c>
      <c r="Q6" s="1553"/>
      <c r="R6" s="504"/>
      <c r="S6" s="1227"/>
      <c r="T6" s="1606"/>
      <c r="U6" s="1607"/>
      <c r="V6" s="2390"/>
      <c r="W6" s="2391"/>
      <c r="X6" s="2391"/>
      <c r="Y6" s="2391"/>
      <c r="Z6" s="2391"/>
      <c r="AA6" s="2391"/>
      <c r="AB6" s="2391"/>
      <c r="AC6" s="2392"/>
      <c r="AD6" s="2390"/>
      <c r="AE6" s="2391"/>
      <c r="AF6" s="2391"/>
      <c r="AG6" s="2391"/>
      <c r="AH6" s="2391"/>
      <c r="AI6" s="2391"/>
      <c r="AJ6" s="2391"/>
      <c r="AK6" s="2391"/>
      <c r="AL6" s="2392"/>
      <c r="AM6" s="1608"/>
      <c r="AO6" s="664"/>
      <c r="AP6" s="664" t="str">
        <f>IF(T6="","",T6)</f>
        <v/>
      </c>
      <c r="AQ6" s="664"/>
      <c r="AR6" s="664"/>
    </row>
    <row customHeight="1" ht="21" hidden="1">
      <c r="A7" s="1586"/>
      <c r="B7" s="1586"/>
      <c r="C7" s="1586"/>
      <c r="D7" s="1586"/>
      <c r="E7" s="2352"/>
      <c r="F7" s="2352"/>
      <c r="G7" s="2352"/>
      <c r="H7" s="2352"/>
      <c r="I7" s="2381"/>
      <c r="J7" s="2349">
        <f>I6&amp;".1"</f>
      </c>
      <c r="K7" s="1586"/>
      <c r="L7" s="1587" t="s">
        <v>1478</v>
      </c>
      <c r="M7" s="701"/>
      <c r="N7" s="1589"/>
      <c r="P7" s="2350"/>
      <c r="Q7" s="2350">
        <v>1</v>
      </c>
      <c r="R7" s="505"/>
      <c r="S7" s="1558">
        <f>$J7</f>
      </c>
      <c r="T7" s="423" t="s">
        <v>1479</v>
      </c>
      <c r="U7" s="437"/>
      <c r="V7" s="2338"/>
      <c r="W7" s="2339"/>
      <c r="X7" s="2339"/>
      <c r="Y7" s="2339"/>
      <c r="Z7" s="2339"/>
      <c r="AA7" s="2339"/>
      <c r="AB7" s="2339"/>
      <c r="AC7" s="2340"/>
      <c r="AD7" s="2338"/>
      <c r="AE7" s="2339"/>
      <c r="AF7" s="2339"/>
      <c r="AG7" s="2339"/>
      <c r="AH7" s="2339"/>
      <c r="AI7" s="2339"/>
      <c r="AJ7" s="2339"/>
      <c r="AK7" s="2339"/>
      <c r="AL7" s="2340"/>
      <c r="AM7" s="1473" t="s">
        <v>1480</v>
      </c>
      <c r="AO7" s="664"/>
      <c r="AP7" s="664" t="str">
        <f>IF(T7="","",T7)</f>
        <v>Группа потребителей</v>
      </c>
      <c r="AQ7" s="664"/>
      <c r="AR7" s="664"/>
    </row>
    <row customHeight="1" ht="21" hidden="1">
      <c r="A8" s="1586"/>
      <c r="B8" s="1586"/>
      <c r="C8" s="1586"/>
      <c r="D8" s="1586"/>
      <c r="E8" s="2352"/>
      <c r="F8" s="2352"/>
      <c r="G8" s="2352"/>
      <c r="H8" s="2352"/>
      <c r="I8" s="2381"/>
      <c r="J8" s="2382"/>
      <c r="K8" s="2349">
        <f>J7&amp;".1"</f>
      </c>
      <c r="L8" s="1587" t="s">
        <v>1481</v>
      </c>
      <c r="M8" s="701"/>
      <c r="N8" s="1589"/>
      <c r="O8" s="1589"/>
      <c r="P8" s="2350"/>
      <c r="Q8" s="2350"/>
      <c r="R8" s="505">
        <v>1</v>
      </c>
      <c r="S8" s="1558">
        <f>$K8</f>
      </c>
      <c r="T8" s="1569"/>
      <c r="U8" s="437"/>
      <c r="V8" s="3992"/>
      <c r="W8" s="3993"/>
      <c r="X8" s="3992"/>
      <c r="Y8" s="3994"/>
      <c r="Z8" s="2357"/>
      <c r="AA8" s="2069" t="s">
        <v>66</v>
      </c>
      <c r="AB8" s="2357"/>
      <c r="AC8" s="2069" t="s">
        <v>66</v>
      </c>
      <c r="AD8" s="3992"/>
      <c r="AE8" s="3993"/>
      <c r="AF8" s="3992"/>
      <c r="AG8" s="3994"/>
      <c r="AH8" s="2357"/>
      <c r="AI8" s="2069" t="s">
        <v>66</v>
      </c>
      <c r="AJ8" s="2357"/>
      <c r="AK8" s="2069" t="s">
        <v>66</v>
      </c>
      <c r="AL8" s="3993"/>
      <c r="AM8" s="2346" t="s">
        <v>1482</v>
      </c>
      <c r="AN8" s="675">
        <f>STRCHECKDATE(V9:AL9)</f>
      </c>
      <c r="AO8" s="664"/>
      <c r="AP8" s="664" t="str">
        <f>IF(T8="","",T8)</f>
        <v/>
      </c>
      <c r="AQ8" s="664"/>
      <c r="AR8" s="664"/>
    </row>
    <row customHeight="1" ht="0.75" hidden="1">
      <c r="A9" s="1586"/>
      <c r="B9" s="1586"/>
      <c r="C9" s="1586"/>
      <c r="D9" s="1586"/>
      <c r="E9" s="2352"/>
      <c r="F9" s="2352"/>
      <c r="G9" s="2352"/>
      <c r="H9" s="2352"/>
      <c r="I9" s="2381"/>
      <c r="J9" s="2382"/>
      <c r="K9" s="2349"/>
      <c r="L9" s="1587"/>
      <c r="M9" s="701"/>
      <c r="N9" s="1589"/>
      <c r="O9" s="1589"/>
      <c r="P9" s="2350"/>
      <c r="Q9" s="2350"/>
      <c r="R9" s="505"/>
      <c r="S9" s="1564"/>
      <c r="T9" s="437"/>
      <c r="U9" s="437"/>
      <c r="V9" s="3993"/>
      <c r="W9" s="3993"/>
      <c r="X9" s="3993"/>
      <c r="Y9" s="3998" t="str">
        <f>Z8&amp;"-"&amp;AB8</f>
        <v>-</v>
      </c>
      <c r="Z9" s="2358"/>
      <c r="AA9" s="2069"/>
      <c r="AB9" s="2358"/>
      <c r="AC9" s="2069"/>
      <c r="AD9" s="3993"/>
      <c r="AE9" s="3993"/>
      <c r="AF9" s="3993"/>
      <c r="AG9" s="3998" t="str">
        <f>AH8&amp;"-"&amp;AJ8</f>
        <v>-</v>
      </c>
      <c r="AH9" s="2358"/>
      <c r="AI9" s="2069"/>
      <c r="AJ9" s="2358"/>
      <c r="AK9" s="2069"/>
      <c r="AL9" s="3993"/>
      <c r="AM9" s="2347"/>
      <c r="AO9" s="664"/>
      <c r="AP9" s="664" t="str">
        <f>IF(T9="","",T9)</f>
        <v/>
      </c>
      <c r="AQ9" s="664"/>
      <c r="AR9" s="664"/>
    </row>
    <row customHeight="1" ht="15" hidden="1">
      <c r="A10" s="1586"/>
      <c r="B10" s="1586"/>
      <c r="C10" s="1586"/>
      <c r="D10" s="1586"/>
      <c r="E10" s="2352"/>
      <c r="F10" s="2352"/>
      <c r="G10" s="2352"/>
      <c r="H10" s="2352"/>
      <c r="I10" s="2381"/>
      <c r="J10" s="2349"/>
      <c r="K10" s="1586"/>
      <c r="L10" s="1587"/>
      <c r="M10" s="701"/>
      <c r="N10" s="1589"/>
      <c r="P10" s="2350"/>
      <c r="Q10" s="2350"/>
      <c r="R10" s="504"/>
      <c r="S10" s="1495"/>
      <c r="T10" s="424" t="s">
        <v>1483</v>
      </c>
      <c r="U10" s="519"/>
      <c r="V10" s="519"/>
      <c r="W10" s="519"/>
      <c r="X10" s="519"/>
      <c r="Y10" s="519"/>
      <c r="Z10" s="519"/>
      <c r="AA10" s="519"/>
      <c r="AB10" s="519"/>
      <c r="AC10" s="519"/>
      <c r="AD10" s="519"/>
      <c r="AE10" s="519"/>
      <c r="AF10" s="519"/>
      <c r="AG10" s="519"/>
      <c r="AH10" s="519"/>
      <c r="AI10" s="519"/>
      <c r="AJ10" s="519"/>
      <c r="AK10" s="519"/>
      <c r="AL10" s="471"/>
      <c r="AM10" s="2348"/>
      <c r="AO10" s="664"/>
      <c r="AP10" s="664" t="str">
        <f>IF(T10="","",T10)</f>
        <v>Добавить вид теплоносителя (параметры теплоносителя)</v>
      </c>
      <c r="AQ10" s="664"/>
      <c r="AR10" s="664"/>
    </row>
    <row customHeight="1" ht="15" hidden="1">
      <c r="A11" s="1586"/>
      <c r="B11" s="1586"/>
      <c r="C11" s="1586"/>
      <c r="D11" s="1586"/>
      <c r="E11" s="2352"/>
      <c r="F11" s="2352"/>
      <c r="G11" s="2352"/>
      <c r="H11" s="2352"/>
      <c r="I11" s="2380"/>
      <c r="J11" s="1586"/>
      <c r="K11" s="1586"/>
      <c r="L11" s="1587"/>
      <c r="M11" s="701"/>
      <c r="P11" s="2350"/>
      <c r="Q11" s="1553"/>
      <c r="R11" s="504"/>
      <c r="S11" s="1495"/>
      <c r="T11" s="516" t="s">
        <v>1484</v>
      </c>
      <c r="U11" s="519"/>
      <c r="V11" s="519"/>
      <c r="W11" s="519"/>
      <c r="X11" s="519"/>
      <c r="Y11" s="519"/>
      <c r="Z11" s="519"/>
      <c r="AA11" s="519"/>
      <c r="AB11" s="519"/>
      <c r="AC11" s="518"/>
      <c r="AD11" s="519"/>
      <c r="AE11" s="519"/>
      <c r="AF11" s="519"/>
      <c r="AG11" s="519"/>
      <c r="AH11" s="519"/>
      <c r="AI11" s="519"/>
      <c r="AJ11" s="519"/>
      <c r="AK11" s="518"/>
      <c r="AL11" s="519"/>
      <c r="AM11" s="440"/>
      <c r="AO11" s="664"/>
      <c r="AP11" s="664" t="str">
        <f>IF(T11="","",T11)</f>
        <v>Добавить группу потребителей</v>
      </c>
      <c r="AQ11" s="664"/>
      <c r="AR11" s="664"/>
    </row>
    <row customHeight="1" ht="14.25" hidden="1">
      <c r="A12" s="1586"/>
      <c r="B12" s="1586"/>
      <c r="C12" s="1586"/>
      <c r="D12" s="1586"/>
      <c r="E12" s="2352"/>
      <c r="F12" s="2352"/>
      <c r="G12" s="2352"/>
      <c r="H12" s="2351"/>
      <c r="I12" s="1586"/>
      <c r="J12" s="1586"/>
      <c r="K12" s="1586"/>
      <c r="L12" s="1587"/>
      <c r="M12" s="1588"/>
      <c r="N12" s="1588"/>
      <c r="O12" s="701"/>
      <c r="P12" s="508"/>
      <c r="Q12" s="528"/>
      <c r="R12" s="503"/>
      <c r="S12" s="1609"/>
      <c r="T12" s="1610"/>
      <c r="U12" s="1611"/>
      <c r="V12" s="1611"/>
      <c r="W12" s="1611"/>
      <c r="X12" s="1611"/>
      <c r="Y12" s="1611"/>
      <c r="Z12" s="1611"/>
      <c r="AA12" s="1611"/>
      <c r="AB12" s="1611"/>
      <c r="AC12" s="1611"/>
      <c r="AD12" s="1611"/>
      <c r="AE12" s="1611"/>
      <c r="AF12" s="1611"/>
      <c r="AG12" s="1611"/>
      <c r="AH12" s="1611"/>
      <c r="AI12" s="1611"/>
      <c r="AJ12" s="1611"/>
      <c r="AK12" s="1611"/>
      <c r="AL12" s="1611"/>
      <c r="AM12" s="1612"/>
      <c r="AO12" s="664"/>
      <c r="AP12" s="664" t="str">
        <f>IF(T12="","",T12)</f>
        <v/>
      </c>
      <c r="AQ12" s="664"/>
      <c r="AR12" s="664"/>
    </row>
    <row s="6520" customFormat="1" customHeight="1" ht="0.75" hidden="1">
      <c r="A13" s="1536"/>
      <c r="B13" s="1536"/>
      <c r="C13" s="1536"/>
      <c r="D13" s="1536"/>
      <c r="E13" s="2352"/>
      <c r="F13" s="2352"/>
      <c r="G13" s="2351"/>
      <c r="H13" s="1536"/>
      <c r="I13" s="1536"/>
      <c r="J13" s="1536"/>
      <c r="K13" s="1536"/>
      <c r="L13" s="1561"/>
      <c r="M13" s="1537"/>
      <c r="N13" s="1537"/>
      <c r="P13" s="1538"/>
      <c r="Q13" s="1539"/>
      <c r="R13" s="1538"/>
      <c r="S13" s="1540"/>
      <c r="T13" s="1541" t="s">
        <v>1444</v>
      </c>
      <c r="U13" s="1542"/>
      <c r="V13" s="1542"/>
      <c r="W13" s="1542"/>
      <c r="X13" s="1542"/>
      <c r="Y13" s="1542"/>
      <c r="Z13" s="1542"/>
      <c r="AA13" s="1542"/>
      <c r="AB13" s="1542"/>
      <c r="AC13" s="1542"/>
      <c r="AD13" s="1542"/>
      <c r="AE13" s="1542"/>
      <c r="AF13" s="1542"/>
      <c r="AG13" s="1542"/>
      <c r="AH13" s="1542"/>
      <c r="AI13" s="1542"/>
      <c r="AJ13" s="1542"/>
      <c r="AK13" s="1542"/>
      <c r="AL13" s="1542"/>
      <c r="AM13" s="1542"/>
      <c r="AO13" s="956"/>
      <c r="AP13" s="956" t="str">
        <f>IF(T13="","",T13)</f>
        <v>Добавить источник для дифференциации</v>
      </c>
      <c r="AQ13" s="956"/>
      <c r="AR13" s="956"/>
    </row>
    <row s="6520" customFormat="1" customHeight="1" ht="0.75" hidden="1">
      <c r="A14" s="1536"/>
      <c r="B14" s="1536"/>
      <c r="C14" s="1536"/>
      <c r="D14" s="1536"/>
      <c r="E14" s="2352"/>
      <c r="F14" s="2351"/>
      <c r="G14" s="1536"/>
      <c r="H14" s="1536"/>
      <c r="I14" s="1536"/>
      <c r="J14" s="1536"/>
      <c r="K14" s="1536"/>
      <c r="L14" s="1561"/>
      <c r="M14" s="1543"/>
      <c r="N14" s="1543"/>
      <c r="P14" s="1538"/>
      <c r="Q14" s="1539"/>
      <c r="R14" s="1538"/>
      <c r="S14" s="1544"/>
      <c r="T14" s="1545" t="s">
        <v>1445</v>
      </c>
      <c r="U14" s="1546"/>
      <c r="V14" s="1546"/>
      <c r="W14" s="1546"/>
      <c r="X14" s="1546"/>
      <c r="Y14" s="1546"/>
      <c r="Z14" s="1546"/>
      <c r="AA14" s="1546"/>
      <c r="AB14" s="1546"/>
      <c r="AC14" s="1546"/>
      <c r="AD14" s="1546"/>
      <c r="AE14" s="1546"/>
      <c r="AF14" s="1546"/>
      <c r="AG14" s="1546"/>
      <c r="AH14" s="1546"/>
      <c r="AI14" s="1546"/>
      <c r="AJ14" s="1546"/>
      <c r="AK14" s="1546"/>
      <c r="AL14" s="1546"/>
      <c r="AM14" s="1546"/>
      <c r="AO14" s="956"/>
      <c r="AP14" s="956" t="str">
        <f>IF(T14="","",T14)</f>
        <v>Добавить централизованную систему для дифференциации</v>
      </c>
      <c r="AQ14" s="956"/>
      <c r="AR14" s="956"/>
    </row>
    <row s="6520" customFormat="1" customHeight="1" ht="0.75" hidden="1">
      <c r="A15" s="1536"/>
      <c r="B15" s="1536"/>
      <c r="C15" s="1536"/>
      <c r="D15" s="1536"/>
      <c r="E15" s="2351"/>
      <c r="F15" s="1536"/>
      <c r="G15" s="1536"/>
      <c r="H15" s="1536"/>
      <c r="I15" s="1536"/>
      <c r="J15" s="1536"/>
      <c r="K15" s="1536"/>
      <c r="L15" s="1561"/>
      <c r="M15" s="1543"/>
      <c r="N15" s="1543"/>
      <c r="P15" s="1538"/>
      <c r="Q15" s="1539"/>
      <c r="R15" s="1538"/>
      <c r="S15" s="1544"/>
      <c r="T15" s="1547" t="s">
        <v>1446</v>
      </c>
      <c r="U15" s="1546"/>
      <c r="V15" s="1546"/>
      <c r="W15" s="1546"/>
      <c r="X15" s="1546"/>
      <c r="Y15" s="1546"/>
      <c r="Z15" s="1546"/>
      <c r="AA15" s="1546"/>
      <c r="AB15" s="1546"/>
      <c r="AC15" s="1546"/>
      <c r="AD15" s="1546"/>
      <c r="AE15" s="1546"/>
      <c r="AF15" s="1546"/>
      <c r="AG15" s="1546"/>
      <c r="AH15" s="1546"/>
      <c r="AI15" s="1546"/>
      <c r="AJ15" s="1546"/>
      <c r="AK15" s="1546"/>
      <c r="AL15" s="1546"/>
      <c r="AM15" s="1546"/>
      <c r="AO15" s="956"/>
      <c r="AP15" s="956" t="str">
        <f>IF(T15="","",T15)</f>
        <v>Добавить территорию для дифференциации</v>
      </c>
      <c r="AQ15" s="956"/>
      <c r="AR15" s="956"/>
    </row>
    <row customHeight="1" ht="14.25" hidden="1">
      <c r="AC16" s="475"/>
      <c r="AK16" s="475"/>
    </row>
    <row customHeight="1" ht="14.25" hidden="1">
      <c r="AD17" s="4025"/>
      <c r="AE17" s="4025"/>
      <c r="AF17" s="4025"/>
      <c r="AG17" s="4026"/>
      <c r="AH17" s="2359"/>
      <c r="AI17" s="2360" t="s">
        <v>66</v>
      </c>
      <c r="AJ17" s="2359"/>
      <c r="AK17" s="2360" t="s">
        <v>66</v>
      </c>
    </row>
    <row customHeight="1" ht="14.25" hidden="1">
      <c r="AD18" s="4025"/>
      <c r="AE18" s="4025"/>
      <c r="AF18" s="4025"/>
      <c r="AG18" s="3998" t="str">
        <f>AH17&amp;"-"&amp;AJ17</f>
        <v>-</v>
      </c>
      <c r="AH18" s="2360"/>
      <c r="AI18" s="2360"/>
      <c r="AJ18" s="2360"/>
      <c r="AK18" s="2360"/>
    </row>
    <row customHeight="1" ht="14.25" hidden="1">
      <c r="AK19" s="475"/>
    </row>
    <row s="6539" customFormat="1" customHeight="1" ht="22.5" hidden="1">
      <c r="L20" s="1551"/>
      <c r="M20" s="1585"/>
      <c r="N20" s="1585"/>
      <c r="O20" s="1590" t="s">
        <v>1486</v>
      </c>
      <c r="P20" s="1585"/>
      <c r="Q20" s="1594"/>
      <c r="R20" s="1594"/>
      <c r="S20" s="894"/>
      <c r="Z20" s="1590"/>
      <c r="AB20" s="1590"/>
      <c r="AC20" s="1589"/>
      <c r="AH20" s="1590"/>
      <c r="AJ20" s="1590"/>
      <c r="AK20" s="1589"/>
      <c r="AN20" s="675"/>
      <c r="AO20" s="675"/>
      <c r="AP20" s="675"/>
      <c r="AQ20" s="675"/>
      <c r="AR20" s="675"/>
    </row>
    <row s="6539" customFormat="1" customHeight="1" ht="14.25" hidden="1">
      <c r="L21" s="1551"/>
      <c r="M21" s="1585"/>
      <c r="N21" s="1585"/>
      <c r="O21" s="1585"/>
      <c r="P21" s="1585"/>
      <c r="Q21" s="1594"/>
      <c r="R21" s="1594"/>
      <c r="S21" s="894"/>
      <c r="AC21" s="1589"/>
      <c r="AK21" s="1589"/>
      <c r="AN21" s="675"/>
      <c r="AO21" s="675"/>
      <c r="AP21" s="675"/>
      <c r="AQ21" s="675"/>
      <c r="AR21" s="675"/>
    </row>
    <row s="6539" customFormat="1" customHeight="1" ht="14.25" hidden="1">
      <c r="L22" s="1551"/>
      <c r="M22" s="1585"/>
      <c r="N22" s="1585"/>
      <c r="O22" s="1587" t="s">
        <v>1487</v>
      </c>
      <c r="P22" s="1585"/>
      <c r="Q22" s="1594"/>
      <c r="R22" s="1594"/>
      <c r="S22" s="894"/>
      <c r="T22" s="1348" t="s">
        <v>1488</v>
      </c>
      <c r="AA22" s="320" t="s">
        <v>1489</v>
      </c>
      <c r="AC22" s="320" t="s">
        <v>1490</v>
      </c>
      <c r="AD22" s="1348" t="s">
        <v>1488</v>
      </c>
      <c r="AI22" s="320" t="s">
        <v>1491</v>
      </c>
      <c r="AK22" s="320" t="s">
        <v>1490</v>
      </c>
      <c r="AN22" s="675"/>
      <c r="AO22" s="675"/>
      <c r="AP22" s="675"/>
      <c r="AQ22" s="675"/>
      <c r="AR22" s="675"/>
    </row>
    <row customHeight="1" ht="14.25" hidden="1">
      <c r="O23" s="1587"/>
    </row>
    <row customHeight="1" ht="14.25" hidden="1">
      <c r="O24" s="1587"/>
    </row>
    <row customHeight="1" ht="14.25">
      <c r="Q25" s="529"/>
      <c r="R25" s="529"/>
      <c r="S25" s="1492"/>
      <c r="T25" s="513"/>
      <c r="U25" s="513"/>
      <c r="V25" s="673"/>
      <c r="W25" s="673"/>
      <c r="X25" s="673"/>
      <c r="Y25" s="673"/>
      <c r="Z25" s="673"/>
      <c r="AA25" s="673"/>
      <c r="AB25" s="673"/>
      <c r="AC25" s="673"/>
      <c r="AD25" s="673"/>
      <c r="AE25" s="673"/>
      <c r="AF25" s="673"/>
      <c r="AG25" s="673"/>
      <c r="AH25" s="673"/>
      <c r="AI25" s="673"/>
      <c r="AJ25" s="673"/>
      <c r="AK25" s="673"/>
    </row>
    <row customHeight="1" ht="64.5">
      <c r="Q26" s="529"/>
      <c r="R26" s="529"/>
      <c r="S26" s="2341"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41"/>
      <c r="U26" s="2341"/>
      <c r="V26" s="2341"/>
      <c r="W26" s="2341"/>
      <c r="X26" s="2341"/>
      <c r="Y26" s="2341"/>
      <c r="Z26" s="2341"/>
      <c r="AA26" s="2341"/>
      <c r="AB26" s="2341"/>
      <c r="AC26" s="2341"/>
      <c r="AD26" s="2341"/>
      <c r="AE26" s="2341"/>
      <c r="AF26" s="2341"/>
      <c r="AG26" s="2341"/>
      <c r="AH26" s="2341"/>
      <c r="AI26" s="2341"/>
      <c r="AJ26" s="2341"/>
      <c r="AK26" s="1448"/>
    </row>
    <row customHeight="1" ht="14.25">
      <c r="Q27" s="529"/>
      <c r="R27" s="529"/>
      <c r="S27"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42"/>
      <c r="U27" s="2342"/>
      <c r="V27" s="2342"/>
      <c r="W27" s="2342"/>
      <c r="X27" s="2342"/>
      <c r="Y27" s="2342"/>
      <c r="Z27" s="2342"/>
      <c r="AA27" s="2342"/>
      <c r="AB27" s="2342"/>
      <c r="AC27" s="2342"/>
      <c r="AD27" s="2342"/>
      <c r="AE27" s="2342"/>
      <c r="AF27" s="2342"/>
      <c r="AG27" s="2342"/>
      <c r="AH27" s="2342"/>
      <c r="AI27" s="2342"/>
      <c r="AJ27" s="2342"/>
      <c r="AK27" s="1448"/>
    </row>
    <row customHeight="1" ht="14.25" hidden="1">
      <c r="Q28" s="529"/>
      <c r="R28" s="529"/>
      <c r="S28" s="1492"/>
      <c r="T28" s="513"/>
      <c r="U28" s="513"/>
      <c r="V28" s="468"/>
      <c r="W28" s="468"/>
      <c r="X28" s="468"/>
      <c r="Y28" s="468"/>
      <c r="Z28" s="468"/>
      <c r="AA28" s="468"/>
      <c r="AB28" s="468"/>
      <c r="AC28" s="468"/>
      <c r="AD28" s="468"/>
      <c r="AE28" s="468"/>
      <c r="AF28" s="468"/>
      <c r="AG28" s="468"/>
      <c r="AH28" s="468"/>
      <c r="AI28" s="468"/>
      <c r="AJ28" s="468"/>
      <c r="AK28" s="468"/>
      <c r="AL28" s="673"/>
    </row>
    <row s="6550" customFormat="1" customHeight="1" ht="25.5" hidden="1">
      <c r="A29" s="1591"/>
      <c r="B29" s="1591"/>
      <c r="C29" s="1591"/>
      <c r="D29" s="1591"/>
      <c r="E29" s="1591"/>
      <c r="F29" s="1591"/>
      <c r="G29" s="1591"/>
      <c r="H29" s="1591"/>
      <c r="I29" s="1591"/>
      <c r="J29" s="1591"/>
      <c r="K29" s="1591"/>
      <c r="L29" s="1592"/>
      <c r="M29" s="1591"/>
      <c r="N29" s="1591"/>
      <c r="O29" s="1591"/>
      <c r="S29" s="2343" t="s">
        <v>39</v>
      </c>
      <c r="T29" s="2343"/>
      <c r="U29" s="1595"/>
      <c r="V29" s="2344" t="str">
        <f>IF(TITLE_NAME_OR_PR_CHANGE="",IF(TITLE_NAME_OR_PR="","",TITLE_NAME_OR_PR),TITLE_NAME_OR_PR_CHANGE)</f>
        <v/>
      </c>
      <c r="W29" s="2344"/>
      <c r="X29" s="2344"/>
      <c r="Y29" s="2344"/>
      <c r="Z29" s="2344"/>
      <c r="AA29" s="2344"/>
      <c r="AB29" s="2344"/>
      <c r="AC29" s="474"/>
      <c r="AD29" s="2344" t="str">
        <f>IF(TITLE_NAME_OR_PR_CHANGE="",IF(TITLE_NAME_OR_PR="","",TITLE_NAME_OR_PR),TITLE_NAME_OR_PR_CHANGE)</f>
        <v/>
      </c>
      <c r="AE29" s="2344"/>
      <c r="AF29" s="2344"/>
      <c r="AG29" s="2344"/>
      <c r="AH29" s="2344"/>
      <c r="AI29" s="2344"/>
      <c r="AJ29" s="2344"/>
      <c r="AK29" s="474"/>
      <c r="AL29" s="474"/>
      <c r="AM29" s="417"/>
      <c r="AN29" s="520"/>
      <c r="AO29" s="520"/>
      <c r="AP29" s="520"/>
      <c r="AQ29" s="520"/>
      <c r="AR29" s="520"/>
    </row>
    <row s="6550" customFormat="1" customHeight="1" ht="18.75" hidden="1">
      <c r="A30" s="1591"/>
      <c r="B30" s="1591"/>
      <c r="C30" s="1591"/>
      <c r="D30" s="1591"/>
      <c r="E30" s="1591"/>
      <c r="F30" s="1591"/>
      <c r="G30" s="1591"/>
      <c r="H30" s="1591"/>
      <c r="I30" s="1591"/>
      <c r="J30" s="1591"/>
      <c r="K30" s="1591"/>
      <c r="L30" s="1592"/>
      <c r="M30" s="1591"/>
      <c r="N30" s="1591"/>
      <c r="O30" s="1591"/>
      <c r="S30" s="2343" t="s">
        <v>1492</v>
      </c>
      <c r="T30" s="2343"/>
      <c r="U30" s="1595"/>
      <c r="V30" s="2344" t="str">
        <f>IF(TITLE_DATE_CHANGE_PERIOD="",IF(TITLE_DATE_PR="","",TITLE_DATE_PR),TITLE_DATE_CHANGE_PERIOD)</f>
        <v/>
      </c>
      <c r="W30" s="2344"/>
      <c r="X30" s="2344"/>
      <c r="Y30" s="2344"/>
      <c r="Z30" s="2344"/>
      <c r="AA30" s="2344"/>
      <c r="AB30" s="2344"/>
      <c r="AC30" s="474"/>
      <c r="AD30" s="2344" t="str">
        <f>IF(TITLE_DATE_CHANGE_PERIOD="",IF(TITLE_DATE_PR="","",TITLE_DATE_PR),TITLE_DATE_CHANGE_PERIOD)</f>
        <v/>
      </c>
      <c r="AE30" s="2344"/>
      <c r="AF30" s="2344"/>
      <c r="AG30" s="2344"/>
      <c r="AH30" s="2344"/>
      <c r="AI30" s="2344"/>
      <c r="AJ30" s="2344"/>
      <c r="AK30" s="474"/>
      <c r="AL30" s="474"/>
      <c r="AM30" s="417"/>
      <c r="AN30" s="520"/>
      <c r="AO30" s="520"/>
      <c r="AP30" s="520"/>
      <c r="AQ30" s="520"/>
      <c r="AR30" s="520"/>
    </row>
    <row s="6550" customFormat="1" customHeight="1" ht="18.75" hidden="1">
      <c r="A31" s="1591"/>
      <c r="B31" s="1591"/>
      <c r="C31" s="1591"/>
      <c r="D31" s="1591"/>
      <c r="E31" s="1591"/>
      <c r="F31" s="1591"/>
      <c r="G31" s="1591"/>
      <c r="H31" s="1591"/>
      <c r="I31" s="1591"/>
      <c r="J31" s="1591"/>
      <c r="K31" s="1591"/>
      <c r="L31" s="1592"/>
      <c r="M31" s="1591"/>
      <c r="N31" s="1591"/>
      <c r="O31" s="1591"/>
      <c r="S31" s="2343" t="s">
        <v>1493</v>
      </c>
      <c r="T31" s="2343"/>
      <c r="U31" s="1595"/>
      <c r="V31" s="2344" t="str">
        <f>IF(TITLE_NUMBER_PR_CHANGE="",IF(TITLE_NUMBER_PR="","",TITLE_NUMBER_PR),TITLE_NUMBER_PR_CHANGE)</f>
        <v/>
      </c>
      <c r="W31" s="2344"/>
      <c r="X31" s="2344"/>
      <c r="Y31" s="2344"/>
      <c r="Z31" s="2344"/>
      <c r="AA31" s="2344"/>
      <c r="AB31" s="2344"/>
      <c r="AC31" s="474"/>
      <c r="AD31" s="2344" t="str">
        <f>IF(TITLE_NUMBER_PR_CHANGE="",IF(TITLE_NUMBER_PR="","",TITLE_NUMBER_PR),TITLE_NUMBER_PR_CHANGE)</f>
        <v/>
      </c>
      <c r="AE31" s="2344"/>
      <c r="AF31" s="2344"/>
      <c r="AG31" s="2344"/>
      <c r="AH31" s="2344"/>
      <c r="AI31" s="2344"/>
      <c r="AJ31" s="2344"/>
      <c r="AK31" s="474"/>
      <c r="AL31" s="474"/>
      <c r="AM31" s="417"/>
      <c r="AN31" s="520"/>
      <c r="AO31" s="520"/>
      <c r="AP31" s="520"/>
      <c r="AQ31" s="520"/>
      <c r="AR31" s="520"/>
    </row>
    <row s="6550" customFormat="1" customHeight="1" ht="18.75" hidden="1">
      <c r="A32" s="1591"/>
      <c r="B32" s="1591"/>
      <c r="C32" s="1591"/>
      <c r="D32" s="1591"/>
      <c r="E32" s="1591"/>
      <c r="F32" s="1591"/>
      <c r="G32" s="1591"/>
      <c r="H32" s="1591"/>
      <c r="I32" s="1591"/>
      <c r="J32" s="1591"/>
      <c r="K32" s="1591"/>
      <c r="L32" s="1592"/>
      <c r="M32" s="1591"/>
      <c r="N32" s="1591"/>
      <c r="O32" s="1591"/>
      <c r="S32" s="2343" t="s">
        <v>40</v>
      </c>
      <c r="T32" s="2343"/>
      <c r="U32" s="1595"/>
      <c r="V32" s="2344" t="str">
        <f>IF(TITLE_IST_PUB_CHANGE="",IF(TITLE_IST_PUB="","",TITLE_IST_PUB),TITLE_IST_PUB_CHANGE)</f>
        <v/>
      </c>
      <c r="W32" s="2344"/>
      <c r="X32" s="2344"/>
      <c r="Y32" s="2344"/>
      <c r="Z32" s="2344"/>
      <c r="AA32" s="2344"/>
      <c r="AB32" s="2344"/>
      <c r="AC32" s="474"/>
      <c r="AD32" s="2344" t="str">
        <f>IF(TITLE_IST_PUB_CHANGE="",IF(TITLE_IST_PUB="","",TITLE_IST_PUB),TITLE_IST_PUB_CHANGE)</f>
        <v/>
      </c>
      <c r="AE32" s="2344"/>
      <c r="AF32" s="2344"/>
      <c r="AG32" s="2344"/>
      <c r="AH32" s="2344"/>
      <c r="AI32" s="2344"/>
      <c r="AJ32" s="2344"/>
      <c r="AK32" s="474"/>
      <c r="AL32" s="474"/>
      <c r="AM32" s="417"/>
      <c r="AN32" s="520"/>
      <c r="AO32" s="520"/>
      <c r="AP32" s="520"/>
      <c r="AQ32" s="520"/>
      <c r="AR32" s="520"/>
    </row>
    <row customHeight="1" ht="14.25" hidden="1">
      <c r="Q33" s="529"/>
      <c r="R33" s="529"/>
      <c r="S33" s="1492"/>
      <c r="T33" s="513"/>
      <c r="U33" s="513"/>
      <c r="V33" s="468"/>
      <c r="W33" s="468"/>
      <c r="X33" s="468"/>
      <c r="Y33" s="468"/>
      <c r="Z33" s="468"/>
      <c r="AA33" s="468"/>
      <c r="AB33" s="468"/>
      <c r="AC33" s="468"/>
      <c r="AD33" s="468"/>
      <c r="AE33" s="468"/>
      <c r="AF33" s="468"/>
      <c r="AG33" s="468"/>
      <c r="AH33" s="468"/>
      <c r="AI33" s="468"/>
      <c r="AJ33" s="468"/>
      <c r="AK33" s="468"/>
      <c r="AL33" s="673"/>
    </row>
    <row s="6550" customFormat="1" customHeight="1" ht="18.75" hidden="1">
      <c r="A34" s="1591"/>
      <c r="B34" s="1591"/>
      <c r="C34" s="1591"/>
      <c r="D34" s="1591"/>
      <c r="E34" s="1591"/>
      <c r="F34" s="1591"/>
      <c r="G34" s="1591"/>
      <c r="H34" s="1591"/>
      <c r="I34" s="1591"/>
      <c r="J34" s="1591"/>
      <c r="K34" s="1591"/>
      <c r="L34" s="1592"/>
      <c r="M34" s="1591"/>
      <c r="N34" s="1591"/>
      <c r="O34" s="1591"/>
      <c r="S34" s="2343" t="s">
        <v>1494</v>
      </c>
      <c r="T34" s="2343"/>
      <c r="U34" s="1595"/>
      <c r="V34" s="2344" t="str">
        <f>IF(TITLE_DATE_CHANGE_PERIOD="",IF(TITLE_DATE_PR="","",TITLE_DATE_PR),TITLE_DATE_CHANGE_PERIOD)</f>
        <v/>
      </c>
      <c r="W34" s="2344"/>
      <c r="X34" s="2344"/>
      <c r="Y34" s="2344"/>
      <c r="Z34" s="2344"/>
      <c r="AA34" s="2344"/>
      <c r="AB34" s="2344"/>
      <c r="AC34" s="474"/>
      <c r="AD34" s="2344" t="str">
        <f>IF(TITLE_DATE_CHANGE_PERIOD="",IF(TITLE_DATE_PR="","",TITLE_DATE_PR),TITLE_DATE_CHANGE_PERIOD)</f>
        <v/>
      </c>
      <c r="AE34" s="2344"/>
      <c r="AF34" s="2344"/>
      <c r="AG34" s="2344"/>
      <c r="AH34" s="2344"/>
      <c r="AI34" s="2344"/>
      <c r="AJ34" s="2344"/>
      <c r="AK34" s="474"/>
      <c r="AL34" s="474"/>
      <c r="AM34" s="417"/>
      <c r="AN34" s="520"/>
      <c r="AO34" s="520"/>
      <c r="AP34" s="520"/>
      <c r="AQ34" s="520"/>
      <c r="AR34" s="520"/>
    </row>
    <row s="6550" customFormat="1" customHeight="1" ht="18.75" hidden="1">
      <c r="A35" s="1591"/>
      <c r="B35" s="1591"/>
      <c r="C35" s="1591"/>
      <c r="D35" s="1591"/>
      <c r="E35" s="1591"/>
      <c r="F35" s="1591"/>
      <c r="G35" s="1591"/>
      <c r="H35" s="1591"/>
      <c r="I35" s="1591"/>
      <c r="J35" s="1591"/>
      <c r="K35" s="1591"/>
      <c r="L35" s="1592"/>
      <c r="M35" s="1591"/>
      <c r="N35" s="1591"/>
      <c r="O35" s="1591"/>
      <c r="S35" s="2343" t="s">
        <v>1495</v>
      </c>
      <c r="T35" s="2343"/>
      <c r="U35" s="1595"/>
      <c r="V35" s="2344" t="str">
        <f>IF(TITLE_NUMBER_PR_CHANGE="",IF(TITLE_NUMBER_PR="","",TITLE_NUMBER_PR),TITLE_NUMBER_PR_CHANGE)</f>
        <v/>
      </c>
      <c r="W35" s="2344"/>
      <c r="X35" s="2344"/>
      <c r="Y35" s="2344"/>
      <c r="Z35" s="2344"/>
      <c r="AA35" s="2344"/>
      <c r="AB35" s="2344"/>
      <c r="AC35" s="474"/>
      <c r="AD35" s="2344" t="str">
        <f>IF(TITLE_NUMBER_PR_CHANGE="",IF(TITLE_NUMBER_PR="","",TITLE_NUMBER_PR),TITLE_NUMBER_PR_CHANGE)</f>
        <v/>
      </c>
      <c r="AE35" s="2344"/>
      <c r="AF35" s="2344"/>
      <c r="AG35" s="2344"/>
      <c r="AH35" s="2344"/>
      <c r="AI35" s="2344"/>
      <c r="AJ35" s="2344"/>
      <c r="AK35" s="474"/>
      <c r="AL35" s="474"/>
      <c r="AM35" s="417"/>
      <c r="AN35" s="520"/>
      <c r="AO35" s="520"/>
      <c r="AP35" s="520"/>
      <c r="AQ35" s="520"/>
      <c r="AR35" s="520"/>
    </row>
    <row s="6550" customFormat="1" customHeight="1" ht="0">
      <c r="A36" s="1591"/>
      <c r="B36" s="1591"/>
      <c r="C36" s="1591"/>
      <c r="D36" s="1591"/>
      <c r="E36" s="1591"/>
      <c r="F36" s="1591"/>
      <c r="G36" s="1591"/>
      <c r="H36" s="1591"/>
      <c r="I36" s="1591"/>
      <c r="J36" s="1591"/>
      <c r="K36" s="1591"/>
      <c r="L36" s="1592"/>
      <c r="M36" s="1591"/>
      <c r="N36" s="1591"/>
      <c r="O36" s="1591"/>
      <c r="S36" s="470"/>
      <c r="T36" s="470"/>
      <c r="U36" s="1562"/>
      <c r="V36" s="474"/>
      <c r="W36" s="474"/>
      <c r="X36" s="474"/>
      <c r="Y36" s="474"/>
      <c r="Z36" s="474"/>
      <c r="AA36" s="474"/>
      <c r="AB36" s="474"/>
      <c r="AC36" s="415" t="s">
        <v>1496</v>
      </c>
      <c r="AD36" s="474"/>
      <c r="AE36" s="474"/>
      <c r="AF36" s="474"/>
      <c r="AG36" s="474"/>
      <c r="AH36" s="474"/>
      <c r="AI36" s="474"/>
      <c r="AJ36" s="474"/>
      <c r="AK36" s="415" t="s">
        <v>1496</v>
      </c>
      <c r="AN36" s="520"/>
      <c r="AO36" s="520"/>
      <c r="AP36" s="520"/>
      <c r="AQ36" s="520"/>
      <c r="AR36" s="520"/>
    </row>
    <row customHeight="1" ht="14.25">
      <c r="Q37" s="529"/>
      <c r="R37" s="529"/>
      <c r="S37" s="1492"/>
      <c r="T37" s="513"/>
      <c r="U37" s="1449"/>
      <c r="V37" s="2345"/>
      <c r="W37" s="2345"/>
      <c r="X37" s="2345"/>
      <c r="Y37" s="2345"/>
      <c r="Z37" s="2345"/>
      <c r="AA37" s="2345"/>
      <c r="AB37" s="2345"/>
      <c r="AC37" s="2345"/>
      <c r="AD37" s="2345"/>
      <c r="AE37" s="2345"/>
      <c r="AF37" s="2345"/>
      <c r="AG37" s="2345"/>
      <c r="AH37" s="2345"/>
      <c r="AI37" s="2345"/>
      <c r="AJ37" s="2345"/>
      <c r="AK37" s="2345"/>
    </row>
    <row customHeight="1" ht="14.25">
      <c r="Q38" s="529"/>
      <c r="R38" s="529"/>
      <c r="S38" s="2204" t="s">
        <v>300</v>
      </c>
      <c r="T38" s="2204"/>
      <c r="U38" s="2204"/>
      <c r="V38" s="2204"/>
      <c r="W38" s="2204"/>
      <c r="X38" s="2204"/>
      <c r="Y38" s="2204"/>
      <c r="Z38" s="2204"/>
      <c r="AA38" s="2204"/>
      <c r="AB38" s="2204"/>
      <c r="AC38" s="2204"/>
      <c r="AD38" s="2204"/>
      <c r="AE38" s="2204"/>
      <c r="AF38" s="2204"/>
      <c r="AG38" s="2204"/>
      <c r="AH38" s="2204"/>
      <c r="AI38" s="2204"/>
      <c r="AJ38" s="2204"/>
      <c r="AK38" s="2204"/>
      <c r="AL38" s="2204"/>
      <c r="AM38" s="2204" t="s">
        <v>301</v>
      </c>
    </row>
    <row customHeight="1" ht="14.25">
      <c r="Q39" s="529"/>
      <c r="R39" s="529"/>
      <c r="S39" s="2367" t="s">
        <v>87</v>
      </c>
      <c r="T39" s="2228" t="s">
        <v>1497</v>
      </c>
      <c r="U39" s="438"/>
      <c r="V39" s="2368" t="s">
        <v>1498</v>
      </c>
      <c r="W39" s="2369"/>
      <c r="X39" s="2369"/>
      <c r="Y39" s="2369"/>
      <c r="Z39" s="2369"/>
      <c r="AA39" s="2369"/>
      <c r="AB39" s="2370"/>
      <c r="AC39" s="2371" t="s">
        <v>1499</v>
      </c>
      <c r="AD39" s="2368" t="s">
        <v>1498</v>
      </c>
      <c r="AE39" s="2369"/>
      <c r="AF39" s="2369"/>
      <c r="AG39" s="2369"/>
      <c r="AH39" s="2369"/>
      <c r="AI39" s="2369"/>
      <c r="AJ39" s="2370"/>
      <c r="AK39" s="2371" t="s">
        <v>1500</v>
      </c>
      <c r="AL39" s="2374" t="s">
        <v>1501</v>
      </c>
      <c r="AM39" s="2204"/>
    </row>
    <row customHeight="1" ht="33.75">
      <c r="Q40" s="529"/>
      <c r="R40" s="529"/>
      <c r="S40" s="2367"/>
      <c r="T40" s="2228"/>
      <c r="U40" s="1216"/>
      <c r="V40" s="2353" t="s">
        <v>1502</v>
      </c>
      <c r="W40" s="2377"/>
      <c r="X40" s="2355" t="s">
        <v>1504</v>
      </c>
      <c r="Y40" s="2356"/>
      <c r="Z40" s="2361" t="s">
        <v>1505</v>
      </c>
      <c r="AA40" s="2362"/>
      <c r="AB40" s="2363"/>
      <c r="AC40" s="2372"/>
      <c r="AD40" s="2353" t="s">
        <v>1502</v>
      </c>
      <c r="AE40" s="2377"/>
      <c r="AF40" s="2355" t="s">
        <v>1504</v>
      </c>
      <c r="AG40" s="2356"/>
      <c r="AH40" s="2361" t="s">
        <v>1505</v>
      </c>
      <c r="AI40" s="2362"/>
      <c r="AJ40" s="2363"/>
      <c r="AK40" s="2372"/>
      <c r="AL40" s="2375"/>
      <c r="AM40" s="2204"/>
    </row>
    <row customHeight="1" ht="33.75">
      <c r="A41" s="1593"/>
      <c r="B41" s="1593" t="s">
        <v>144</v>
      </c>
      <c r="C41" s="1593" t="s">
        <v>145</v>
      </c>
      <c r="D41" s="1593" t="s">
        <v>146</v>
      </c>
      <c r="E41" s="1587" t="s">
        <v>1506</v>
      </c>
      <c r="F41" s="1587" t="s">
        <v>1507</v>
      </c>
      <c r="G41" s="1587" t="s">
        <v>1508</v>
      </c>
      <c r="H41" s="1587" t="s">
        <v>1509</v>
      </c>
      <c r="I41" s="1587" t="s">
        <v>1510</v>
      </c>
      <c r="J41" s="1587" t="s">
        <v>1511</v>
      </c>
      <c r="K41" s="1587" t="s">
        <v>1512</v>
      </c>
      <c r="L41" s="1587" t="s">
        <v>1487</v>
      </c>
      <c r="Q41" s="529"/>
      <c r="R41" s="529"/>
      <c r="S41" s="2367"/>
      <c r="T41" s="2228"/>
      <c r="U41" s="439"/>
      <c r="V41" s="2354"/>
      <c r="W41" s="2378"/>
      <c r="X41" s="1424" t="s">
        <v>1513</v>
      </c>
      <c r="Y41" s="1424" t="s">
        <v>1514</v>
      </c>
      <c r="Z41" s="1560" t="s">
        <v>1515</v>
      </c>
      <c r="AA41" s="2364" t="s">
        <v>1516</v>
      </c>
      <c r="AB41" s="2365"/>
      <c r="AC41" s="2373"/>
      <c r="AD41" s="2354"/>
      <c r="AE41" s="2378"/>
      <c r="AF41" s="1424" t="s">
        <v>1513</v>
      </c>
      <c r="AG41" s="1424" t="s">
        <v>1514</v>
      </c>
      <c r="AH41" s="1560" t="s">
        <v>1515</v>
      </c>
      <c r="AI41" s="2364" t="s">
        <v>1516</v>
      </c>
      <c r="AJ41" s="2365"/>
      <c r="AK41" s="2373"/>
      <c r="AL41" s="2376"/>
      <c r="AM41" s="2204"/>
    </row>
    <row s="5794" customFormat="1" customHeight="1" ht="11.25" hidden="1">
      <c r="A42" s="1593"/>
      <c r="B42" s="1593"/>
      <c r="C42" s="1593"/>
      <c r="D42" s="1593"/>
      <c r="E42" s="1593"/>
      <c r="F42" s="1593"/>
      <c r="G42" s="1593"/>
      <c r="H42" s="1593"/>
      <c r="I42" s="1593"/>
      <c r="J42" s="1593"/>
      <c r="K42" s="1593"/>
      <c r="L42" s="1587"/>
      <c r="M42" s="1585"/>
      <c r="N42" s="1585"/>
      <c r="O42" s="1585"/>
      <c r="P42" s="1451"/>
      <c r="Q42" s="1452"/>
      <c r="R42" s="1467">
        <v>1</v>
      </c>
      <c r="S42" s="1494" t="s">
        <v>118</v>
      </c>
      <c r="T42" s="1468" t="s">
        <v>102</v>
      </c>
      <c r="U42" s="1450" t="str">
        <f>OFFSET(U42,0,-1)</f>
        <v>2</v>
      </c>
      <c r="V42" s="1557">
        <f>OFFSET(V42,0,-1)+1</f>
        <v>3</v>
      </c>
      <c r="W42" s="1557"/>
      <c r="X42" s="1557">
        <f>OFFSET(X42,0,-1)+1</f>
        <v>1</v>
      </c>
      <c r="Y42" s="1557">
        <f>OFFSET(Y42,0,-1)+1</f>
        <v>2</v>
      </c>
      <c r="Z42" s="1557">
        <f>OFFSET(Z42,0,-1)+1</f>
        <v>3</v>
      </c>
      <c r="AA42" s="2366">
        <f>OFFSET(AA42,0,-1)+1</f>
        <v>4</v>
      </c>
      <c r="AB42" s="2366"/>
      <c r="AC42" s="1557">
        <f>OFFSET(AC42,0,-2)+1</f>
        <v>5</v>
      </c>
      <c r="AD42" s="1557">
        <f>OFFSET(AD42,0,-1)+1</f>
        <v>6</v>
      </c>
      <c r="AE42" s="1557"/>
      <c r="AF42" s="1557">
        <f>OFFSET(AF42,0,-1)+1</f>
        <v>1</v>
      </c>
      <c r="AG42" s="1557">
        <f>OFFSET(AG42,0,-1)+1</f>
        <v>2</v>
      </c>
      <c r="AH42" s="1557">
        <f>OFFSET(AH42,0,-1)+1</f>
        <v>3</v>
      </c>
      <c r="AI42" s="2366">
        <f>OFFSET(AI42,0,-1)+1</f>
        <v>4</v>
      </c>
      <c r="AJ42" s="2366"/>
      <c r="AK42" s="1557">
        <f>OFFSET(AK42,0,-2)+1</f>
        <v>5</v>
      </c>
      <c r="AL42" s="1450">
        <f>OFFSET(AL42,0,-1)</f>
        <v>5</v>
      </c>
      <c r="AM42" s="1557">
        <f>OFFSET(AM42,0,-1)+1</f>
        <v>6</v>
      </c>
      <c r="AN42" s="675"/>
      <c r="AO42" s="675"/>
      <c r="AP42" s="675"/>
      <c r="AQ42" s="675"/>
      <c r="AR42" s="675"/>
    </row>
    <row customHeight="1" ht="21">
      <c r="A43" s="1586" t="s">
        <v>191</v>
      </c>
      <c r="B43" s="1586"/>
      <c r="C43" s="1586"/>
      <c r="D43" s="1586"/>
      <c r="E43" s="2351">
        <v>1</v>
      </c>
      <c r="F43" s="1586"/>
      <c r="G43" s="1586"/>
      <c r="H43" s="1586"/>
      <c r="I43" s="1586"/>
      <c r="J43" s="1586"/>
      <c r="K43" s="1586"/>
      <c r="L43" s="1587"/>
      <c r="M43" s="1588"/>
      <c r="N43" s="1588"/>
      <c r="O43" s="1588"/>
      <c r="P43" s="509"/>
      <c r="Q43" s="508"/>
      <c r="R43" s="503"/>
      <c r="S43" s="1558">
        <f>INDEX(PT_DIFFERENTIATION_NUM_NTAR,MATCH(A43,PT_DIFFERENTIATION_NTAR_ID,0))</f>
        <v>0</v>
      </c>
      <c r="T43" s="435" t="s">
        <v>132</v>
      </c>
      <c r="U43" s="437"/>
      <c r="V43" s="3964"/>
      <c r="W43" s="3965"/>
      <c r="X43" s="3965"/>
      <c r="Y43" s="3965"/>
      <c r="Z43" s="3965"/>
      <c r="AA43" s="3965"/>
      <c r="AB43" s="3965"/>
      <c r="AC43" s="3966"/>
      <c r="AD43" s="3964" t="str">
        <f>INDEX(PT_DIFFERENTIATION_NTAR,MATCH(A43,PT_DIFFERENTIATION_NTAR_ID,0))</f>
        <v/>
      </c>
      <c r="AE43" s="3965"/>
      <c r="AF43" s="3965"/>
      <c r="AG43" s="3965"/>
      <c r="AH43" s="3965"/>
      <c r="AI43" s="3965"/>
      <c r="AJ43" s="3965"/>
      <c r="AK43" s="3965"/>
      <c r="AL43" s="3966"/>
      <c r="AM43" s="1473" t="s">
        <v>1468</v>
      </c>
      <c r="AO43" s="664"/>
      <c r="AP43" s="664" t="str">
        <f>IF(T43="","",T43)</f>
        <v>Наименование тарифа</v>
      </c>
      <c r="AQ43" s="664"/>
      <c r="AR43" s="664"/>
    </row>
    <row customHeight="1" ht="21">
      <c r="A44" s="1586" t="s">
        <v>191</v>
      </c>
      <c r="B44" s="1586" t="s">
        <v>192</v>
      </c>
      <c r="C44" s="1586"/>
      <c r="D44" s="1586"/>
      <c r="E44" s="2352"/>
      <c r="F44" s="2351">
        <v>1</v>
      </c>
      <c r="G44" s="1586"/>
      <c r="H44" s="1586"/>
      <c r="I44" s="1586"/>
      <c r="J44" s="1586"/>
      <c r="K44" s="1586"/>
      <c r="L44" s="1587"/>
      <c r="M44" s="1588"/>
      <c r="N44" s="1588"/>
      <c r="O44" s="1588"/>
      <c r="P44" s="1554"/>
      <c r="Q44" s="500"/>
      <c r="R44" s="501"/>
      <c r="S44" s="1558" t="str">
        <f>INDEX(PT_DIFFERENTIATION_NUM_TER,MATCH(B44,PT_DIFFERENTIATION_TER_ID,0))</f>
        <v>.</v>
      </c>
      <c r="T44" s="447" t="s">
        <v>1469</v>
      </c>
      <c r="U44" s="437"/>
      <c r="V44" s="3964"/>
      <c r="W44" s="3965"/>
      <c r="X44" s="3965"/>
      <c r="Y44" s="3965"/>
      <c r="Z44" s="3965"/>
      <c r="AA44" s="3965"/>
      <c r="AB44" s="3965"/>
      <c r="AC44" s="3966"/>
      <c r="AD44" s="3964" t="str">
        <f>INDEX(PT_DIFFERENTIATION_TER,MATCH(B44,PT_DIFFERENTIATION_TER_ID,0))</f>
        <v/>
      </c>
      <c r="AE44" s="3965"/>
      <c r="AF44" s="3965"/>
      <c r="AG44" s="3965"/>
      <c r="AH44" s="3965"/>
      <c r="AI44" s="3965"/>
      <c r="AJ44" s="3965"/>
      <c r="AK44" s="3965"/>
      <c r="AL44" s="3966"/>
      <c r="AM44" s="1473" t="s">
        <v>1470</v>
      </c>
      <c r="AO44" s="664"/>
      <c r="AP44" s="664" t="str">
        <f>IF(T44="","",T44)</f>
        <v>Территория действия тарифа</v>
      </c>
      <c r="AQ44" s="664"/>
      <c r="AR44" s="664"/>
    </row>
    <row customHeight="1" ht="23.25">
      <c r="A45" s="1586" t="s">
        <v>191</v>
      </c>
      <c r="B45" s="1586" t="s">
        <v>192</v>
      </c>
      <c r="C45" s="1586" t="s">
        <v>193</v>
      </c>
      <c r="D45" s="1586"/>
      <c r="E45" s="2352"/>
      <c r="F45" s="2352"/>
      <c r="G45" s="2351">
        <v>1</v>
      </c>
      <c r="H45" s="1586"/>
      <c r="I45" s="1586"/>
      <c r="J45" s="1586"/>
      <c r="K45" s="1586"/>
      <c r="L45" s="1587"/>
      <c r="M45" s="1588"/>
      <c r="N45" s="1588"/>
      <c r="O45" s="1588"/>
      <c r="P45" s="502"/>
      <c r="Q45" s="500"/>
      <c r="R45" s="501"/>
      <c r="S45" s="1558" t="str">
        <f>INDEX(PT_DIFFERENTIATION_NUM_CS,MATCH(C45,PT_DIFFERENTIATION_CS_ID,0))</f>
        <v>..</v>
      </c>
      <c r="T45" s="448" t="s">
        <v>1471</v>
      </c>
      <c r="U45" s="437"/>
      <c r="V45" s="3964"/>
      <c r="W45" s="3965"/>
      <c r="X45" s="3965"/>
      <c r="Y45" s="3965"/>
      <c r="Z45" s="3965"/>
      <c r="AA45" s="3965"/>
      <c r="AB45" s="3965"/>
      <c r="AC45" s="3966"/>
      <c r="AD45" s="3964" t="str">
        <f>INDEX(PT_DIFFERENTIATION_CS,MATCH(C45,PT_DIFFERENTIATION_CS_ID,0))</f>
        <v/>
      </c>
      <c r="AE45" s="3965"/>
      <c r="AF45" s="3965"/>
      <c r="AG45" s="3965"/>
      <c r="AH45" s="3965"/>
      <c r="AI45" s="3965"/>
      <c r="AJ45" s="3965"/>
      <c r="AK45" s="3965"/>
      <c r="AL45" s="3966"/>
      <c r="AM45" s="1473" t="s">
        <v>1472</v>
      </c>
      <c r="AO45" s="664"/>
      <c r="AP45" s="664" t="str">
        <f>IF(T45="","",T45)</f>
        <v>Наименование системы теплоснабжения </v>
      </c>
      <c r="AQ45" s="664"/>
      <c r="AR45" s="664"/>
    </row>
    <row customHeight="1" ht="21">
      <c r="A46" s="1586" t="s">
        <v>191</v>
      </c>
      <c r="B46" s="1586" t="s">
        <v>192</v>
      </c>
      <c r="C46" s="1586" t="s">
        <v>193</v>
      </c>
      <c r="D46" s="1586" t="s">
        <v>194</v>
      </c>
      <c r="E46" s="2352"/>
      <c r="F46" s="2352"/>
      <c r="G46" s="2352"/>
      <c r="H46" s="2351">
        <v>1</v>
      </c>
      <c r="I46" s="1586"/>
      <c r="J46" s="1586"/>
      <c r="K46" s="1586"/>
      <c r="L46" s="1587"/>
      <c r="M46" s="1588"/>
      <c r="N46" s="1588"/>
      <c r="O46" s="1588"/>
      <c r="P46" s="502"/>
      <c r="Q46" s="500"/>
      <c r="R46" s="501"/>
      <c r="S46" s="1558" t="str">
        <f>INDEX(PT_DIFFERENTIATION_NUM_IST_TE,MATCH(D46,PT_DIFFERENTIATION_IST_TE_ID,0))</f>
        <v>...</v>
      </c>
      <c r="T46" s="449" t="s">
        <v>1473</v>
      </c>
      <c r="U46" s="437"/>
      <c r="V46" s="3964"/>
      <c r="W46" s="3965"/>
      <c r="X46" s="3965"/>
      <c r="Y46" s="3965"/>
      <c r="Z46" s="3965"/>
      <c r="AA46" s="3965"/>
      <c r="AB46" s="3965"/>
      <c r="AC46" s="3966"/>
      <c r="AD46" s="3964" t="str">
        <f>INDEX(PT_DIFFERENTIATION_IST_TE,MATCH(D46,PT_DIFFERENTIATION_IST_TE_ID,0))</f>
        <v/>
      </c>
      <c r="AE46" s="3965"/>
      <c r="AF46" s="3965"/>
      <c r="AG46" s="3965"/>
      <c r="AH46" s="3965"/>
      <c r="AI46" s="3965"/>
      <c r="AJ46" s="3965"/>
      <c r="AK46" s="3965"/>
      <c r="AL46" s="3966"/>
      <c r="AM46" s="1473" t="s">
        <v>1474</v>
      </c>
      <c r="AO46" s="664"/>
      <c r="AP46" s="664" t="str">
        <f>IF(T46="","",T46)</f>
        <v>Источник тепловой энергии  </v>
      </c>
      <c r="AQ46" s="664"/>
      <c r="AR46" s="664"/>
    </row>
    <row s="6608" customFormat="1" customHeight="1" ht="0">
      <c r="A47" s="1565" t="s">
        <v>191</v>
      </c>
      <c r="B47" s="1565" t="s">
        <v>192</v>
      </c>
      <c r="C47" s="1565" t="s">
        <v>193</v>
      </c>
      <c r="D47" s="1565" t="s">
        <v>194</v>
      </c>
      <c r="E47" s="2352"/>
      <c r="F47" s="2352"/>
      <c r="G47" s="2352"/>
      <c r="H47" s="2352"/>
      <c r="I47" s="2380" t="str">
        <f>S46&amp;".1"</f>
        <v>....1</v>
      </c>
      <c r="J47" s="1565"/>
      <c r="K47" s="1565"/>
      <c r="L47" s="1568" t="s">
        <v>1475</v>
      </c>
      <c r="M47" s="674"/>
      <c r="N47" s="674"/>
      <c r="O47" s="674"/>
      <c r="P47" s="2350">
        <v>1</v>
      </c>
      <c r="Q47" s="1553"/>
      <c r="R47" s="504"/>
      <c r="S47" s="1227"/>
      <c r="T47" s="1606"/>
      <c r="U47" s="1607"/>
      <c r="V47" s="2390"/>
      <c r="W47" s="2391"/>
      <c r="X47" s="2391"/>
      <c r="Y47" s="2391"/>
      <c r="Z47" s="2391"/>
      <c r="AA47" s="2391"/>
      <c r="AB47" s="2391"/>
      <c r="AC47" s="2392"/>
      <c r="AD47" s="2390"/>
      <c r="AE47" s="2391"/>
      <c r="AF47" s="2391"/>
      <c r="AG47" s="2391"/>
      <c r="AH47" s="2391"/>
      <c r="AI47" s="2391"/>
      <c r="AJ47" s="2391"/>
      <c r="AK47" s="2391"/>
      <c r="AL47" s="2392"/>
      <c r="AM47" s="1608"/>
      <c r="AO47" s="664"/>
      <c r="AP47" s="664" t="str">
        <f>IF(T47="","",T47)</f>
        <v/>
      </c>
      <c r="AQ47" s="664"/>
      <c r="AR47" s="664"/>
    </row>
    <row customHeight="1" ht="21">
      <c r="A48" s="1586" t="s">
        <v>191</v>
      </c>
      <c r="B48" s="1586" t="s">
        <v>192</v>
      </c>
      <c r="C48" s="1586" t="s">
        <v>193</v>
      </c>
      <c r="D48" s="1586" t="s">
        <v>194</v>
      </c>
      <c r="E48" s="2352"/>
      <c r="F48" s="2352"/>
      <c r="G48" s="2352"/>
      <c r="H48" s="2352"/>
      <c r="I48" s="2381"/>
      <c r="J48" s="2349" t="str">
        <f>S46&amp;".1"</f>
        <v>....1</v>
      </c>
      <c r="K48" s="1586"/>
      <c r="L48" s="1587" t="s">
        <v>1478</v>
      </c>
      <c r="P48" s="2350"/>
      <c r="Q48" s="2350">
        <v>1</v>
      </c>
      <c r="R48" s="505"/>
      <c r="S48" s="1558" t="str">
        <f>$J48</f>
        <v>....1</v>
      </c>
      <c r="T48" s="423" t="s">
        <v>1479</v>
      </c>
      <c r="U48" s="437"/>
      <c r="V48" s="2338"/>
      <c r="W48" s="2339"/>
      <c r="X48" s="2339"/>
      <c r="Y48" s="2339"/>
      <c r="Z48" s="2339"/>
      <c r="AA48" s="2339"/>
      <c r="AB48" s="2339"/>
      <c r="AC48" s="2340"/>
      <c r="AD48" s="2338"/>
      <c r="AE48" s="2339"/>
      <c r="AF48" s="2339"/>
      <c r="AG48" s="2339"/>
      <c r="AH48" s="2339"/>
      <c r="AI48" s="2339"/>
      <c r="AJ48" s="2339"/>
      <c r="AK48" s="2339"/>
      <c r="AL48" s="2340"/>
      <c r="AM48" s="1473" t="s">
        <v>1480</v>
      </c>
      <c r="AO48" s="664"/>
      <c r="AP48" s="664" t="str">
        <f>IF(T48="","",T48)</f>
        <v>Группа потребителей</v>
      </c>
      <c r="AQ48" s="664"/>
      <c r="AR48" s="664"/>
    </row>
    <row customHeight="1" ht="21">
      <c r="A49" s="1586" t="s">
        <v>191</v>
      </c>
      <c r="B49" s="1586" t="s">
        <v>192</v>
      </c>
      <c r="C49" s="1586" t="s">
        <v>193</v>
      </c>
      <c r="D49" s="1586" t="s">
        <v>194</v>
      </c>
      <c r="E49" s="2352"/>
      <c r="F49" s="2352"/>
      <c r="G49" s="2352"/>
      <c r="H49" s="2352"/>
      <c r="I49" s="2381"/>
      <c r="J49" s="2382"/>
      <c r="K49" s="2349" t="str">
        <f>J48&amp;".1"</f>
        <v>....1.1</v>
      </c>
      <c r="L49" s="1587" t="s">
        <v>1481</v>
      </c>
      <c r="P49" s="2350"/>
      <c r="Q49" s="2350"/>
      <c r="R49" s="505">
        <v>1</v>
      </c>
      <c r="S49" s="1558" t="str">
        <f>$K49</f>
        <v>....1.1</v>
      </c>
      <c r="T49" s="1569"/>
      <c r="U49" s="437"/>
      <c r="V49" s="3992"/>
      <c r="W49" s="3993"/>
      <c r="X49" s="3992"/>
      <c r="Y49" s="3994"/>
      <c r="Z49" s="2357"/>
      <c r="AA49" s="2069" t="s">
        <v>66</v>
      </c>
      <c r="AB49" s="2357"/>
      <c r="AC49" s="2069" t="s">
        <v>66</v>
      </c>
      <c r="AD49" s="3992"/>
      <c r="AE49" s="3993"/>
      <c r="AF49" s="3992"/>
      <c r="AG49" s="3994"/>
      <c r="AH49" s="2357"/>
      <c r="AI49" s="2069" t="s">
        <v>66</v>
      </c>
      <c r="AJ49" s="2383"/>
      <c r="AK49" s="2069" t="s">
        <v>66</v>
      </c>
      <c r="AL49" s="4093"/>
      <c r="AM49" s="2346" t="s">
        <v>1525</v>
      </c>
      <c r="AN49" s="675">
        <f>STRCHECKDATE(V50:AL50)</f>
      </c>
      <c r="AO49" s="664"/>
      <c r="AP49" s="664" t="str">
        <f>IF(T49="","",T49)</f>
        <v/>
      </c>
      <c r="AQ49" s="664"/>
      <c r="AR49" s="664"/>
    </row>
    <row customHeight="1" ht="0.75">
      <c r="A50" s="1586" t="s">
        <v>191</v>
      </c>
      <c r="B50" s="1586" t="s">
        <v>192</v>
      </c>
      <c r="C50" s="1586" t="s">
        <v>193</v>
      </c>
      <c r="D50" s="1586" t="s">
        <v>194</v>
      </c>
      <c r="E50" s="2352"/>
      <c r="F50" s="2352"/>
      <c r="G50" s="2352"/>
      <c r="H50" s="2352"/>
      <c r="I50" s="2381"/>
      <c r="J50" s="2382"/>
      <c r="K50" s="2349"/>
      <c r="L50" s="1587"/>
      <c r="P50" s="2350"/>
      <c r="Q50" s="2350"/>
      <c r="R50" s="505"/>
      <c r="S50" s="1564"/>
      <c r="T50" s="437"/>
      <c r="U50" s="437"/>
      <c r="V50" s="3993"/>
      <c r="W50" s="3993"/>
      <c r="X50" s="3993"/>
      <c r="Y50" s="3998" t="str">
        <f>Z49&amp;"-"&amp;AB49</f>
        <v>-</v>
      </c>
      <c r="Z50" s="2358"/>
      <c r="AA50" s="2069"/>
      <c r="AB50" s="2358"/>
      <c r="AC50" s="2069"/>
      <c r="AD50" s="3993"/>
      <c r="AE50" s="3993"/>
      <c r="AF50" s="3993"/>
      <c r="AG50" s="3998" t="str">
        <f>AH49&amp;"-"&amp;AJ49</f>
        <v>-</v>
      </c>
      <c r="AH50" s="2358"/>
      <c r="AI50" s="2069"/>
      <c r="AJ50" s="2384"/>
      <c r="AK50" s="2069"/>
      <c r="AL50" s="4096"/>
      <c r="AM50" s="2347"/>
      <c r="AO50" s="664"/>
      <c r="AP50" s="664" t="str">
        <f>IF(T50="","",T50)</f>
        <v/>
      </c>
      <c r="AQ50" s="664"/>
      <c r="AR50" s="664"/>
    </row>
    <row customHeight="1" ht="11.25">
      <c r="A51" s="1586" t="s">
        <v>191</v>
      </c>
      <c r="B51" s="1586" t="s">
        <v>192</v>
      </c>
      <c r="C51" s="1586" t="s">
        <v>193</v>
      </c>
      <c r="D51" s="1586" t="s">
        <v>194</v>
      </c>
      <c r="E51" s="2352"/>
      <c r="F51" s="2352"/>
      <c r="G51" s="2352"/>
      <c r="H51" s="2352"/>
      <c r="I51" s="2381"/>
      <c r="J51" s="2349"/>
      <c r="K51" s="1586"/>
      <c r="L51" s="1587"/>
      <c r="P51" s="2350"/>
      <c r="Q51" s="2350"/>
      <c r="R51" s="504"/>
      <c r="S51" s="1495"/>
      <c r="T51" s="424" t="s">
        <v>1483</v>
      </c>
      <c r="U51" s="519"/>
      <c r="V51" s="519"/>
      <c r="W51" s="519"/>
      <c r="X51" s="519"/>
      <c r="Y51" s="519"/>
      <c r="Z51" s="519"/>
      <c r="AA51" s="519"/>
      <c r="AB51" s="519"/>
      <c r="AC51" s="519"/>
      <c r="AD51" s="519"/>
      <c r="AE51" s="519"/>
      <c r="AF51" s="519"/>
      <c r="AG51" s="519"/>
      <c r="AH51" s="519"/>
      <c r="AI51" s="519"/>
      <c r="AJ51" s="519"/>
      <c r="AK51" s="519"/>
      <c r="AL51" s="471"/>
      <c r="AM51" s="2348"/>
      <c r="AO51" s="664"/>
      <c r="AP51" s="664" t="str">
        <f>IF(T51="","",T51)</f>
        <v>Добавить вид теплоносителя (параметры теплоносителя)</v>
      </c>
      <c r="AQ51" s="664"/>
      <c r="AR51" s="664"/>
    </row>
    <row customHeight="1" ht="11.25">
      <c r="A52" s="1586" t="s">
        <v>191</v>
      </c>
      <c r="B52" s="1586" t="s">
        <v>192</v>
      </c>
      <c r="C52" s="1586" t="s">
        <v>193</v>
      </c>
      <c r="D52" s="1586" t="s">
        <v>194</v>
      </c>
      <c r="E52" s="2352"/>
      <c r="F52" s="2352"/>
      <c r="G52" s="2352"/>
      <c r="H52" s="2352"/>
      <c r="I52" s="2380"/>
      <c r="J52" s="1586"/>
      <c r="K52" s="1586"/>
      <c r="L52" s="1587"/>
      <c r="P52" s="2350"/>
      <c r="Q52" s="1553"/>
      <c r="R52" s="504"/>
      <c r="S52" s="1495"/>
      <c r="T52" s="516" t="s">
        <v>1484</v>
      </c>
      <c r="U52" s="519"/>
      <c r="V52" s="519"/>
      <c r="W52" s="519"/>
      <c r="X52" s="519"/>
      <c r="Y52" s="519"/>
      <c r="Z52" s="519"/>
      <c r="AA52" s="519"/>
      <c r="AB52" s="519"/>
      <c r="AC52" s="518"/>
      <c r="AD52" s="519"/>
      <c r="AE52" s="519"/>
      <c r="AF52" s="519"/>
      <c r="AG52" s="519"/>
      <c r="AH52" s="519"/>
      <c r="AI52" s="519"/>
      <c r="AJ52" s="519"/>
      <c r="AK52" s="518"/>
      <c r="AL52" s="519"/>
      <c r="AM52" s="440"/>
      <c r="AO52" s="664"/>
      <c r="AP52" s="664" t="str">
        <f>IF(T52="","",T52)</f>
        <v>Добавить группу потребителей</v>
      </c>
      <c r="AQ52" s="664"/>
      <c r="AR52" s="664"/>
    </row>
    <row customHeight="1" ht="0">
      <c r="A53" s="1586" t="s">
        <v>191</v>
      </c>
      <c r="B53" s="1586" t="s">
        <v>192</v>
      </c>
      <c r="C53" s="1586" t="s">
        <v>193</v>
      </c>
      <c r="D53" s="1586" t="s">
        <v>194</v>
      </c>
      <c r="E53" s="2352"/>
      <c r="F53" s="2352"/>
      <c r="G53" s="2352"/>
      <c r="H53" s="2351"/>
      <c r="I53" s="1586"/>
      <c r="J53" s="1586"/>
      <c r="K53" s="1586"/>
      <c r="L53" s="1587"/>
      <c r="M53" s="1588"/>
      <c r="N53" s="1588"/>
      <c r="O53" s="701"/>
      <c r="P53" s="508"/>
      <c r="Q53" s="528"/>
      <c r="R53" s="503"/>
      <c r="S53" s="1609"/>
      <c r="T53" s="1610"/>
      <c r="U53" s="1611"/>
      <c r="V53" s="1611"/>
      <c r="W53" s="1611"/>
      <c r="X53" s="1611"/>
      <c r="Y53" s="1611"/>
      <c r="Z53" s="1611"/>
      <c r="AA53" s="1611"/>
      <c r="AB53" s="1611"/>
      <c r="AC53" s="1611"/>
      <c r="AD53" s="1611"/>
      <c r="AE53" s="1611"/>
      <c r="AF53" s="1611"/>
      <c r="AG53" s="1611"/>
      <c r="AH53" s="1611"/>
      <c r="AI53" s="1611"/>
      <c r="AJ53" s="1611"/>
      <c r="AK53" s="1611"/>
      <c r="AL53" s="1611"/>
      <c r="AM53" s="1612"/>
      <c r="AO53" s="664"/>
      <c r="AP53" s="664" t="str">
        <f>IF(T53="","",T53)</f>
        <v/>
      </c>
      <c r="AQ53" s="664"/>
      <c r="AR53" s="664"/>
    </row>
    <row s="6520" customFormat="1" customHeight="1" ht="0.75">
      <c r="A54" s="1565" t="s">
        <v>191</v>
      </c>
      <c r="B54" s="1565" t="s">
        <v>192</v>
      </c>
      <c r="C54" s="1565" t="s">
        <v>193</v>
      </c>
      <c r="D54" s="1536"/>
      <c r="E54" s="2352"/>
      <c r="F54" s="2352"/>
      <c r="G54" s="2351"/>
      <c r="H54" s="1536"/>
      <c r="I54" s="1536"/>
      <c r="J54" s="1536"/>
      <c r="K54" s="1536"/>
      <c r="L54" s="1561"/>
      <c r="M54" s="1537"/>
      <c r="N54" s="1537"/>
      <c r="P54" s="1538"/>
      <c r="Q54" s="1539"/>
      <c r="R54" s="1538"/>
      <c r="S54" s="1544"/>
      <c r="T54" s="1547" t="s">
        <v>1444</v>
      </c>
      <c r="U54" s="1546"/>
      <c r="V54" s="1546"/>
      <c r="W54" s="1546"/>
      <c r="X54" s="1546"/>
      <c r="Y54" s="1546"/>
      <c r="Z54" s="1546"/>
      <c r="AA54" s="1546"/>
      <c r="AB54" s="1546"/>
      <c r="AC54" s="1546"/>
      <c r="AD54" s="1546"/>
      <c r="AE54" s="1546"/>
      <c r="AF54" s="1546"/>
      <c r="AG54" s="1546"/>
      <c r="AH54" s="1546"/>
      <c r="AI54" s="1546"/>
      <c r="AJ54" s="1546"/>
      <c r="AK54" s="1546"/>
      <c r="AL54" s="1546"/>
      <c r="AM54" s="1546"/>
      <c r="AO54" s="956"/>
      <c r="AP54" s="956" t="str">
        <f>IF(T54="","",T54)</f>
        <v>Добавить источник для дифференциации</v>
      </c>
      <c r="AQ54" s="956"/>
      <c r="AR54" s="956"/>
    </row>
    <row s="6520" customFormat="1" customHeight="1" ht="0.75">
      <c r="A55" s="1565" t="s">
        <v>191</v>
      </c>
      <c r="B55" s="1565" t="s">
        <v>192</v>
      </c>
      <c r="C55" s="1536"/>
      <c r="D55" s="1536"/>
      <c r="E55" s="2352"/>
      <c r="F55" s="2351"/>
      <c r="G55" s="1536"/>
      <c r="H55" s="1536"/>
      <c r="I55" s="1536"/>
      <c r="J55" s="1536"/>
      <c r="K55" s="1536"/>
      <c r="L55" s="1561"/>
      <c r="M55" s="1543"/>
      <c r="N55" s="1543"/>
      <c r="P55" s="1538"/>
      <c r="Q55" s="1539"/>
      <c r="R55" s="1538"/>
      <c r="S55" s="1544"/>
      <c r="T55" s="1547" t="s">
        <v>1445</v>
      </c>
      <c r="U55" s="1546"/>
      <c r="V55" s="1546"/>
      <c r="W55" s="1546"/>
      <c r="X55" s="1546"/>
      <c r="Y55" s="1546"/>
      <c r="Z55" s="1546"/>
      <c r="AA55" s="1546"/>
      <c r="AB55" s="1546"/>
      <c r="AC55" s="1546"/>
      <c r="AD55" s="1546"/>
      <c r="AE55" s="1546"/>
      <c r="AF55" s="1546"/>
      <c r="AG55" s="1546"/>
      <c r="AH55" s="1546"/>
      <c r="AI55" s="1546"/>
      <c r="AJ55" s="1546"/>
      <c r="AK55" s="1546"/>
      <c r="AL55" s="1546"/>
      <c r="AM55" s="1546"/>
      <c r="AO55" s="956"/>
      <c r="AP55" s="956" t="str">
        <f>IF(T55="","",T55)</f>
        <v>Добавить централизованную систему для дифференциации</v>
      </c>
      <c r="AQ55" s="956"/>
      <c r="AR55" s="956"/>
    </row>
    <row s="6608" customFormat="1" customHeight="1" ht="0.75">
      <c r="A56" s="1565" t="s">
        <v>191</v>
      </c>
      <c r="B56" s="1565"/>
      <c r="C56" s="1565"/>
      <c r="D56" s="1565"/>
      <c r="E56" s="2351"/>
      <c r="F56" s="1565"/>
      <c r="G56" s="1565"/>
      <c r="H56" s="1565"/>
      <c r="I56" s="1565"/>
      <c r="J56" s="1565"/>
      <c r="K56" s="1565"/>
      <c r="L56" s="1568"/>
      <c r="M56" s="1543"/>
      <c r="N56" s="1543"/>
      <c r="O56" s="682"/>
      <c r="P56" s="537"/>
      <c r="Q56" s="1566"/>
      <c r="R56" s="537"/>
      <c r="S56" s="1544"/>
      <c r="T56" s="1547" t="s">
        <v>1446</v>
      </c>
      <c r="U56" s="1546"/>
      <c r="V56" s="1546"/>
      <c r="W56" s="1546"/>
      <c r="X56" s="1546"/>
      <c r="Y56" s="1546"/>
      <c r="Z56" s="1546"/>
      <c r="AA56" s="1546"/>
      <c r="AB56" s="1546"/>
      <c r="AC56" s="1546"/>
      <c r="AD56" s="1546"/>
      <c r="AE56" s="1546"/>
      <c r="AF56" s="1546"/>
      <c r="AG56" s="1546"/>
      <c r="AH56" s="1546"/>
      <c r="AI56" s="1546"/>
      <c r="AJ56" s="1546"/>
      <c r="AK56" s="1546"/>
      <c r="AL56" s="1546"/>
      <c r="AM56" s="1546"/>
      <c r="AO56" s="664"/>
      <c r="AP56" s="664" t="str">
        <f>IF(T56="","",T56)</f>
        <v>Добавить территорию для дифференциации</v>
      </c>
      <c r="AQ56" s="664"/>
      <c r="AR56" s="664"/>
    </row>
    <row s="6520" customFormat="1" customHeight="1" ht="0.75">
      <c r="A57" s="1536"/>
      <c r="B57" s="1536"/>
      <c r="C57" s="1536"/>
      <c r="D57" s="1536"/>
      <c r="E57" s="1565"/>
      <c r="F57" s="1536"/>
      <c r="G57" s="1536"/>
      <c r="H57" s="1536"/>
      <c r="I57" s="1536"/>
      <c r="J57" s="1536"/>
      <c r="K57" s="1536"/>
      <c r="L57" s="1561"/>
      <c r="M57" s="1543"/>
      <c r="N57" s="1543"/>
      <c r="P57" s="1538"/>
      <c r="Q57" s="1539"/>
      <c r="R57" s="1538"/>
      <c r="S57" s="1544"/>
      <c r="T57" s="1547" t="s">
        <v>1447</v>
      </c>
      <c r="U57" s="1546"/>
      <c r="V57" s="1546"/>
      <c r="W57" s="1546"/>
      <c r="X57" s="1546"/>
      <c r="Y57" s="1546"/>
      <c r="Z57" s="1546"/>
      <c r="AA57" s="1546"/>
      <c r="AB57" s="1546"/>
      <c r="AC57" s="1546"/>
      <c r="AD57" s="1546"/>
      <c r="AE57" s="1546"/>
      <c r="AF57" s="1546"/>
      <c r="AG57" s="1546"/>
      <c r="AH57" s="1546"/>
      <c r="AI57" s="1546"/>
      <c r="AJ57" s="1546"/>
      <c r="AK57" s="1546"/>
      <c r="AL57" s="1546"/>
      <c r="AM57" s="1546"/>
      <c r="AO57" s="956"/>
      <c r="AP57" s="956" t="str">
        <f>IF(T57="","",T57)</f>
        <v>Добавить наименование тарифа</v>
      </c>
      <c r="AQ57" s="956"/>
      <c r="AR57" s="956"/>
    </row>
    <row customHeight="1" ht="11.25" hidden="1">
      <c r="M58" s="1348"/>
      <c r="N58" s="1348"/>
      <c r="O58" s="701"/>
      <c r="P58" s="1343"/>
      <c r="Q58" s="1343"/>
      <c r="R58" s="1343"/>
      <c r="S58" s="1343"/>
      <c r="AN58" s="1343"/>
      <c r="AO58" s="1343"/>
      <c r="AP58" s="1343"/>
      <c r="AQ58" s="1343"/>
      <c r="AR58" s="1343"/>
    </row>
    <row customHeight="1" ht="21.75" hidden="1">
      <c r="O59" s="701"/>
      <c r="S59" s="1460" t="s">
        <v>1517</v>
      </c>
      <c r="T59" s="2379" t="s">
        <v>1526</v>
      </c>
      <c r="U59" s="2379"/>
      <c r="V59" s="2379"/>
      <c r="W59" s="2379"/>
      <c r="X59" s="2379"/>
      <c r="Y59" s="2379"/>
      <c r="Z59" s="2379"/>
      <c r="AA59" s="2379"/>
      <c r="AB59" s="2379"/>
      <c r="AC59" s="2379"/>
      <c r="AD59" s="2379"/>
      <c r="AE59" s="2379"/>
      <c r="AF59" s="2379"/>
      <c r="AG59" s="2379"/>
      <c r="AH59" s="2379"/>
      <c r="AI59" s="2379"/>
      <c r="AJ59" s="2379"/>
      <c r="AK59" s="2379"/>
      <c r="AL59" s="2379"/>
      <c r="AM59" s="2379"/>
    </row>
    <row customHeight="1" ht="29.25" hidden="1">
      <c r="O60" s="701"/>
      <c r="T60" s="2379" t="s">
        <v>1527</v>
      </c>
      <c r="U60" s="2379"/>
      <c r="V60" s="2379"/>
      <c r="W60" s="2379"/>
      <c r="X60" s="2379"/>
      <c r="Y60" s="2379"/>
      <c r="Z60" s="2379"/>
      <c r="AA60" s="2379"/>
      <c r="AB60" s="2379"/>
      <c r="AC60" s="2379"/>
      <c r="AD60" s="2379"/>
      <c r="AE60" s="2379"/>
      <c r="AF60" s="2379"/>
      <c r="AG60" s="2379"/>
      <c r="AH60" s="2379"/>
      <c r="AI60" s="2379"/>
      <c r="AJ60" s="2379"/>
      <c r="AK60" s="2379"/>
      <c r="AL60" s="2379"/>
      <c r="AM60" s="2379"/>
    </row>
    <row customHeight="1" ht="39.75" hidden="1">
      <c r="O61" s="701"/>
      <c r="T61" s="2379" t="s">
        <v>1528</v>
      </c>
      <c r="U61" s="2379"/>
      <c r="V61" s="2379"/>
      <c r="W61" s="2379"/>
      <c r="X61" s="2379"/>
      <c r="Y61" s="2379"/>
      <c r="Z61" s="2379"/>
      <c r="AA61" s="2379"/>
      <c r="AB61" s="2379"/>
      <c r="AC61" s="2379"/>
      <c r="AD61" s="2379"/>
      <c r="AE61" s="2379"/>
      <c r="AF61" s="2379"/>
      <c r="AG61" s="2379"/>
      <c r="AH61" s="2379"/>
      <c r="AI61" s="2379"/>
      <c r="AJ61" s="2379"/>
      <c r="AK61" s="2379"/>
      <c r="AL61" s="2379"/>
      <c r="AM61" s="2379"/>
    </row>
    <row customHeight="1" ht="14.25" hidden="1">
      <c r="O62" s="701"/>
    </row>
    <row customHeight="1" ht="19.5" hidden="1">
      <c r="O63" s="701"/>
      <c r="S63" s="1460" t="s">
        <v>1517</v>
      </c>
      <c r="T63" s="2393" t="s">
        <v>1520</v>
      </c>
      <c r="U63" s="2379"/>
      <c r="V63" s="2379"/>
      <c r="W63" s="2379"/>
      <c r="X63" s="2379"/>
      <c r="Y63" s="2379"/>
      <c r="Z63" s="2379"/>
      <c r="AA63" s="2379"/>
      <c r="AB63" s="2379"/>
      <c r="AC63" s="2379"/>
      <c r="AD63" s="2379"/>
      <c r="AE63" s="2379"/>
      <c r="AF63" s="2379"/>
      <c r="AG63" s="2379"/>
      <c r="AH63" s="2379"/>
      <c r="AI63" s="2379"/>
      <c r="AJ63" s="2379"/>
      <c r="AK63" s="2379"/>
      <c r="AL63" s="2379"/>
      <c r="AM63" s="2379"/>
    </row>
    <row customHeight="1" ht="27.75" hidden="1">
      <c r="O64" s="701"/>
      <c r="T64" s="2379" t="s">
        <v>1529</v>
      </c>
      <c r="U64" s="2379"/>
      <c r="V64" s="2379"/>
      <c r="W64" s="2379"/>
      <c r="X64" s="2379"/>
      <c r="Y64" s="2379"/>
      <c r="Z64" s="2379"/>
      <c r="AA64" s="2379"/>
      <c r="AB64" s="2379"/>
      <c r="AC64" s="2379"/>
      <c r="AD64" s="2379"/>
      <c r="AE64" s="2379"/>
      <c r="AF64" s="2379"/>
      <c r="AG64" s="2379"/>
      <c r="AH64" s="2379"/>
      <c r="AI64" s="2379"/>
      <c r="AJ64" s="2379"/>
      <c r="AK64" s="2379"/>
      <c r="AL64" s="2379"/>
      <c r="AM64" s="2379"/>
    </row>
    <row customHeight="1" ht="33.75" hidden="1">
      <c r="T65" s="2379" t="s">
        <v>1530</v>
      </c>
      <c r="U65" s="2379"/>
      <c r="V65" s="2379"/>
      <c r="W65" s="2379"/>
      <c r="X65" s="2379"/>
      <c r="Y65" s="2379"/>
      <c r="Z65" s="2379"/>
      <c r="AA65" s="2379"/>
      <c r="AB65" s="2379"/>
      <c r="AC65" s="2379"/>
      <c r="AD65" s="2379"/>
      <c r="AE65" s="2379"/>
      <c r="AF65" s="2379"/>
      <c r="AG65" s="2379"/>
      <c r="AH65" s="2379"/>
      <c r="AI65" s="2379"/>
      <c r="AJ65" s="2379"/>
      <c r="AK65" s="2379"/>
      <c r="AL65" s="2379"/>
      <c r="AM65" s="2379"/>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67572C4-269F-E3D1-D591-A962F491D2AE}"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28" width="3.7109375" hidden="1" customWidth="1"/>
    <col min="17" max="18" style="6619" width="3.7109375" customWidth="1"/>
    <col min="19" max="19" style="6620" width="12.7109375" customWidth="1"/>
    <col min="20" max="20" style="6104" width="32.00390625" customWidth="1"/>
    <col min="21" max="21" style="6104" width="0.140625" customWidth="1"/>
    <col min="22" max="22" style="6104" width="24.7109375" hidden="1" customWidth="1"/>
    <col min="23" max="23" style="6104" width="0.140625" hidden="1" customWidth="1"/>
    <col min="24" max="25" style="6104" width="24.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0" style="6104" width="24.7109375" customWidth="1"/>
    <col min="31" max="31" style="6104" width="0.140625" customWidth="1"/>
    <col min="32" max="33" style="6104" width="24.7109375" customWidth="1"/>
    <col min="34" max="34" style="6104" width="11.7109375" customWidth="1"/>
    <col min="35" max="35" style="6104" width="3.7109375" customWidth="1"/>
    <col min="36" max="36" style="6104" width="11.7109375" customWidth="1"/>
    <col min="37" max="37" style="6104" width="8.57421875" hidden="1" customWidth="1"/>
    <col min="38" max="38" style="6104" width="4.7109375" customWidth="1"/>
    <col min="39" max="39" style="6104" width="115.7109375" customWidth="1"/>
    <col min="40" max="41" style="6608" width="10.57421875"/>
    <col min="42" max="42" style="6608" width="11.140625" customWidth="1"/>
    <col min="43" max="44" style="6608" width="10.57421875"/>
  </cols>
  <sheetData>
    <row customHeight="1" ht="14.25" hidden="1">
      <c r="Y1" s="475"/>
      <c r="Z1" s="475"/>
      <c r="AG1" s="475"/>
      <c r="AH1" s="475"/>
    </row>
    <row customHeight="1" ht="21" hidden="1">
      <c r="A2" s="1586"/>
      <c r="B2" s="1586"/>
      <c r="C2" s="1586"/>
      <c r="D2" s="1586"/>
      <c r="E2" s="2351">
        <v>1</v>
      </c>
      <c r="F2" s="1586"/>
      <c r="G2" s="1586"/>
      <c r="H2" s="1586"/>
      <c r="I2" s="1586"/>
      <c r="J2" s="1586"/>
      <c r="K2" s="1586"/>
      <c r="L2" s="1587"/>
      <c r="M2" s="1588"/>
      <c r="N2" s="1588"/>
      <c r="O2" s="1588"/>
      <c r="P2" s="509"/>
      <c r="Q2" s="508"/>
      <c r="R2" s="503"/>
      <c r="S2" s="1558">
        <f>INDEX(PT_DIFFERENTIATION_NUM_NTAR,MATCH(A2,PT_DIFFERENTIATION_NTAR_ID,0))</f>
      </c>
      <c r="T2" s="435" t="s">
        <v>132</v>
      </c>
      <c r="U2" s="437"/>
      <c r="V2" s="3964"/>
      <c r="W2" s="3965"/>
      <c r="X2" s="3965"/>
      <c r="Y2" s="3965"/>
      <c r="Z2" s="3965"/>
      <c r="AA2" s="3965"/>
      <c r="AB2" s="3965"/>
      <c r="AC2" s="3966"/>
      <c r="AD2" s="3964">
        <f>INDEX(PT_DIFFERENTIATION_NTAR,MATCH(A2,PT_DIFFERENTIATION_NTAR_ID,0))</f>
      </c>
      <c r="AE2" s="3965"/>
      <c r="AF2" s="3965"/>
      <c r="AG2" s="3965"/>
      <c r="AH2" s="3965"/>
      <c r="AI2" s="3965"/>
      <c r="AJ2" s="3965"/>
      <c r="AK2" s="3965"/>
      <c r="AL2" s="3966"/>
      <c r="AM2" s="1473" t="s">
        <v>1468</v>
      </c>
      <c r="AO2" s="664"/>
      <c r="AP2" s="664" t="str">
        <f>IF(T2="","",T2)</f>
        <v>Наименование тарифа</v>
      </c>
      <c r="AQ2" s="664"/>
      <c r="AR2" s="664"/>
    </row>
    <row customHeight="1" ht="21" hidden="1">
      <c r="A3" s="1586"/>
      <c r="B3" s="1586"/>
      <c r="C3" s="1586"/>
      <c r="D3" s="1586"/>
      <c r="E3" s="2352"/>
      <c r="F3" s="2351">
        <v>1</v>
      </c>
      <c r="G3" s="1586"/>
      <c r="H3" s="1586"/>
      <c r="I3" s="1586"/>
      <c r="J3" s="1586"/>
      <c r="K3" s="1586"/>
      <c r="L3" s="1587"/>
      <c r="M3" s="1588"/>
      <c r="N3" s="1588"/>
      <c r="O3" s="1588"/>
      <c r="P3" s="1554"/>
      <c r="Q3" s="500"/>
      <c r="R3" s="501"/>
      <c r="S3" s="1558">
        <f>INDEX(PT_DIFFERENTIATION_NUM_TER,MATCH(B3,PT_DIFFERENTIATION_TER_ID,0))</f>
      </c>
      <c r="T3" s="447" t="s">
        <v>1469</v>
      </c>
      <c r="U3" s="437"/>
      <c r="V3" s="3964"/>
      <c r="W3" s="3965"/>
      <c r="X3" s="3965"/>
      <c r="Y3" s="3965"/>
      <c r="Z3" s="3965"/>
      <c r="AA3" s="3965"/>
      <c r="AB3" s="3965"/>
      <c r="AC3" s="3966"/>
      <c r="AD3" s="3964">
        <f>INDEX(PT_DIFFERENTIATION_TER,MATCH(B3,PT_DIFFERENTIATION_TER_ID,0))</f>
      </c>
      <c r="AE3" s="3965"/>
      <c r="AF3" s="3965"/>
      <c r="AG3" s="3965"/>
      <c r="AH3" s="3965"/>
      <c r="AI3" s="3965"/>
      <c r="AJ3" s="3965"/>
      <c r="AK3" s="3965"/>
      <c r="AL3" s="3966"/>
      <c r="AM3" s="1473" t="s">
        <v>1470</v>
      </c>
      <c r="AO3" s="664"/>
      <c r="AP3" s="664" t="str">
        <f>IF(T3="","",T3)</f>
        <v>Территория действия тарифа</v>
      </c>
      <c r="AQ3" s="664"/>
      <c r="AR3" s="664"/>
    </row>
    <row customHeight="1" ht="23.25" hidden="1">
      <c r="A4" s="1586"/>
      <c r="B4" s="1586"/>
      <c r="C4" s="1586"/>
      <c r="D4" s="1586"/>
      <c r="E4" s="2352"/>
      <c r="F4" s="2352"/>
      <c r="G4" s="2351">
        <v>1</v>
      </c>
      <c r="H4" s="1586"/>
      <c r="I4" s="1586"/>
      <c r="J4" s="1586"/>
      <c r="K4" s="1586"/>
      <c r="L4" s="1587"/>
      <c r="M4" s="1588"/>
      <c r="N4" s="1588"/>
      <c r="O4" s="1588"/>
      <c r="P4" s="502"/>
      <c r="Q4" s="500"/>
      <c r="R4" s="501"/>
      <c r="S4" s="1558">
        <f>INDEX(PT_DIFFERENTIATION_NUM_CS,MATCH(C4,PT_DIFFERENTIATION_CS_ID,0))</f>
      </c>
      <c r="T4" s="448" t="s">
        <v>1471</v>
      </c>
      <c r="U4" s="437"/>
      <c r="V4" s="3964"/>
      <c r="W4" s="3965"/>
      <c r="X4" s="3965"/>
      <c r="Y4" s="3965"/>
      <c r="Z4" s="3965"/>
      <c r="AA4" s="3965"/>
      <c r="AB4" s="3965"/>
      <c r="AC4" s="3966"/>
      <c r="AD4" s="3964">
        <f>INDEX(PT_DIFFERENTIATION_CS,MATCH(C4,PT_DIFFERENTIATION_CS_ID,0))</f>
      </c>
      <c r="AE4" s="3965"/>
      <c r="AF4" s="3965"/>
      <c r="AG4" s="3965"/>
      <c r="AH4" s="3965"/>
      <c r="AI4" s="3965"/>
      <c r="AJ4" s="3965"/>
      <c r="AK4" s="3965"/>
      <c r="AL4" s="3966"/>
      <c r="AM4" s="1473" t="s">
        <v>1472</v>
      </c>
      <c r="AO4" s="664"/>
      <c r="AP4" s="664" t="str">
        <f>IF(T4="","",T4)</f>
        <v>Наименование системы теплоснабжения </v>
      </c>
      <c r="AQ4" s="664"/>
      <c r="AR4" s="664"/>
    </row>
    <row customHeight="1" ht="21" hidden="1">
      <c r="A5" s="1586"/>
      <c r="B5" s="1586"/>
      <c r="C5" s="1586"/>
      <c r="D5" s="1586"/>
      <c r="E5" s="2352"/>
      <c r="F5" s="2352"/>
      <c r="G5" s="2352"/>
      <c r="H5" s="2351">
        <v>1</v>
      </c>
      <c r="I5" s="1586"/>
      <c r="J5" s="1586"/>
      <c r="K5" s="1586"/>
      <c r="L5" s="1587"/>
      <c r="M5" s="1588"/>
      <c r="N5" s="1588"/>
      <c r="O5" s="1588"/>
      <c r="P5" s="502"/>
      <c r="Q5" s="500"/>
      <c r="R5" s="501"/>
      <c r="S5" s="1558">
        <f>INDEX(PT_DIFFERENTIATION_NUM_IST_TE,MATCH(D5,PT_DIFFERENTIATION_IST_TE_ID,0))</f>
      </c>
      <c r="T5" s="449" t="s">
        <v>1473</v>
      </c>
      <c r="U5" s="437"/>
      <c r="V5" s="3964"/>
      <c r="W5" s="3965"/>
      <c r="X5" s="3965"/>
      <c r="Y5" s="3965"/>
      <c r="Z5" s="3965"/>
      <c r="AA5" s="3965"/>
      <c r="AB5" s="3965"/>
      <c r="AC5" s="3966"/>
      <c r="AD5" s="3964">
        <f>INDEX(PT_DIFFERENTIATION_IST_TE,MATCH(D5,PT_DIFFERENTIATION_IST_TE_ID,0))</f>
      </c>
      <c r="AE5" s="3965"/>
      <c r="AF5" s="3965"/>
      <c r="AG5" s="3965"/>
      <c r="AH5" s="3965"/>
      <c r="AI5" s="3965"/>
      <c r="AJ5" s="3965"/>
      <c r="AK5" s="3965"/>
      <c r="AL5" s="3966"/>
      <c r="AM5" s="1473" t="s">
        <v>1474</v>
      </c>
      <c r="AO5" s="664"/>
      <c r="AP5" s="664" t="str">
        <f>IF(T5="","",T5)</f>
        <v>Источник тепловой энергии  </v>
      </c>
      <c r="AQ5" s="664"/>
      <c r="AR5" s="664"/>
    </row>
    <row customHeight="1" ht="14.25" hidden="1">
      <c r="A6" s="1586"/>
      <c r="B6" s="1586"/>
      <c r="C6" s="1586"/>
      <c r="D6" s="1586"/>
      <c r="E6" s="2352"/>
      <c r="F6" s="2352"/>
      <c r="G6" s="2352"/>
      <c r="H6" s="2352"/>
      <c r="I6" s="2380">
        <f>S5&amp;".1"</f>
      </c>
      <c r="J6" s="1586"/>
      <c r="K6" s="1586"/>
      <c r="L6" s="1587" t="s">
        <v>1475</v>
      </c>
      <c r="M6" s="701"/>
      <c r="P6" s="2350">
        <v>1</v>
      </c>
      <c r="Q6" s="1553"/>
      <c r="R6" s="504"/>
      <c r="S6" s="1227"/>
      <c r="T6" s="1606"/>
      <c r="U6" s="1607"/>
      <c r="V6" s="2390"/>
      <c r="W6" s="2391"/>
      <c r="X6" s="2391"/>
      <c r="Y6" s="2391"/>
      <c r="Z6" s="2391"/>
      <c r="AA6" s="2391"/>
      <c r="AB6" s="2391"/>
      <c r="AC6" s="2392"/>
      <c r="AD6" s="2390"/>
      <c r="AE6" s="2391"/>
      <c r="AF6" s="2391"/>
      <c r="AG6" s="2391"/>
      <c r="AH6" s="2391"/>
      <c r="AI6" s="2391"/>
      <c r="AJ6" s="2391"/>
      <c r="AK6" s="2391"/>
      <c r="AL6" s="2392"/>
      <c r="AM6" s="1608"/>
      <c r="AO6" s="664"/>
      <c r="AP6" s="664" t="str">
        <f>IF(T6="","",T6)</f>
        <v/>
      </c>
      <c r="AQ6" s="664"/>
      <c r="AR6" s="664"/>
    </row>
    <row customHeight="1" ht="21" hidden="1">
      <c r="A7" s="1586"/>
      <c r="B7" s="1586"/>
      <c r="C7" s="1586"/>
      <c r="D7" s="1586"/>
      <c r="E7" s="2352"/>
      <c r="F7" s="2352"/>
      <c r="G7" s="2352"/>
      <c r="H7" s="2352"/>
      <c r="I7" s="2381"/>
      <c r="J7" s="2349">
        <f>I6&amp;".1"</f>
      </c>
      <c r="K7" s="1586"/>
      <c r="L7" s="1587" t="s">
        <v>1478</v>
      </c>
      <c r="M7" s="701"/>
      <c r="N7" s="1589"/>
      <c r="P7" s="2350"/>
      <c r="Q7" s="2350">
        <v>1</v>
      </c>
      <c r="R7" s="505"/>
      <c r="S7" s="1558">
        <f>$J7</f>
      </c>
      <c r="T7" s="423" t="s">
        <v>1479</v>
      </c>
      <c r="U7" s="437"/>
      <c r="V7" s="2338"/>
      <c r="W7" s="2339"/>
      <c r="X7" s="2339"/>
      <c r="Y7" s="2339"/>
      <c r="Z7" s="2339"/>
      <c r="AA7" s="2339"/>
      <c r="AB7" s="2339"/>
      <c r="AC7" s="2340"/>
      <c r="AD7" s="2338"/>
      <c r="AE7" s="2339"/>
      <c r="AF7" s="2339"/>
      <c r="AG7" s="2339"/>
      <c r="AH7" s="2339"/>
      <c r="AI7" s="2339"/>
      <c r="AJ7" s="2339"/>
      <c r="AK7" s="2339"/>
      <c r="AL7" s="2340"/>
      <c r="AM7" s="1473" t="s">
        <v>1480</v>
      </c>
      <c r="AO7" s="664"/>
      <c r="AP7" s="664" t="str">
        <f>IF(T7="","",T7)</f>
        <v>Группа потребителей</v>
      </c>
      <c r="AQ7" s="664"/>
      <c r="AR7" s="664"/>
    </row>
    <row customHeight="1" ht="21" hidden="1">
      <c r="A8" s="1586"/>
      <c r="B8" s="1586"/>
      <c r="C8" s="1586"/>
      <c r="D8" s="1586"/>
      <c r="E8" s="2352"/>
      <c r="F8" s="2352"/>
      <c r="G8" s="2352"/>
      <c r="H8" s="2352"/>
      <c r="I8" s="2381"/>
      <c r="J8" s="2382"/>
      <c r="K8" s="2349">
        <f>J7&amp;".1"</f>
      </c>
      <c r="L8" s="1587" t="s">
        <v>1481</v>
      </c>
      <c r="M8" s="701"/>
      <c r="N8" s="1589"/>
      <c r="O8" s="1589"/>
      <c r="P8" s="2350"/>
      <c r="Q8" s="2350"/>
      <c r="R8" s="505">
        <v>1</v>
      </c>
      <c r="S8" s="1558">
        <f>$K8</f>
      </c>
      <c r="T8" s="1569"/>
      <c r="U8" s="437"/>
      <c r="V8" s="3992"/>
      <c r="W8" s="3993"/>
      <c r="X8" s="3992"/>
      <c r="Y8" s="3994"/>
      <c r="Z8" s="2357"/>
      <c r="AA8" s="2069" t="s">
        <v>66</v>
      </c>
      <c r="AB8" s="2357"/>
      <c r="AC8" s="2069" t="s">
        <v>66</v>
      </c>
      <c r="AD8" s="3992"/>
      <c r="AE8" s="3993"/>
      <c r="AF8" s="3992"/>
      <c r="AG8" s="3994"/>
      <c r="AH8" s="2357"/>
      <c r="AI8" s="2069" t="s">
        <v>66</v>
      </c>
      <c r="AJ8" s="2357"/>
      <c r="AK8" s="2069" t="s">
        <v>66</v>
      </c>
      <c r="AL8" s="3993"/>
      <c r="AM8" s="2346" t="s">
        <v>1482</v>
      </c>
      <c r="AN8" s="675">
        <f>STRCHECKDATE(V9:AL9)</f>
      </c>
      <c r="AO8" s="664"/>
      <c r="AP8" s="664" t="str">
        <f>IF(T8="","",T8)</f>
        <v/>
      </c>
      <c r="AQ8" s="664"/>
      <c r="AR8" s="664"/>
    </row>
    <row customHeight="1" ht="0.75" hidden="1">
      <c r="A9" s="1586"/>
      <c r="B9" s="1586"/>
      <c r="C9" s="1586"/>
      <c r="D9" s="1586"/>
      <c r="E9" s="2352"/>
      <c r="F9" s="2352"/>
      <c r="G9" s="2352"/>
      <c r="H9" s="2352"/>
      <c r="I9" s="2381"/>
      <c r="J9" s="2382"/>
      <c r="K9" s="2349"/>
      <c r="L9" s="1587"/>
      <c r="M9" s="701"/>
      <c r="N9" s="1589"/>
      <c r="O9" s="1589"/>
      <c r="P9" s="2350"/>
      <c r="Q9" s="2350"/>
      <c r="R9" s="505"/>
      <c r="S9" s="1564"/>
      <c r="T9" s="437"/>
      <c r="U9" s="437"/>
      <c r="V9" s="3993"/>
      <c r="W9" s="3993"/>
      <c r="X9" s="3993"/>
      <c r="Y9" s="3998" t="str">
        <f>Z8&amp;"-"&amp;AB8</f>
        <v>-</v>
      </c>
      <c r="Z9" s="2358"/>
      <c r="AA9" s="2069"/>
      <c r="AB9" s="2358"/>
      <c r="AC9" s="2069"/>
      <c r="AD9" s="3993"/>
      <c r="AE9" s="3993"/>
      <c r="AF9" s="3993"/>
      <c r="AG9" s="3998" t="str">
        <f>AH8&amp;"-"&amp;AJ8</f>
        <v>-</v>
      </c>
      <c r="AH9" s="2358"/>
      <c r="AI9" s="2069"/>
      <c r="AJ9" s="2358"/>
      <c r="AK9" s="2069"/>
      <c r="AL9" s="3993"/>
      <c r="AM9" s="2347"/>
      <c r="AO9" s="664"/>
      <c r="AP9" s="664" t="str">
        <f>IF(T9="","",T9)</f>
        <v/>
      </c>
      <c r="AQ9" s="664"/>
      <c r="AR9" s="664"/>
    </row>
    <row customHeight="1" ht="15" hidden="1">
      <c r="A10" s="1586"/>
      <c r="B10" s="1586"/>
      <c r="C10" s="1586"/>
      <c r="D10" s="1586"/>
      <c r="E10" s="2352"/>
      <c r="F10" s="2352"/>
      <c r="G10" s="2352"/>
      <c r="H10" s="2352"/>
      <c r="I10" s="2381"/>
      <c r="J10" s="2349"/>
      <c r="K10" s="1586"/>
      <c r="L10" s="1587"/>
      <c r="M10" s="701"/>
      <c r="N10" s="1589"/>
      <c r="P10" s="2350"/>
      <c r="Q10" s="2350"/>
      <c r="R10" s="504"/>
      <c r="S10" s="1495"/>
      <c r="T10" s="424" t="s">
        <v>1483</v>
      </c>
      <c r="U10" s="519"/>
      <c r="V10" s="519"/>
      <c r="W10" s="519"/>
      <c r="X10" s="519"/>
      <c r="Y10" s="519"/>
      <c r="Z10" s="519"/>
      <c r="AA10" s="519"/>
      <c r="AB10" s="519"/>
      <c r="AC10" s="519"/>
      <c r="AD10" s="519"/>
      <c r="AE10" s="519"/>
      <c r="AF10" s="519"/>
      <c r="AG10" s="519"/>
      <c r="AH10" s="519"/>
      <c r="AI10" s="519"/>
      <c r="AJ10" s="519"/>
      <c r="AK10" s="519"/>
      <c r="AL10" s="471"/>
      <c r="AM10" s="2348"/>
      <c r="AO10" s="664"/>
      <c r="AP10" s="664" t="str">
        <f>IF(T10="","",T10)</f>
        <v>Добавить вид теплоносителя (параметры теплоносителя)</v>
      </c>
      <c r="AQ10" s="664"/>
      <c r="AR10" s="664"/>
    </row>
    <row customHeight="1" ht="15" hidden="1">
      <c r="A11" s="1586"/>
      <c r="B11" s="1586"/>
      <c r="C11" s="1586"/>
      <c r="D11" s="1586"/>
      <c r="E11" s="2352"/>
      <c r="F11" s="2352"/>
      <c r="G11" s="2352"/>
      <c r="H11" s="2352"/>
      <c r="I11" s="2380"/>
      <c r="J11" s="1586"/>
      <c r="K11" s="1586"/>
      <c r="L11" s="1587"/>
      <c r="M11" s="701"/>
      <c r="P11" s="2350"/>
      <c r="Q11" s="1553"/>
      <c r="R11" s="504"/>
      <c r="S11" s="1495"/>
      <c r="T11" s="516" t="s">
        <v>1484</v>
      </c>
      <c r="U11" s="519"/>
      <c r="V11" s="519"/>
      <c r="W11" s="519"/>
      <c r="X11" s="519"/>
      <c r="Y11" s="519"/>
      <c r="Z11" s="519"/>
      <c r="AA11" s="519"/>
      <c r="AB11" s="519"/>
      <c r="AC11" s="518"/>
      <c r="AD11" s="519"/>
      <c r="AE11" s="519"/>
      <c r="AF11" s="519"/>
      <c r="AG11" s="519"/>
      <c r="AH11" s="519"/>
      <c r="AI11" s="519"/>
      <c r="AJ11" s="519"/>
      <c r="AK11" s="518"/>
      <c r="AL11" s="519"/>
      <c r="AM11" s="440"/>
      <c r="AO11" s="664"/>
      <c r="AP11" s="664" t="str">
        <f>IF(T11="","",T11)</f>
        <v>Добавить группу потребителей</v>
      </c>
      <c r="AQ11" s="664"/>
      <c r="AR11" s="664"/>
    </row>
    <row customHeight="1" ht="14.25" hidden="1">
      <c r="A12" s="1586"/>
      <c r="B12" s="1586"/>
      <c r="C12" s="1586"/>
      <c r="D12" s="1586"/>
      <c r="E12" s="2352"/>
      <c r="F12" s="2352"/>
      <c r="G12" s="2352"/>
      <c r="H12" s="2351"/>
      <c r="I12" s="1586"/>
      <c r="J12" s="1586"/>
      <c r="K12" s="1586"/>
      <c r="L12" s="1587"/>
      <c r="M12" s="1588"/>
      <c r="N12" s="1588"/>
      <c r="O12" s="701"/>
      <c r="P12" s="508"/>
      <c r="Q12" s="528"/>
      <c r="R12" s="503"/>
      <c r="S12" s="1609"/>
      <c r="T12" s="1610"/>
      <c r="U12" s="1611"/>
      <c r="V12" s="1611"/>
      <c r="W12" s="1611"/>
      <c r="X12" s="1611"/>
      <c r="Y12" s="1611"/>
      <c r="Z12" s="1611"/>
      <c r="AA12" s="1611"/>
      <c r="AB12" s="1611"/>
      <c r="AC12" s="1611"/>
      <c r="AD12" s="1611"/>
      <c r="AE12" s="1611"/>
      <c r="AF12" s="1611"/>
      <c r="AG12" s="1611"/>
      <c r="AH12" s="1611"/>
      <c r="AI12" s="1611"/>
      <c r="AJ12" s="1611"/>
      <c r="AK12" s="1611"/>
      <c r="AL12" s="1611"/>
      <c r="AM12" s="1612"/>
      <c r="AO12" s="664"/>
      <c r="AP12" s="664" t="str">
        <f>IF(T12="","",T12)</f>
        <v/>
      </c>
      <c r="AQ12" s="664"/>
      <c r="AR12" s="664"/>
    </row>
    <row s="6520" customFormat="1" customHeight="1" ht="0.75" hidden="1">
      <c r="A13" s="1536"/>
      <c r="B13" s="1536"/>
      <c r="C13" s="1536"/>
      <c r="D13" s="1536"/>
      <c r="E13" s="2352"/>
      <c r="F13" s="2352"/>
      <c r="G13" s="2351"/>
      <c r="H13" s="1536"/>
      <c r="I13" s="1536"/>
      <c r="J13" s="1536"/>
      <c r="K13" s="1536"/>
      <c r="L13" s="1561"/>
      <c r="M13" s="1537"/>
      <c r="N13" s="1537"/>
      <c r="P13" s="1538"/>
      <c r="Q13" s="1539"/>
      <c r="R13" s="1538"/>
      <c r="S13" s="1540"/>
      <c r="T13" s="1541" t="s">
        <v>1444</v>
      </c>
      <c r="U13" s="1542"/>
      <c r="V13" s="1542"/>
      <c r="W13" s="1542"/>
      <c r="X13" s="1542"/>
      <c r="Y13" s="1542"/>
      <c r="Z13" s="1542"/>
      <c r="AA13" s="1542"/>
      <c r="AB13" s="1542"/>
      <c r="AC13" s="1542"/>
      <c r="AD13" s="1542"/>
      <c r="AE13" s="1542"/>
      <c r="AF13" s="1542"/>
      <c r="AG13" s="1542"/>
      <c r="AH13" s="1542"/>
      <c r="AI13" s="1542"/>
      <c r="AJ13" s="1542"/>
      <c r="AK13" s="1542"/>
      <c r="AL13" s="1542"/>
      <c r="AM13" s="1542"/>
      <c r="AO13" s="956"/>
      <c r="AP13" s="956" t="str">
        <f>IF(T13="","",T13)</f>
        <v>Добавить источник для дифференциации</v>
      </c>
      <c r="AQ13" s="956"/>
      <c r="AR13" s="956"/>
    </row>
    <row s="6520" customFormat="1" customHeight="1" ht="0.75" hidden="1">
      <c r="A14" s="1536"/>
      <c r="B14" s="1536"/>
      <c r="C14" s="1536"/>
      <c r="D14" s="1536"/>
      <c r="E14" s="2352"/>
      <c r="F14" s="2351"/>
      <c r="G14" s="1536"/>
      <c r="H14" s="1536"/>
      <c r="I14" s="1536"/>
      <c r="J14" s="1536"/>
      <c r="K14" s="1536"/>
      <c r="L14" s="1561"/>
      <c r="M14" s="1543"/>
      <c r="N14" s="1543"/>
      <c r="P14" s="1538"/>
      <c r="Q14" s="1539"/>
      <c r="R14" s="1538"/>
      <c r="S14" s="1544"/>
      <c r="T14" s="1545" t="s">
        <v>1445</v>
      </c>
      <c r="U14" s="1546"/>
      <c r="V14" s="1546"/>
      <c r="W14" s="1546"/>
      <c r="X14" s="1546"/>
      <c r="Y14" s="1546"/>
      <c r="Z14" s="1546"/>
      <c r="AA14" s="1546"/>
      <c r="AB14" s="1546"/>
      <c r="AC14" s="1546"/>
      <c r="AD14" s="1546"/>
      <c r="AE14" s="1546"/>
      <c r="AF14" s="1546"/>
      <c r="AG14" s="1546"/>
      <c r="AH14" s="1546"/>
      <c r="AI14" s="1546"/>
      <c r="AJ14" s="1546"/>
      <c r="AK14" s="1546"/>
      <c r="AL14" s="1546"/>
      <c r="AM14" s="1546"/>
      <c r="AO14" s="956"/>
      <c r="AP14" s="956" t="str">
        <f>IF(T14="","",T14)</f>
        <v>Добавить централизованную систему для дифференциации</v>
      </c>
      <c r="AQ14" s="956"/>
      <c r="AR14" s="956"/>
    </row>
    <row s="6520" customFormat="1" customHeight="1" ht="0.75" hidden="1">
      <c r="A15" s="1536"/>
      <c r="B15" s="1536"/>
      <c r="C15" s="1536"/>
      <c r="D15" s="1536"/>
      <c r="E15" s="2351"/>
      <c r="F15" s="1536"/>
      <c r="G15" s="1536"/>
      <c r="H15" s="1536"/>
      <c r="I15" s="1536"/>
      <c r="J15" s="1536"/>
      <c r="K15" s="1536"/>
      <c r="L15" s="1561"/>
      <c r="M15" s="1543"/>
      <c r="N15" s="1543"/>
      <c r="P15" s="1538"/>
      <c r="Q15" s="1539"/>
      <c r="R15" s="1538"/>
      <c r="S15" s="1544"/>
      <c r="T15" s="1547" t="s">
        <v>1446</v>
      </c>
      <c r="U15" s="1546"/>
      <c r="V15" s="1546"/>
      <c r="W15" s="1546"/>
      <c r="X15" s="1546"/>
      <c r="Y15" s="1546"/>
      <c r="Z15" s="1546"/>
      <c r="AA15" s="1546"/>
      <c r="AB15" s="1546"/>
      <c r="AC15" s="1546"/>
      <c r="AD15" s="1546"/>
      <c r="AE15" s="1546"/>
      <c r="AF15" s="1546"/>
      <c r="AG15" s="1546"/>
      <c r="AH15" s="1546"/>
      <c r="AI15" s="1546"/>
      <c r="AJ15" s="1546"/>
      <c r="AK15" s="1546"/>
      <c r="AL15" s="1546"/>
      <c r="AM15" s="1546"/>
      <c r="AO15" s="956"/>
      <c r="AP15" s="956" t="str">
        <f>IF(T15="","",T15)</f>
        <v>Добавить территорию для дифференциации</v>
      </c>
      <c r="AQ15" s="956"/>
      <c r="AR15" s="956"/>
    </row>
    <row customHeight="1" ht="14.25" hidden="1">
      <c r="AC16" s="475"/>
      <c r="AK16" s="475"/>
    </row>
    <row customHeight="1" ht="14.25" hidden="1">
      <c r="AD17" s="4025"/>
      <c r="AE17" s="4025"/>
      <c r="AF17" s="4025"/>
      <c r="AG17" s="4026"/>
      <c r="AH17" s="2359"/>
      <c r="AI17" s="2360" t="s">
        <v>66</v>
      </c>
      <c r="AJ17" s="2359"/>
      <c r="AK17" s="2360" t="s">
        <v>66</v>
      </c>
    </row>
    <row customHeight="1" ht="14.25" hidden="1">
      <c r="AD18" s="4025"/>
      <c r="AE18" s="4025"/>
      <c r="AF18" s="4025"/>
      <c r="AG18" s="3998" t="str">
        <f>AH17&amp;"-"&amp;AJ17</f>
        <v>-</v>
      </c>
      <c r="AH18" s="2360"/>
      <c r="AI18" s="2360"/>
      <c r="AJ18" s="2360"/>
      <c r="AK18" s="2360"/>
    </row>
    <row customHeight="1" ht="14.25" hidden="1">
      <c r="AK19" s="475"/>
    </row>
    <row s="6539" customFormat="1" customHeight="1" ht="22.5" hidden="1">
      <c r="L20" s="1551"/>
      <c r="M20" s="1585"/>
      <c r="N20" s="1585"/>
      <c r="O20" s="1590" t="s">
        <v>1486</v>
      </c>
      <c r="P20" s="1585"/>
      <c r="Q20" s="1594"/>
      <c r="R20" s="1594"/>
      <c r="S20" s="894"/>
      <c r="Z20" s="1590"/>
      <c r="AB20" s="1590"/>
      <c r="AC20" s="1589"/>
      <c r="AH20" s="1590"/>
      <c r="AJ20" s="1590"/>
      <c r="AK20" s="1589"/>
      <c r="AN20" s="675"/>
      <c r="AO20" s="675"/>
      <c r="AP20" s="675"/>
      <c r="AQ20" s="675"/>
      <c r="AR20" s="675"/>
    </row>
    <row s="6539" customFormat="1" customHeight="1" ht="14.25" hidden="1">
      <c r="L21" s="1551"/>
      <c r="M21" s="1585"/>
      <c r="N21" s="1585"/>
      <c r="O21" s="1585"/>
      <c r="P21" s="1585"/>
      <c r="Q21" s="1594"/>
      <c r="R21" s="1594"/>
      <c r="S21" s="894"/>
      <c r="AC21" s="1589"/>
      <c r="AK21" s="1589"/>
      <c r="AN21" s="675"/>
      <c r="AO21" s="675"/>
      <c r="AP21" s="675"/>
      <c r="AQ21" s="675"/>
      <c r="AR21" s="675"/>
    </row>
    <row s="6539" customFormat="1" customHeight="1" ht="14.25" hidden="1">
      <c r="L22" s="1551"/>
      <c r="M22" s="1585"/>
      <c r="N22" s="1585"/>
      <c r="O22" s="1587" t="s">
        <v>1487</v>
      </c>
      <c r="P22" s="1585"/>
      <c r="Q22" s="1594"/>
      <c r="R22" s="1594"/>
      <c r="S22" s="894"/>
      <c r="T22" s="1348" t="s">
        <v>1488</v>
      </c>
      <c r="AA22" s="320" t="s">
        <v>1489</v>
      </c>
      <c r="AC22" s="320" t="s">
        <v>1490</v>
      </c>
      <c r="AD22" s="1348" t="s">
        <v>1488</v>
      </c>
      <c r="AI22" s="320" t="s">
        <v>1491</v>
      </c>
      <c r="AK22" s="320" t="s">
        <v>1490</v>
      </c>
      <c r="AN22" s="675"/>
      <c r="AO22" s="675"/>
      <c r="AP22" s="675"/>
      <c r="AQ22" s="675"/>
      <c r="AR22" s="675"/>
    </row>
    <row customHeight="1" ht="14.25" hidden="1">
      <c r="O23" s="1587"/>
    </row>
    <row customHeight="1" ht="14.25" hidden="1">
      <c r="O24" s="1587"/>
    </row>
    <row customHeight="1" ht="14.25">
      <c r="Q25" s="529"/>
      <c r="R25" s="529"/>
      <c r="S25" s="1492"/>
      <c r="T25" s="513"/>
      <c r="U25" s="513"/>
      <c r="V25" s="673"/>
      <c r="W25" s="673"/>
      <c r="X25" s="673"/>
      <c r="Y25" s="673"/>
      <c r="Z25" s="673"/>
      <c r="AA25" s="673"/>
      <c r="AB25" s="673"/>
      <c r="AC25" s="673"/>
      <c r="AD25" s="673"/>
      <c r="AE25" s="673"/>
      <c r="AF25" s="673"/>
      <c r="AG25" s="673"/>
      <c r="AH25" s="673"/>
      <c r="AI25" s="673"/>
      <c r="AJ25" s="673"/>
      <c r="AK25" s="673"/>
    </row>
    <row customHeight="1" ht="64.5">
      <c r="Q26" s="529"/>
      <c r="R26" s="529"/>
      <c r="S26" s="2341" t="str">
        <f>IF(TEMPLATE_GROUP="P",PT_P_FORM_HEAT_5_NAME_FORM,PT_R_FORM_HEAT_22_NAME_FORM)</f>
        <v>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41"/>
      <c r="U26" s="2341"/>
      <c r="V26" s="2341"/>
      <c r="W26" s="2341"/>
      <c r="X26" s="2341"/>
      <c r="Y26" s="2341"/>
      <c r="Z26" s="2341"/>
      <c r="AA26" s="2341"/>
      <c r="AB26" s="2341"/>
      <c r="AC26" s="2341"/>
      <c r="AD26" s="2341"/>
      <c r="AE26" s="2341"/>
      <c r="AF26" s="2341"/>
      <c r="AG26" s="2341"/>
      <c r="AH26" s="2341"/>
      <c r="AI26" s="2341"/>
      <c r="AJ26" s="2341"/>
      <c r="AK26" s="1448"/>
    </row>
    <row customHeight="1" ht="14.25">
      <c r="Q27" s="529"/>
      <c r="R27" s="529"/>
      <c r="S27"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7" s="2342"/>
      <c r="U27" s="2342"/>
      <c r="V27" s="2342"/>
      <c r="W27" s="2342"/>
      <c r="X27" s="2342"/>
      <c r="Y27" s="2342"/>
      <c r="Z27" s="2342"/>
      <c r="AA27" s="2342"/>
      <c r="AB27" s="2342"/>
      <c r="AC27" s="2342"/>
      <c r="AD27" s="2342"/>
      <c r="AE27" s="2342"/>
      <c r="AF27" s="2342"/>
      <c r="AG27" s="2342"/>
      <c r="AH27" s="2342"/>
      <c r="AI27" s="2342"/>
      <c r="AJ27" s="2342"/>
      <c r="AK27" s="1448"/>
    </row>
    <row customHeight="1" ht="14.25" hidden="1">
      <c r="Q28" s="529"/>
      <c r="R28" s="529"/>
      <c r="S28" s="1492"/>
      <c r="T28" s="513"/>
      <c r="U28" s="513"/>
      <c r="V28" s="468"/>
      <c r="W28" s="468"/>
      <c r="X28" s="468"/>
      <c r="Y28" s="468"/>
      <c r="Z28" s="468"/>
      <c r="AA28" s="468"/>
      <c r="AB28" s="468"/>
      <c r="AC28" s="468"/>
      <c r="AD28" s="468"/>
      <c r="AE28" s="468"/>
      <c r="AF28" s="468"/>
      <c r="AG28" s="468"/>
      <c r="AH28" s="468"/>
      <c r="AI28" s="468"/>
      <c r="AJ28" s="468"/>
      <c r="AK28" s="468"/>
      <c r="AL28" s="673"/>
    </row>
    <row s="6550" customFormat="1" customHeight="1" ht="25.5" hidden="1">
      <c r="A29" s="1591"/>
      <c r="B29" s="1591"/>
      <c r="C29" s="1591"/>
      <c r="D29" s="1591"/>
      <c r="E29" s="1591"/>
      <c r="F29" s="1591"/>
      <c r="G29" s="1591"/>
      <c r="H29" s="1591"/>
      <c r="I29" s="1591"/>
      <c r="J29" s="1591"/>
      <c r="K29" s="1591"/>
      <c r="L29" s="1592"/>
      <c r="M29" s="1591"/>
      <c r="N29" s="1591"/>
      <c r="O29" s="1591"/>
      <c r="S29" s="2343" t="s">
        <v>39</v>
      </c>
      <c r="T29" s="2343"/>
      <c r="U29" s="1595"/>
      <c r="V29" s="2344" t="str">
        <f>IF(TITLE_NAME_OR_PR_CHANGE="",IF(TITLE_NAME_OR_PR="","",TITLE_NAME_OR_PR),TITLE_NAME_OR_PR_CHANGE)</f>
        <v/>
      </c>
      <c r="W29" s="2344"/>
      <c r="X29" s="2344"/>
      <c r="Y29" s="2344"/>
      <c r="Z29" s="2344"/>
      <c r="AA29" s="2344"/>
      <c r="AB29" s="2344"/>
      <c r="AC29" s="474"/>
      <c r="AD29" s="2344" t="str">
        <f>IF(TITLE_NAME_OR_PR_CHANGE="",IF(TITLE_NAME_OR_PR="","",TITLE_NAME_OR_PR),TITLE_NAME_OR_PR_CHANGE)</f>
        <v/>
      </c>
      <c r="AE29" s="2344"/>
      <c r="AF29" s="2344"/>
      <c r="AG29" s="2344"/>
      <c r="AH29" s="2344"/>
      <c r="AI29" s="2344"/>
      <c r="AJ29" s="2344"/>
      <c r="AK29" s="474"/>
      <c r="AL29" s="474"/>
      <c r="AM29" s="417"/>
      <c r="AN29" s="520"/>
      <c r="AO29" s="520"/>
      <c r="AP29" s="520"/>
      <c r="AQ29" s="520"/>
      <c r="AR29" s="520"/>
    </row>
    <row s="6550" customFormat="1" customHeight="1" ht="18.75" hidden="1">
      <c r="A30" s="1591"/>
      <c r="B30" s="1591"/>
      <c r="C30" s="1591"/>
      <c r="D30" s="1591"/>
      <c r="E30" s="1591"/>
      <c r="F30" s="1591"/>
      <c r="G30" s="1591"/>
      <c r="H30" s="1591"/>
      <c r="I30" s="1591"/>
      <c r="J30" s="1591"/>
      <c r="K30" s="1591"/>
      <c r="L30" s="1592"/>
      <c r="M30" s="1591"/>
      <c r="N30" s="1591"/>
      <c r="O30" s="1591"/>
      <c r="S30" s="2343" t="s">
        <v>1492</v>
      </c>
      <c r="T30" s="2343"/>
      <c r="U30" s="1595"/>
      <c r="V30" s="2344" t="str">
        <f>IF(TITLE_DATE_CHANGE_PERIOD="",IF(TITLE_DATE_PR="","",TITLE_DATE_PR),TITLE_DATE_CHANGE_PERIOD)</f>
        <v/>
      </c>
      <c r="W30" s="2344"/>
      <c r="X30" s="2344"/>
      <c r="Y30" s="2344"/>
      <c r="Z30" s="2344"/>
      <c r="AA30" s="2344"/>
      <c r="AB30" s="2344"/>
      <c r="AC30" s="474"/>
      <c r="AD30" s="2344" t="str">
        <f>IF(TITLE_DATE_CHANGE_PERIOD="",IF(TITLE_DATE_PR="","",TITLE_DATE_PR),TITLE_DATE_CHANGE_PERIOD)</f>
        <v/>
      </c>
      <c r="AE30" s="2344"/>
      <c r="AF30" s="2344"/>
      <c r="AG30" s="2344"/>
      <c r="AH30" s="2344"/>
      <c r="AI30" s="2344"/>
      <c r="AJ30" s="2344"/>
      <c r="AK30" s="474"/>
      <c r="AL30" s="474"/>
      <c r="AM30" s="417"/>
      <c r="AN30" s="520"/>
      <c r="AO30" s="520"/>
      <c r="AP30" s="520"/>
      <c r="AQ30" s="520"/>
      <c r="AR30" s="520"/>
    </row>
    <row s="6550" customFormat="1" customHeight="1" ht="18.75" hidden="1">
      <c r="A31" s="1591"/>
      <c r="B31" s="1591"/>
      <c r="C31" s="1591"/>
      <c r="D31" s="1591"/>
      <c r="E31" s="1591"/>
      <c r="F31" s="1591"/>
      <c r="G31" s="1591"/>
      <c r="H31" s="1591"/>
      <c r="I31" s="1591"/>
      <c r="J31" s="1591"/>
      <c r="K31" s="1591"/>
      <c r="L31" s="1592"/>
      <c r="M31" s="1591"/>
      <c r="N31" s="1591"/>
      <c r="O31" s="1591"/>
      <c r="S31" s="2343" t="s">
        <v>1493</v>
      </c>
      <c r="T31" s="2343"/>
      <c r="U31" s="1595"/>
      <c r="V31" s="2344" t="str">
        <f>IF(TITLE_NUMBER_PR_CHANGE="",IF(TITLE_NUMBER_PR="","",TITLE_NUMBER_PR),TITLE_NUMBER_PR_CHANGE)</f>
        <v/>
      </c>
      <c r="W31" s="2344"/>
      <c r="X31" s="2344"/>
      <c r="Y31" s="2344"/>
      <c r="Z31" s="2344"/>
      <c r="AA31" s="2344"/>
      <c r="AB31" s="2344"/>
      <c r="AC31" s="474"/>
      <c r="AD31" s="2344" t="str">
        <f>IF(TITLE_NUMBER_PR_CHANGE="",IF(TITLE_NUMBER_PR="","",TITLE_NUMBER_PR),TITLE_NUMBER_PR_CHANGE)</f>
        <v/>
      </c>
      <c r="AE31" s="2344"/>
      <c r="AF31" s="2344"/>
      <c r="AG31" s="2344"/>
      <c r="AH31" s="2344"/>
      <c r="AI31" s="2344"/>
      <c r="AJ31" s="2344"/>
      <c r="AK31" s="474"/>
      <c r="AL31" s="474"/>
      <c r="AM31" s="417"/>
      <c r="AN31" s="520"/>
      <c r="AO31" s="520"/>
      <c r="AP31" s="520"/>
      <c r="AQ31" s="520"/>
      <c r="AR31" s="520"/>
    </row>
    <row s="6550" customFormat="1" customHeight="1" ht="18.75" hidden="1">
      <c r="A32" s="1591"/>
      <c r="B32" s="1591"/>
      <c r="C32" s="1591"/>
      <c r="D32" s="1591"/>
      <c r="E32" s="1591"/>
      <c r="F32" s="1591"/>
      <c r="G32" s="1591"/>
      <c r="H32" s="1591"/>
      <c r="I32" s="1591"/>
      <c r="J32" s="1591"/>
      <c r="K32" s="1591"/>
      <c r="L32" s="1592"/>
      <c r="M32" s="1591"/>
      <c r="N32" s="1591"/>
      <c r="O32" s="1591"/>
      <c r="S32" s="2343" t="s">
        <v>40</v>
      </c>
      <c r="T32" s="2343"/>
      <c r="U32" s="1595"/>
      <c r="V32" s="2344" t="str">
        <f>IF(TITLE_IST_PUB_CHANGE="",IF(TITLE_IST_PUB="","",TITLE_IST_PUB),TITLE_IST_PUB_CHANGE)</f>
        <v/>
      </c>
      <c r="W32" s="2344"/>
      <c r="X32" s="2344"/>
      <c r="Y32" s="2344"/>
      <c r="Z32" s="2344"/>
      <c r="AA32" s="2344"/>
      <c r="AB32" s="2344"/>
      <c r="AC32" s="474"/>
      <c r="AD32" s="2344" t="str">
        <f>IF(TITLE_IST_PUB_CHANGE="",IF(TITLE_IST_PUB="","",TITLE_IST_PUB),TITLE_IST_PUB_CHANGE)</f>
        <v/>
      </c>
      <c r="AE32" s="2344"/>
      <c r="AF32" s="2344"/>
      <c r="AG32" s="2344"/>
      <c r="AH32" s="2344"/>
      <c r="AI32" s="2344"/>
      <c r="AJ32" s="2344"/>
      <c r="AK32" s="474"/>
      <c r="AL32" s="474"/>
      <c r="AM32" s="417"/>
      <c r="AN32" s="520"/>
      <c r="AO32" s="520"/>
      <c r="AP32" s="520"/>
      <c r="AQ32" s="520"/>
      <c r="AR32" s="520"/>
    </row>
    <row customHeight="1" ht="14.25" hidden="1">
      <c r="Q33" s="529"/>
      <c r="R33" s="529"/>
      <c r="S33" s="1492"/>
      <c r="T33" s="513"/>
      <c r="U33" s="513"/>
      <c r="V33" s="468"/>
      <c r="W33" s="468"/>
      <c r="X33" s="468"/>
      <c r="Y33" s="468"/>
      <c r="Z33" s="468"/>
      <c r="AA33" s="468"/>
      <c r="AB33" s="468"/>
      <c r="AC33" s="468"/>
      <c r="AD33" s="468"/>
      <c r="AE33" s="468"/>
      <c r="AF33" s="468"/>
      <c r="AG33" s="468"/>
      <c r="AH33" s="468"/>
      <c r="AI33" s="468"/>
      <c r="AJ33" s="468"/>
      <c r="AK33" s="468"/>
      <c r="AL33" s="673"/>
    </row>
    <row s="6550" customFormat="1" customHeight="1" ht="18.75" hidden="1">
      <c r="A34" s="1591"/>
      <c r="B34" s="1591"/>
      <c r="C34" s="1591"/>
      <c r="D34" s="1591"/>
      <c r="E34" s="1591"/>
      <c r="F34" s="1591"/>
      <c r="G34" s="1591"/>
      <c r="H34" s="1591"/>
      <c r="I34" s="1591"/>
      <c r="J34" s="1591"/>
      <c r="K34" s="1591"/>
      <c r="L34" s="1592"/>
      <c r="M34" s="1591"/>
      <c r="N34" s="1591"/>
      <c r="O34" s="1591"/>
      <c r="S34" s="2343" t="s">
        <v>1494</v>
      </c>
      <c r="T34" s="2343"/>
      <c r="U34" s="1595"/>
      <c r="V34" s="2344" t="str">
        <f>IF(TITLE_DATE_CHANGE_PERIOD="",IF(TITLE_DATE_PR="","",TITLE_DATE_PR),TITLE_DATE_CHANGE_PERIOD)</f>
        <v/>
      </c>
      <c r="W34" s="2344"/>
      <c r="X34" s="2344"/>
      <c r="Y34" s="2344"/>
      <c r="Z34" s="2344"/>
      <c r="AA34" s="2344"/>
      <c r="AB34" s="2344"/>
      <c r="AC34" s="474"/>
      <c r="AD34" s="2344" t="str">
        <f>IF(TITLE_DATE_CHANGE_PERIOD="",IF(TITLE_DATE_PR="","",TITLE_DATE_PR),TITLE_DATE_CHANGE_PERIOD)</f>
        <v/>
      </c>
      <c r="AE34" s="2344"/>
      <c r="AF34" s="2344"/>
      <c r="AG34" s="2344"/>
      <c r="AH34" s="2344"/>
      <c r="AI34" s="2344"/>
      <c r="AJ34" s="2344"/>
      <c r="AK34" s="474"/>
      <c r="AL34" s="474"/>
      <c r="AM34" s="417"/>
      <c r="AN34" s="520"/>
      <c r="AO34" s="520"/>
      <c r="AP34" s="520"/>
      <c r="AQ34" s="520"/>
      <c r="AR34" s="520"/>
    </row>
    <row s="6550" customFormat="1" customHeight="1" ht="25.5" hidden="1">
      <c r="A35" s="1591"/>
      <c r="B35" s="1591"/>
      <c r="C35" s="1591"/>
      <c r="D35" s="1591"/>
      <c r="E35" s="1591"/>
      <c r="F35" s="1591"/>
      <c r="G35" s="1591"/>
      <c r="H35" s="1591"/>
      <c r="I35" s="1591"/>
      <c r="J35" s="1591"/>
      <c r="K35" s="1591"/>
      <c r="L35" s="1592"/>
      <c r="M35" s="1591"/>
      <c r="N35" s="1591"/>
      <c r="O35" s="1591"/>
      <c r="S35" s="2343" t="s">
        <v>1495</v>
      </c>
      <c r="T35" s="2343"/>
      <c r="U35" s="1595"/>
      <c r="V35" s="2344" t="str">
        <f>IF(TITLE_NUMBER_PR_CHANGE="",IF(TITLE_NUMBER_PR="","",TITLE_NUMBER_PR),TITLE_NUMBER_PR_CHANGE)</f>
        <v/>
      </c>
      <c r="W35" s="2344"/>
      <c r="X35" s="2344"/>
      <c r="Y35" s="2344"/>
      <c r="Z35" s="2344"/>
      <c r="AA35" s="2344"/>
      <c r="AB35" s="2344"/>
      <c r="AC35" s="474"/>
      <c r="AD35" s="2344" t="str">
        <f>IF(TITLE_NUMBER_PR_CHANGE="",IF(TITLE_NUMBER_PR="","",TITLE_NUMBER_PR),TITLE_NUMBER_PR_CHANGE)</f>
        <v/>
      </c>
      <c r="AE35" s="2344"/>
      <c r="AF35" s="2344"/>
      <c r="AG35" s="2344"/>
      <c r="AH35" s="2344"/>
      <c r="AI35" s="2344"/>
      <c r="AJ35" s="2344"/>
      <c r="AK35" s="474"/>
      <c r="AL35" s="474"/>
      <c r="AM35" s="417"/>
      <c r="AN35" s="520"/>
      <c r="AO35" s="520"/>
      <c r="AP35" s="520"/>
      <c r="AQ35" s="520"/>
      <c r="AR35" s="520"/>
    </row>
    <row s="6550" customFormat="1" customHeight="1" ht="0">
      <c r="A36" s="1591"/>
      <c r="B36" s="1591"/>
      <c r="C36" s="1591"/>
      <c r="D36" s="1591"/>
      <c r="E36" s="1591"/>
      <c r="F36" s="1591"/>
      <c r="G36" s="1591"/>
      <c r="H36" s="1591"/>
      <c r="I36" s="1591"/>
      <c r="J36" s="1591"/>
      <c r="K36" s="1591"/>
      <c r="L36" s="1592"/>
      <c r="M36" s="1591"/>
      <c r="N36" s="1591"/>
      <c r="O36" s="1591"/>
      <c r="S36" s="470"/>
      <c r="T36" s="470"/>
      <c r="U36" s="1562"/>
      <c r="V36" s="474"/>
      <c r="W36" s="474"/>
      <c r="X36" s="474"/>
      <c r="Y36" s="474"/>
      <c r="Z36" s="474"/>
      <c r="AA36" s="474"/>
      <c r="AB36" s="474"/>
      <c r="AC36" s="415" t="s">
        <v>1496</v>
      </c>
      <c r="AD36" s="474"/>
      <c r="AE36" s="474"/>
      <c r="AF36" s="474"/>
      <c r="AG36" s="474"/>
      <c r="AH36" s="474"/>
      <c r="AI36" s="474"/>
      <c r="AJ36" s="474"/>
      <c r="AK36" s="415" t="s">
        <v>1496</v>
      </c>
      <c r="AN36" s="520"/>
      <c r="AO36" s="520"/>
      <c r="AP36" s="520"/>
      <c r="AQ36" s="520"/>
      <c r="AR36" s="520"/>
    </row>
    <row customHeight="1" ht="14.25">
      <c r="Q37" s="529"/>
      <c r="R37" s="529"/>
      <c r="S37" s="1492"/>
      <c r="T37" s="513"/>
      <c r="U37" s="1449"/>
      <c r="V37" s="2345"/>
      <c r="W37" s="2345"/>
      <c r="X37" s="2345"/>
      <c r="Y37" s="2345"/>
      <c r="Z37" s="2345"/>
      <c r="AA37" s="2345"/>
      <c r="AB37" s="2345"/>
      <c r="AC37" s="2345"/>
      <c r="AD37" s="2345"/>
      <c r="AE37" s="2345"/>
      <c r="AF37" s="2345"/>
      <c r="AG37" s="2345"/>
      <c r="AH37" s="2345"/>
      <c r="AI37" s="2345"/>
      <c r="AJ37" s="2345"/>
      <c r="AK37" s="2345"/>
    </row>
    <row customHeight="1" ht="14.25">
      <c r="Q38" s="529"/>
      <c r="R38" s="529"/>
      <c r="S38" s="2204" t="s">
        <v>300</v>
      </c>
      <c r="T38" s="2204"/>
      <c r="U38" s="2204"/>
      <c r="V38" s="2204"/>
      <c r="W38" s="2204"/>
      <c r="X38" s="2204"/>
      <c r="Y38" s="2204"/>
      <c r="Z38" s="2204"/>
      <c r="AA38" s="2204"/>
      <c r="AB38" s="2204"/>
      <c r="AC38" s="2204"/>
      <c r="AD38" s="2204"/>
      <c r="AE38" s="2204"/>
      <c r="AF38" s="2204"/>
      <c r="AG38" s="2204"/>
      <c r="AH38" s="2204"/>
      <c r="AI38" s="2204"/>
      <c r="AJ38" s="2204"/>
      <c r="AK38" s="2204"/>
      <c r="AL38" s="2204"/>
      <c r="AM38" s="2204" t="s">
        <v>301</v>
      </c>
    </row>
    <row customHeight="1" ht="14.25">
      <c r="Q39" s="529"/>
      <c r="R39" s="529"/>
      <c r="S39" s="2367" t="s">
        <v>87</v>
      </c>
      <c r="T39" s="2228" t="s">
        <v>1497</v>
      </c>
      <c r="U39" s="438"/>
      <c r="V39" s="2368" t="s">
        <v>1498</v>
      </c>
      <c r="W39" s="2369"/>
      <c r="X39" s="2369"/>
      <c r="Y39" s="2369"/>
      <c r="Z39" s="2369"/>
      <c r="AA39" s="2369"/>
      <c r="AB39" s="2370"/>
      <c r="AC39" s="2371" t="s">
        <v>1499</v>
      </c>
      <c r="AD39" s="2368" t="s">
        <v>1498</v>
      </c>
      <c r="AE39" s="2369"/>
      <c r="AF39" s="2369"/>
      <c r="AG39" s="2369"/>
      <c r="AH39" s="2369"/>
      <c r="AI39" s="2369"/>
      <c r="AJ39" s="2370"/>
      <c r="AK39" s="2371" t="s">
        <v>1500</v>
      </c>
      <c r="AL39" s="2374" t="s">
        <v>1501</v>
      </c>
      <c r="AM39" s="2204"/>
    </row>
    <row customHeight="1" ht="33.75">
      <c r="Q40" s="529"/>
      <c r="R40" s="529"/>
      <c r="S40" s="2367"/>
      <c r="T40" s="2228"/>
      <c r="U40" s="1216"/>
      <c r="V40" s="2353" t="s">
        <v>1502</v>
      </c>
      <c r="W40" s="2377"/>
      <c r="X40" s="2355" t="s">
        <v>1504</v>
      </c>
      <c r="Y40" s="2356"/>
      <c r="Z40" s="2361" t="s">
        <v>1505</v>
      </c>
      <c r="AA40" s="2362"/>
      <c r="AB40" s="2363"/>
      <c r="AC40" s="2372"/>
      <c r="AD40" s="2353" t="s">
        <v>1502</v>
      </c>
      <c r="AE40" s="2377"/>
      <c r="AF40" s="2355" t="s">
        <v>1504</v>
      </c>
      <c r="AG40" s="2356"/>
      <c r="AH40" s="2361" t="s">
        <v>1505</v>
      </c>
      <c r="AI40" s="2362"/>
      <c r="AJ40" s="2363"/>
      <c r="AK40" s="2372"/>
      <c r="AL40" s="2375"/>
      <c r="AM40" s="2204"/>
    </row>
    <row customHeight="1" ht="33.75">
      <c r="A41" s="1593"/>
      <c r="B41" s="1593" t="s">
        <v>144</v>
      </c>
      <c r="C41" s="1593" t="s">
        <v>145</v>
      </c>
      <c r="D41" s="1593" t="s">
        <v>146</v>
      </c>
      <c r="E41" s="1587" t="s">
        <v>1506</v>
      </c>
      <c r="F41" s="1587" t="s">
        <v>1507</v>
      </c>
      <c r="G41" s="1587" t="s">
        <v>1508</v>
      </c>
      <c r="H41" s="1587" t="s">
        <v>1509</v>
      </c>
      <c r="I41" s="1587" t="s">
        <v>1510</v>
      </c>
      <c r="J41" s="1587" t="s">
        <v>1511</v>
      </c>
      <c r="K41" s="1587" t="s">
        <v>1512</v>
      </c>
      <c r="L41" s="1587" t="s">
        <v>1487</v>
      </c>
      <c r="Q41" s="529"/>
      <c r="R41" s="529"/>
      <c r="S41" s="2367"/>
      <c r="T41" s="2228"/>
      <c r="U41" s="439"/>
      <c r="V41" s="2354"/>
      <c r="W41" s="2378"/>
      <c r="X41" s="1424" t="s">
        <v>1513</v>
      </c>
      <c r="Y41" s="1424" t="s">
        <v>1514</v>
      </c>
      <c r="Z41" s="1560" t="s">
        <v>1515</v>
      </c>
      <c r="AA41" s="2364" t="s">
        <v>1516</v>
      </c>
      <c r="AB41" s="2365"/>
      <c r="AC41" s="2373"/>
      <c r="AD41" s="2354"/>
      <c r="AE41" s="2378"/>
      <c r="AF41" s="1424" t="s">
        <v>1513</v>
      </c>
      <c r="AG41" s="1424" t="s">
        <v>1514</v>
      </c>
      <c r="AH41" s="1560" t="s">
        <v>1515</v>
      </c>
      <c r="AI41" s="2364" t="s">
        <v>1516</v>
      </c>
      <c r="AJ41" s="2365"/>
      <c r="AK41" s="2373"/>
      <c r="AL41" s="2376"/>
      <c r="AM41" s="2204"/>
    </row>
    <row s="5794" customFormat="1" customHeight="1" ht="11.25" hidden="1">
      <c r="A42" s="1593"/>
      <c r="B42" s="1593"/>
      <c r="C42" s="1593"/>
      <c r="D42" s="1593"/>
      <c r="E42" s="1593"/>
      <c r="F42" s="1593"/>
      <c r="G42" s="1593"/>
      <c r="H42" s="1593"/>
      <c r="I42" s="1593"/>
      <c r="J42" s="1593"/>
      <c r="K42" s="1593"/>
      <c r="L42" s="1587"/>
      <c r="M42" s="1585"/>
      <c r="N42" s="1585"/>
      <c r="O42" s="1585"/>
      <c r="P42" s="1451"/>
      <c r="Q42" s="1452"/>
      <c r="R42" s="1467">
        <v>1</v>
      </c>
      <c r="S42" s="1494" t="s">
        <v>118</v>
      </c>
      <c r="T42" s="1468" t="s">
        <v>102</v>
      </c>
      <c r="U42" s="1450" t="str">
        <f>OFFSET(U42,0,-1)</f>
        <v>2</v>
      </c>
      <c r="V42" s="1557">
        <f>OFFSET(V42,0,-1)+1</f>
        <v>3</v>
      </c>
      <c r="W42" s="1557"/>
      <c r="X42" s="1557">
        <f>OFFSET(X42,0,-1)+1</f>
        <v>1</v>
      </c>
      <c r="Y42" s="1557">
        <f>OFFSET(Y42,0,-1)+1</f>
        <v>2</v>
      </c>
      <c r="Z42" s="1557">
        <f>OFFSET(Z42,0,-1)+1</f>
        <v>3</v>
      </c>
      <c r="AA42" s="2366">
        <f>OFFSET(AA42,0,-1)+1</f>
        <v>4</v>
      </c>
      <c r="AB42" s="2366"/>
      <c r="AC42" s="1557">
        <f>OFFSET(AC42,0,-2)+1</f>
        <v>5</v>
      </c>
      <c r="AD42" s="1557">
        <f>OFFSET(AD42,0,-1)+1</f>
        <v>6</v>
      </c>
      <c r="AE42" s="1557"/>
      <c r="AF42" s="1557">
        <f>OFFSET(AF42,0,-1)+1</f>
        <v>1</v>
      </c>
      <c r="AG42" s="1557">
        <f>OFFSET(AG42,0,-1)+1</f>
        <v>2</v>
      </c>
      <c r="AH42" s="1557">
        <f>OFFSET(AH42,0,-1)+1</f>
        <v>3</v>
      </c>
      <c r="AI42" s="2366">
        <f>OFFSET(AI42,0,-1)+1</f>
        <v>4</v>
      </c>
      <c r="AJ42" s="2366"/>
      <c r="AK42" s="1557">
        <f>OFFSET(AK42,0,-2)+1</f>
        <v>5</v>
      </c>
      <c r="AL42" s="1450">
        <f>OFFSET(AL42,0,-1)</f>
        <v>5</v>
      </c>
      <c r="AM42" s="1557">
        <f>OFFSET(AM42,0,-1)+1</f>
        <v>6</v>
      </c>
      <c r="AN42" s="675"/>
      <c r="AO42" s="675"/>
      <c r="AP42" s="675"/>
      <c r="AQ42" s="675"/>
      <c r="AR42" s="675"/>
    </row>
    <row customHeight="1" ht="21">
      <c r="A43" s="1586" t="s">
        <v>197</v>
      </c>
      <c r="B43" s="1586"/>
      <c r="C43" s="1586"/>
      <c r="D43" s="1586"/>
      <c r="E43" s="2351">
        <v>1</v>
      </c>
      <c r="F43" s="1586"/>
      <c r="G43" s="1586"/>
      <c r="H43" s="1586"/>
      <c r="I43" s="1586"/>
      <c r="J43" s="1586"/>
      <c r="K43" s="1586"/>
      <c r="L43" s="1587"/>
      <c r="M43" s="1588"/>
      <c r="N43" s="1588"/>
      <c r="O43" s="1588"/>
      <c r="P43" s="509"/>
      <c r="Q43" s="508"/>
      <c r="R43" s="503"/>
      <c r="S43" s="1558">
        <f>INDEX(PT_DIFFERENTIATION_NUM_NTAR,MATCH(A43,PT_DIFFERENTIATION_NTAR_ID,0))</f>
        <v>0</v>
      </c>
      <c r="T43" s="435" t="s">
        <v>132</v>
      </c>
      <c r="U43" s="437"/>
      <c r="V43" s="3964"/>
      <c r="W43" s="3965"/>
      <c r="X43" s="3965"/>
      <c r="Y43" s="3965"/>
      <c r="Z43" s="3965"/>
      <c r="AA43" s="3965"/>
      <c r="AB43" s="3965"/>
      <c r="AC43" s="3966"/>
      <c r="AD43" s="3964" t="str">
        <f>INDEX(PT_DIFFERENTIATION_NTAR,MATCH(A43,PT_DIFFERENTIATION_NTAR_ID,0))</f>
        <v/>
      </c>
      <c r="AE43" s="3965"/>
      <c r="AF43" s="3965"/>
      <c r="AG43" s="3965"/>
      <c r="AH43" s="3965"/>
      <c r="AI43" s="3965"/>
      <c r="AJ43" s="3965"/>
      <c r="AK43" s="3965"/>
      <c r="AL43" s="3966"/>
      <c r="AM43" s="1473" t="s">
        <v>1468</v>
      </c>
      <c r="AO43" s="664"/>
      <c r="AP43" s="664" t="str">
        <f>IF(T43="","",T43)</f>
        <v>Наименование тарифа</v>
      </c>
      <c r="AQ43" s="664"/>
      <c r="AR43" s="664"/>
    </row>
    <row customHeight="1" ht="21">
      <c r="A44" s="1586" t="s">
        <v>197</v>
      </c>
      <c r="B44" s="1586" t="s">
        <v>198</v>
      </c>
      <c r="C44" s="1586"/>
      <c r="D44" s="1586"/>
      <c r="E44" s="2352"/>
      <c r="F44" s="2351">
        <v>1</v>
      </c>
      <c r="G44" s="1586"/>
      <c r="H44" s="1586"/>
      <c r="I44" s="1586"/>
      <c r="J44" s="1586"/>
      <c r="K44" s="1586"/>
      <c r="L44" s="1587"/>
      <c r="M44" s="1588"/>
      <c r="N44" s="1588"/>
      <c r="O44" s="1588"/>
      <c r="P44" s="1554"/>
      <c r="Q44" s="500"/>
      <c r="R44" s="501"/>
      <c r="S44" s="1558" t="str">
        <f>INDEX(PT_DIFFERENTIATION_NUM_TER,MATCH(B44,PT_DIFFERENTIATION_TER_ID,0))</f>
        <v>.</v>
      </c>
      <c r="T44" s="447" t="s">
        <v>1469</v>
      </c>
      <c r="U44" s="437"/>
      <c r="V44" s="3964"/>
      <c r="W44" s="3965"/>
      <c r="X44" s="3965"/>
      <c r="Y44" s="3965"/>
      <c r="Z44" s="3965"/>
      <c r="AA44" s="3965"/>
      <c r="AB44" s="3965"/>
      <c r="AC44" s="3966"/>
      <c r="AD44" s="3964" t="str">
        <f>INDEX(PT_DIFFERENTIATION_TER,MATCH(B44,PT_DIFFERENTIATION_TER_ID,0))</f>
        <v/>
      </c>
      <c r="AE44" s="3965"/>
      <c r="AF44" s="3965"/>
      <c r="AG44" s="3965"/>
      <c r="AH44" s="3965"/>
      <c r="AI44" s="3965"/>
      <c r="AJ44" s="3965"/>
      <c r="AK44" s="3965"/>
      <c r="AL44" s="3966"/>
      <c r="AM44" s="1473" t="s">
        <v>1470</v>
      </c>
      <c r="AO44" s="664"/>
      <c r="AP44" s="664" t="str">
        <f>IF(T44="","",T44)</f>
        <v>Территория действия тарифа</v>
      </c>
      <c r="AQ44" s="664"/>
      <c r="AR44" s="664"/>
    </row>
    <row customHeight="1" ht="23.25">
      <c r="A45" s="1586" t="s">
        <v>197</v>
      </c>
      <c r="B45" s="1586" t="s">
        <v>198</v>
      </c>
      <c r="C45" s="1586" t="s">
        <v>199</v>
      </c>
      <c r="D45" s="1586"/>
      <c r="E45" s="2352"/>
      <c r="F45" s="2352"/>
      <c r="G45" s="2351">
        <v>1</v>
      </c>
      <c r="H45" s="1586"/>
      <c r="I45" s="1586"/>
      <c r="J45" s="1586"/>
      <c r="K45" s="1586"/>
      <c r="L45" s="1587"/>
      <c r="M45" s="1588"/>
      <c r="N45" s="1588"/>
      <c r="O45" s="1588"/>
      <c r="P45" s="502"/>
      <c r="Q45" s="500"/>
      <c r="R45" s="501"/>
      <c r="S45" s="1558" t="str">
        <f>INDEX(PT_DIFFERENTIATION_NUM_CS,MATCH(C45,PT_DIFFERENTIATION_CS_ID,0))</f>
        <v>..</v>
      </c>
      <c r="T45" s="448" t="s">
        <v>1471</v>
      </c>
      <c r="U45" s="437"/>
      <c r="V45" s="3964"/>
      <c r="W45" s="3965"/>
      <c r="X45" s="3965"/>
      <c r="Y45" s="3965"/>
      <c r="Z45" s="3965"/>
      <c r="AA45" s="3965"/>
      <c r="AB45" s="3965"/>
      <c r="AC45" s="3966"/>
      <c r="AD45" s="3964" t="str">
        <f>INDEX(PT_DIFFERENTIATION_CS,MATCH(C45,PT_DIFFERENTIATION_CS_ID,0))</f>
        <v/>
      </c>
      <c r="AE45" s="3965"/>
      <c r="AF45" s="3965"/>
      <c r="AG45" s="3965"/>
      <c r="AH45" s="3965"/>
      <c r="AI45" s="3965"/>
      <c r="AJ45" s="3965"/>
      <c r="AK45" s="3965"/>
      <c r="AL45" s="3966"/>
      <c r="AM45" s="1473" t="s">
        <v>1472</v>
      </c>
      <c r="AO45" s="664"/>
      <c r="AP45" s="664" t="str">
        <f>IF(T45="","",T45)</f>
        <v>Наименование системы теплоснабжения </v>
      </c>
      <c r="AQ45" s="664"/>
      <c r="AR45" s="664"/>
    </row>
    <row customHeight="1" ht="21">
      <c r="A46" s="1586" t="s">
        <v>197</v>
      </c>
      <c r="B46" s="1586" t="s">
        <v>198</v>
      </c>
      <c r="C46" s="1586" t="s">
        <v>199</v>
      </c>
      <c r="D46" s="1586" t="s">
        <v>200</v>
      </c>
      <c r="E46" s="2352"/>
      <c r="F46" s="2352"/>
      <c r="G46" s="2352"/>
      <c r="H46" s="2351">
        <v>1</v>
      </c>
      <c r="I46" s="1586"/>
      <c r="J46" s="1586"/>
      <c r="K46" s="1586"/>
      <c r="L46" s="1587"/>
      <c r="M46" s="1588"/>
      <c r="N46" s="1588"/>
      <c r="O46" s="1588"/>
      <c r="P46" s="502"/>
      <c r="Q46" s="500"/>
      <c r="R46" s="501"/>
      <c r="S46" s="1558" t="str">
        <f>INDEX(PT_DIFFERENTIATION_NUM_IST_TE,MATCH(D46,PT_DIFFERENTIATION_IST_TE_ID,0))</f>
        <v>...</v>
      </c>
      <c r="T46" s="449" t="s">
        <v>1473</v>
      </c>
      <c r="U46" s="437"/>
      <c r="V46" s="3964"/>
      <c r="W46" s="3965"/>
      <c r="X46" s="3965"/>
      <c r="Y46" s="3965"/>
      <c r="Z46" s="3965"/>
      <c r="AA46" s="3965"/>
      <c r="AB46" s="3965"/>
      <c r="AC46" s="3966"/>
      <c r="AD46" s="3964" t="str">
        <f>INDEX(PT_DIFFERENTIATION_IST_TE,MATCH(D46,PT_DIFFERENTIATION_IST_TE_ID,0))</f>
        <v/>
      </c>
      <c r="AE46" s="3965"/>
      <c r="AF46" s="3965"/>
      <c r="AG46" s="3965"/>
      <c r="AH46" s="3965"/>
      <c r="AI46" s="3965"/>
      <c r="AJ46" s="3965"/>
      <c r="AK46" s="3965"/>
      <c r="AL46" s="3966"/>
      <c r="AM46" s="1473" t="s">
        <v>1474</v>
      </c>
      <c r="AO46" s="664"/>
      <c r="AP46" s="664" t="str">
        <f>IF(T46="","",T46)</f>
        <v>Источник тепловой энергии  </v>
      </c>
      <c r="AQ46" s="664"/>
      <c r="AR46" s="664"/>
    </row>
    <row s="6608" customFormat="1" customHeight="1" ht="0">
      <c r="A47" s="1565" t="s">
        <v>197</v>
      </c>
      <c r="B47" s="1565" t="s">
        <v>198</v>
      </c>
      <c r="C47" s="1565" t="s">
        <v>199</v>
      </c>
      <c r="D47" s="1565" t="s">
        <v>200</v>
      </c>
      <c r="E47" s="2352"/>
      <c r="F47" s="2352"/>
      <c r="G47" s="2352"/>
      <c r="H47" s="2352"/>
      <c r="I47" s="2380" t="str">
        <f>S46&amp;".1"</f>
        <v>....1</v>
      </c>
      <c r="J47" s="1565"/>
      <c r="K47" s="1565"/>
      <c r="L47" s="1568" t="s">
        <v>1475</v>
      </c>
      <c r="M47" s="674"/>
      <c r="N47" s="674"/>
      <c r="O47" s="674"/>
      <c r="P47" s="2350">
        <v>1</v>
      </c>
      <c r="Q47" s="1553"/>
      <c r="R47" s="504"/>
      <c r="S47" s="1227"/>
      <c r="T47" s="1606"/>
      <c r="U47" s="1607"/>
      <c r="V47" s="2390"/>
      <c r="W47" s="2391"/>
      <c r="X47" s="2391"/>
      <c r="Y47" s="2391"/>
      <c r="Z47" s="2391"/>
      <c r="AA47" s="2391"/>
      <c r="AB47" s="2391"/>
      <c r="AC47" s="2392"/>
      <c r="AD47" s="2390"/>
      <c r="AE47" s="2391"/>
      <c r="AF47" s="2391"/>
      <c r="AG47" s="2391"/>
      <c r="AH47" s="2391"/>
      <c r="AI47" s="2391"/>
      <c r="AJ47" s="2391"/>
      <c r="AK47" s="2391"/>
      <c r="AL47" s="2392"/>
      <c r="AM47" s="1608"/>
      <c r="AO47" s="664"/>
      <c r="AP47" s="664" t="str">
        <f>IF(T47="","",T47)</f>
        <v/>
      </c>
      <c r="AQ47" s="664"/>
      <c r="AR47" s="664"/>
    </row>
    <row customHeight="1" ht="21">
      <c r="A48" s="1586" t="s">
        <v>197</v>
      </c>
      <c r="B48" s="1586" t="s">
        <v>198</v>
      </c>
      <c r="C48" s="1586" t="s">
        <v>199</v>
      </c>
      <c r="D48" s="1586" t="s">
        <v>200</v>
      </c>
      <c r="E48" s="2352"/>
      <c r="F48" s="2352"/>
      <c r="G48" s="2352"/>
      <c r="H48" s="2352"/>
      <c r="I48" s="2381"/>
      <c r="J48" s="2349" t="str">
        <f>S46&amp;".1"</f>
        <v>....1</v>
      </c>
      <c r="K48" s="1586"/>
      <c r="L48" s="1587" t="s">
        <v>1478</v>
      </c>
      <c r="P48" s="2350"/>
      <c r="Q48" s="2350">
        <v>1</v>
      </c>
      <c r="R48" s="505"/>
      <c r="S48" s="1558" t="str">
        <f>$J48</f>
        <v>....1</v>
      </c>
      <c r="T48" s="423" t="s">
        <v>1479</v>
      </c>
      <c r="U48" s="437"/>
      <c r="V48" s="2338"/>
      <c r="W48" s="2339"/>
      <c r="X48" s="2339"/>
      <c r="Y48" s="2339"/>
      <c r="Z48" s="2339"/>
      <c r="AA48" s="2339"/>
      <c r="AB48" s="2339"/>
      <c r="AC48" s="2340"/>
      <c r="AD48" s="2338"/>
      <c r="AE48" s="2339"/>
      <c r="AF48" s="2339"/>
      <c r="AG48" s="2339"/>
      <c r="AH48" s="2339"/>
      <c r="AI48" s="2339"/>
      <c r="AJ48" s="2339"/>
      <c r="AK48" s="2339"/>
      <c r="AL48" s="2340"/>
      <c r="AM48" s="1473" t="s">
        <v>1480</v>
      </c>
      <c r="AO48" s="664"/>
      <c r="AP48" s="664" t="str">
        <f>IF(T48="","",T48)</f>
        <v>Группа потребителей</v>
      </c>
      <c r="AQ48" s="664"/>
      <c r="AR48" s="664"/>
    </row>
    <row customHeight="1" ht="21">
      <c r="A49" s="1586" t="s">
        <v>197</v>
      </c>
      <c r="B49" s="1586" t="s">
        <v>198</v>
      </c>
      <c r="C49" s="1586" t="s">
        <v>199</v>
      </c>
      <c r="D49" s="1586" t="s">
        <v>200</v>
      </c>
      <c r="E49" s="2352"/>
      <c r="F49" s="2352"/>
      <c r="G49" s="2352"/>
      <c r="H49" s="2352"/>
      <c r="I49" s="2381"/>
      <c r="J49" s="2382"/>
      <c r="K49" s="2349" t="str">
        <f>J48&amp;".1"</f>
        <v>....1.1</v>
      </c>
      <c r="L49" s="1587" t="s">
        <v>1481</v>
      </c>
      <c r="P49" s="2350"/>
      <c r="Q49" s="2350"/>
      <c r="R49" s="505">
        <v>1</v>
      </c>
      <c r="S49" s="1558" t="str">
        <f>$K49</f>
        <v>....1.1</v>
      </c>
      <c r="T49" s="1569"/>
      <c r="U49" s="437"/>
      <c r="V49" s="3992"/>
      <c r="W49" s="3993"/>
      <c r="X49" s="3992"/>
      <c r="Y49" s="3994"/>
      <c r="Z49" s="2357"/>
      <c r="AA49" s="2069" t="s">
        <v>66</v>
      </c>
      <c r="AB49" s="2357"/>
      <c r="AC49" s="2069" t="s">
        <v>66</v>
      </c>
      <c r="AD49" s="3992"/>
      <c r="AE49" s="3993"/>
      <c r="AF49" s="3992"/>
      <c r="AG49" s="3994"/>
      <c r="AH49" s="2357"/>
      <c r="AI49" s="2069" t="s">
        <v>66</v>
      </c>
      <c r="AJ49" s="2383"/>
      <c r="AK49" s="2069" t="s">
        <v>66</v>
      </c>
      <c r="AL49" s="4093"/>
      <c r="AM49" s="2346" t="s">
        <v>1525</v>
      </c>
      <c r="AN49" s="675">
        <f>STRCHECKDATE(V50:AL50)</f>
      </c>
      <c r="AO49" s="664"/>
      <c r="AP49" s="664" t="str">
        <f>IF(T49="","",T49)</f>
        <v/>
      </c>
      <c r="AQ49" s="664"/>
      <c r="AR49" s="664"/>
    </row>
    <row customHeight="1" ht="0.75">
      <c r="A50" s="1586" t="s">
        <v>197</v>
      </c>
      <c r="B50" s="1586" t="s">
        <v>198</v>
      </c>
      <c r="C50" s="1586" t="s">
        <v>199</v>
      </c>
      <c r="D50" s="1586" t="s">
        <v>200</v>
      </c>
      <c r="E50" s="2352"/>
      <c r="F50" s="2352"/>
      <c r="G50" s="2352"/>
      <c r="H50" s="2352"/>
      <c r="I50" s="2381"/>
      <c r="J50" s="2382"/>
      <c r="K50" s="2349"/>
      <c r="L50" s="1587"/>
      <c r="P50" s="2350"/>
      <c r="Q50" s="2350"/>
      <c r="R50" s="505"/>
      <c r="S50" s="1564"/>
      <c r="T50" s="437"/>
      <c r="U50" s="437"/>
      <c r="V50" s="3993"/>
      <c r="W50" s="3993"/>
      <c r="X50" s="3993"/>
      <c r="Y50" s="3998" t="str">
        <f>Z49&amp;"-"&amp;AB49</f>
        <v>-</v>
      </c>
      <c r="Z50" s="2358"/>
      <c r="AA50" s="2069"/>
      <c r="AB50" s="2358"/>
      <c r="AC50" s="2069"/>
      <c r="AD50" s="3993"/>
      <c r="AE50" s="3993"/>
      <c r="AF50" s="3993"/>
      <c r="AG50" s="3998" t="str">
        <f>AH49&amp;"-"&amp;AJ49</f>
        <v>-</v>
      </c>
      <c r="AH50" s="2358"/>
      <c r="AI50" s="2069"/>
      <c r="AJ50" s="2384"/>
      <c r="AK50" s="2069"/>
      <c r="AL50" s="4096"/>
      <c r="AM50" s="2347"/>
      <c r="AO50" s="664"/>
      <c r="AP50" s="664" t="str">
        <f>IF(T50="","",T50)</f>
        <v/>
      </c>
      <c r="AQ50" s="664"/>
      <c r="AR50" s="664"/>
    </row>
    <row customHeight="1" ht="11.25">
      <c r="A51" s="1586" t="s">
        <v>197</v>
      </c>
      <c r="B51" s="1586" t="s">
        <v>198</v>
      </c>
      <c r="C51" s="1586" t="s">
        <v>199</v>
      </c>
      <c r="D51" s="1586" t="s">
        <v>200</v>
      </c>
      <c r="E51" s="2352"/>
      <c r="F51" s="2352"/>
      <c r="G51" s="2352"/>
      <c r="H51" s="2352"/>
      <c r="I51" s="2381"/>
      <c r="J51" s="2349"/>
      <c r="K51" s="1586"/>
      <c r="L51" s="1587"/>
      <c r="P51" s="2350"/>
      <c r="Q51" s="2350"/>
      <c r="R51" s="504"/>
      <c r="S51" s="1495"/>
      <c r="T51" s="424" t="s">
        <v>1483</v>
      </c>
      <c r="U51" s="519"/>
      <c r="V51" s="519"/>
      <c r="W51" s="519"/>
      <c r="X51" s="519"/>
      <c r="Y51" s="519"/>
      <c r="Z51" s="519"/>
      <c r="AA51" s="519"/>
      <c r="AB51" s="519"/>
      <c r="AC51" s="519"/>
      <c r="AD51" s="519"/>
      <c r="AE51" s="519"/>
      <c r="AF51" s="519"/>
      <c r="AG51" s="519"/>
      <c r="AH51" s="519"/>
      <c r="AI51" s="519"/>
      <c r="AJ51" s="519"/>
      <c r="AK51" s="519"/>
      <c r="AL51" s="471"/>
      <c r="AM51" s="2348"/>
      <c r="AO51" s="664"/>
      <c r="AP51" s="664" t="str">
        <f>IF(T51="","",T51)</f>
        <v>Добавить вид теплоносителя (параметры теплоносителя)</v>
      </c>
      <c r="AQ51" s="664"/>
      <c r="AR51" s="664"/>
    </row>
    <row customHeight="1" ht="11.25">
      <c r="A52" s="1586" t="s">
        <v>197</v>
      </c>
      <c r="B52" s="1586" t="s">
        <v>198</v>
      </c>
      <c r="C52" s="1586" t="s">
        <v>199</v>
      </c>
      <c r="D52" s="1586" t="s">
        <v>200</v>
      </c>
      <c r="E52" s="2352"/>
      <c r="F52" s="2352"/>
      <c r="G52" s="2352"/>
      <c r="H52" s="2352"/>
      <c r="I52" s="2380"/>
      <c r="J52" s="1586"/>
      <c r="K52" s="1586"/>
      <c r="L52" s="1587"/>
      <c r="P52" s="2350"/>
      <c r="Q52" s="1553"/>
      <c r="R52" s="504"/>
      <c r="S52" s="1495"/>
      <c r="T52" s="516" t="s">
        <v>1484</v>
      </c>
      <c r="U52" s="519"/>
      <c r="V52" s="519"/>
      <c r="W52" s="519"/>
      <c r="X52" s="519"/>
      <c r="Y52" s="519"/>
      <c r="Z52" s="519"/>
      <c r="AA52" s="519"/>
      <c r="AB52" s="519"/>
      <c r="AC52" s="518"/>
      <c r="AD52" s="519"/>
      <c r="AE52" s="519"/>
      <c r="AF52" s="519"/>
      <c r="AG52" s="519"/>
      <c r="AH52" s="519"/>
      <c r="AI52" s="519"/>
      <c r="AJ52" s="519"/>
      <c r="AK52" s="518"/>
      <c r="AL52" s="519"/>
      <c r="AM52" s="440"/>
      <c r="AO52" s="664"/>
      <c r="AP52" s="664" t="str">
        <f>IF(T52="","",T52)</f>
        <v>Добавить группу потребителей</v>
      </c>
      <c r="AQ52" s="664"/>
      <c r="AR52" s="664"/>
    </row>
    <row customHeight="1" ht="0">
      <c r="A53" s="1586" t="s">
        <v>197</v>
      </c>
      <c r="B53" s="1586" t="s">
        <v>198</v>
      </c>
      <c r="C53" s="1586" t="s">
        <v>199</v>
      </c>
      <c r="D53" s="1586" t="s">
        <v>200</v>
      </c>
      <c r="E53" s="2352"/>
      <c r="F53" s="2352"/>
      <c r="G53" s="2352"/>
      <c r="H53" s="2351"/>
      <c r="I53" s="1586"/>
      <c r="J53" s="1586"/>
      <c r="K53" s="1586"/>
      <c r="L53" s="1587"/>
      <c r="M53" s="1588"/>
      <c r="N53" s="1588"/>
      <c r="O53" s="701"/>
      <c r="P53" s="508"/>
      <c r="Q53" s="528"/>
      <c r="R53" s="503"/>
      <c r="S53" s="1609"/>
      <c r="T53" s="1610"/>
      <c r="U53" s="1611"/>
      <c r="V53" s="1611"/>
      <c r="W53" s="1611"/>
      <c r="X53" s="1611"/>
      <c r="Y53" s="1611"/>
      <c r="Z53" s="1611"/>
      <c r="AA53" s="1611"/>
      <c r="AB53" s="1611"/>
      <c r="AC53" s="1611"/>
      <c r="AD53" s="1611"/>
      <c r="AE53" s="1611"/>
      <c r="AF53" s="1611"/>
      <c r="AG53" s="1611"/>
      <c r="AH53" s="1611"/>
      <c r="AI53" s="1611"/>
      <c r="AJ53" s="1611"/>
      <c r="AK53" s="1611"/>
      <c r="AL53" s="1611"/>
      <c r="AM53" s="1612"/>
      <c r="AO53" s="664"/>
      <c r="AP53" s="664" t="str">
        <f>IF(T53="","",T53)</f>
        <v/>
      </c>
      <c r="AQ53" s="664"/>
      <c r="AR53" s="664"/>
    </row>
    <row s="6520" customFormat="1" customHeight="1" ht="0.75">
      <c r="A54" s="1565" t="s">
        <v>197</v>
      </c>
      <c r="B54" s="1565" t="s">
        <v>198</v>
      </c>
      <c r="C54" s="1565" t="s">
        <v>199</v>
      </c>
      <c r="D54" s="1536"/>
      <c r="E54" s="2352"/>
      <c r="F54" s="2352"/>
      <c r="G54" s="2351"/>
      <c r="H54" s="1536"/>
      <c r="I54" s="1536"/>
      <c r="J54" s="1536"/>
      <c r="K54" s="1536"/>
      <c r="L54" s="1561"/>
      <c r="M54" s="1537"/>
      <c r="N54" s="1537"/>
      <c r="P54" s="1538"/>
      <c r="Q54" s="1539"/>
      <c r="R54" s="1538"/>
      <c r="S54" s="1544"/>
      <c r="T54" s="1547" t="s">
        <v>1444</v>
      </c>
      <c r="U54" s="1546"/>
      <c r="V54" s="1546"/>
      <c r="W54" s="1546"/>
      <c r="X54" s="1546"/>
      <c r="Y54" s="1546"/>
      <c r="Z54" s="1546"/>
      <c r="AA54" s="1546"/>
      <c r="AB54" s="1546"/>
      <c r="AC54" s="1546"/>
      <c r="AD54" s="1546"/>
      <c r="AE54" s="1546"/>
      <c r="AF54" s="1546"/>
      <c r="AG54" s="1546"/>
      <c r="AH54" s="1546"/>
      <c r="AI54" s="1546"/>
      <c r="AJ54" s="1546"/>
      <c r="AK54" s="1546"/>
      <c r="AL54" s="1546"/>
      <c r="AM54" s="1546"/>
      <c r="AO54" s="956"/>
      <c r="AP54" s="956" t="str">
        <f>IF(T54="","",T54)</f>
        <v>Добавить источник для дифференциации</v>
      </c>
      <c r="AQ54" s="956"/>
      <c r="AR54" s="956"/>
    </row>
    <row s="6520" customFormat="1" customHeight="1" ht="0.75">
      <c r="A55" s="1565" t="s">
        <v>197</v>
      </c>
      <c r="B55" s="1565" t="s">
        <v>198</v>
      </c>
      <c r="C55" s="1536"/>
      <c r="D55" s="1536"/>
      <c r="E55" s="2352"/>
      <c r="F55" s="2351"/>
      <c r="G55" s="1536"/>
      <c r="H55" s="1536"/>
      <c r="I55" s="1536"/>
      <c r="J55" s="1536"/>
      <c r="K55" s="1536"/>
      <c r="L55" s="1561"/>
      <c r="M55" s="1543"/>
      <c r="N55" s="1543"/>
      <c r="P55" s="1538"/>
      <c r="Q55" s="1539"/>
      <c r="R55" s="1538"/>
      <c r="S55" s="1544"/>
      <c r="T55" s="1547" t="s">
        <v>1445</v>
      </c>
      <c r="U55" s="1546"/>
      <c r="V55" s="1546"/>
      <c r="W55" s="1546"/>
      <c r="X55" s="1546"/>
      <c r="Y55" s="1546"/>
      <c r="Z55" s="1546"/>
      <c r="AA55" s="1546"/>
      <c r="AB55" s="1546"/>
      <c r="AC55" s="1546"/>
      <c r="AD55" s="1546"/>
      <c r="AE55" s="1546"/>
      <c r="AF55" s="1546"/>
      <c r="AG55" s="1546"/>
      <c r="AH55" s="1546"/>
      <c r="AI55" s="1546"/>
      <c r="AJ55" s="1546"/>
      <c r="AK55" s="1546"/>
      <c r="AL55" s="1546"/>
      <c r="AM55" s="1546"/>
      <c r="AO55" s="956"/>
      <c r="AP55" s="956" t="str">
        <f>IF(T55="","",T55)</f>
        <v>Добавить централизованную систему для дифференциации</v>
      </c>
      <c r="AQ55" s="956"/>
      <c r="AR55" s="956"/>
    </row>
    <row s="6608" customFormat="1" customHeight="1" ht="0.75">
      <c r="A56" s="1565" t="s">
        <v>197</v>
      </c>
      <c r="B56" s="1565"/>
      <c r="C56" s="1565"/>
      <c r="D56" s="1565"/>
      <c r="E56" s="2351"/>
      <c r="F56" s="1565"/>
      <c r="G56" s="1565"/>
      <c r="H56" s="1565"/>
      <c r="I56" s="1565"/>
      <c r="J56" s="1565"/>
      <c r="K56" s="1565"/>
      <c r="L56" s="1568"/>
      <c r="M56" s="1543"/>
      <c r="N56" s="1543"/>
      <c r="O56" s="682"/>
      <c r="P56" s="537"/>
      <c r="Q56" s="1566"/>
      <c r="R56" s="537"/>
      <c r="S56" s="1544"/>
      <c r="T56" s="1547" t="s">
        <v>1446</v>
      </c>
      <c r="U56" s="1546"/>
      <c r="V56" s="1546"/>
      <c r="W56" s="1546"/>
      <c r="X56" s="1546"/>
      <c r="Y56" s="1546"/>
      <c r="Z56" s="1546"/>
      <c r="AA56" s="1546"/>
      <c r="AB56" s="1546"/>
      <c r="AC56" s="1546"/>
      <c r="AD56" s="1546"/>
      <c r="AE56" s="1546"/>
      <c r="AF56" s="1546"/>
      <c r="AG56" s="1546"/>
      <c r="AH56" s="1546"/>
      <c r="AI56" s="1546"/>
      <c r="AJ56" s="1546"/>
      <c r="AK56" s="1546"/>
      <c r="AL56" s="1546"/>
      <c r="AM56" s="1546"/>
      <c r="AO56" s="664"/>
      <c r="AP56" s="664" t="str">
        <f>IF(T56="","",T56)</f>
        <v>Добавить территорию для дифференциации</v>
      </c>
      <c r="AQ56" s="664"/>
      <c r="AR56" s="664"/>
    </row>
    <row s="6520" customFormat="1" customHeight="1" ht="0.75">
      <c r="A57" s="1536"/>
      <c r="B57" s="1536"/>
      <c r="C57" s="1536"/>
      <c r="D57" s="1536"/>
      <c r="E57" s="1565"/>
      <c r="F57" s="1536"/>
      <c r="G57" s="1536"/>
      <c r="H57" s="1536"/>
      <c r="I57" s="1536"/>
      <c r="J57" s="1536"/>
      <c r="K57" s="1536"/>
      <c r="L57" s="1561"/>
      <c r="M57" s="1543"/>
      <c r="N57" s="1543"/>
      <c r="P57" s="1538"/>
      <c r="Q57" s="1539"/>
      <c r="R57" s="1538"/>
      <c r="S57" s="1544"/>
      <c r="T57" s="1547" t="s">
        <v>1447</v>
      </c>
      <c r="U57" s="1546"/>
      <c r="V57" s="1546"/>
      <c r="W57" s="1546"/>
      <c r="X57" s="1546"/>
      <c r="Y57" s="1546"/>
      <c r="Z57" s="1546"/>
      <c r="AA57" s="1546"/>
      <c r="AB57" s="1546"/>
      <c r="AC57" s="1546"/>
      <c r="AD57" s="1546"/>
      <c r="AE57" s="1546"/>
      <c r="AF57" s="1546"/>
      <c r="AG57" s="1546"/>
      <c r="AH57" s="1546"/>
      <c r="AI57" s="1546"/>
      <c r="AJ57" s="1546"/>
      <c r="AK57" s="1546"/>
      <c r="AL57" s="1546"/>
      <c r="AM57" s="1546"/>
      <c r="AO57" s="956"/>
      <c r="AP57" s="956" t="str">
        <f>IF(T57="","",T57)</f>
        <v>Добавить наименование тарифа</v>
      </c>
      <c r="AQ57" s="956"/>
      <c r="AR57" s="956"/>
    </row>
    <row customHeight="1" ht="11.25" hidden="1">
      <c r="M58" s="1348"/>
      <c r="N58" s="1348"/>
      <c r="O58" s="701"/>
      <c r="P58" s="1343"/>
      <c r="Q58" s="1343"/>
      <c r="R58" s="1343"/>
      <c r="S58" s="1343"/>
      <c r="AN58" s="1343"/>
      <c r="AO58" s="1343"/>
      <c r="AP58" s="1343"/>
      <c r="AQ58" s="1343"/>
      <c r="AR58" s="1343"/>
    </row>
    <row customHeight="1" ht="18.75" hidden="1">
      <c r="O59" s="701"/>
      <c r="S59" s="1460" t="s">
        <v>1517</v>
      </c>
      <c r="T59" s="2379" t="s">
        <v>1526</v>
      </c>
      <c r="U59" s="2379"/>
      <c r="V59" s="2379"/>
      <c r="W59" s="2379"/>
      <c r="X59" s="2379"/>
      <c r="Y59" s="2379"/>
      <c r="Z59" s="2379"/>
      <c r="AA59" s="2379"/>
      <c r="AB59" s="2379"/>
      <c r="AC59" s="2379"/>
      <c r="AD59" s="2379"/>
      <c r="AE59" s="2379"/>
      <c r="AF59" s="2379"/>
      <c r="AG59" s="2379"/>
      <c r="AH59" s="2379"/>
      <c r="AI59" s="2379"/>
      <c r="AJ59" s="2379"/>
      <c r="AK59" s="2379"/>
      <c r="AL59" s="2379"/>
      <c r="AM59" s="2379"/>
    </row>
    <row customHeight="1" ht="27.75" hidden="1">
      <c r="O60" s="701"/>
      <c r="T60" s="2379" t="s">
        <v>1527</v>
      </c>
      <c r="U60" s="2379"/>
      <c r="V60" s="2379"/>
      <c r="W60" s="2379"/>
      <c r="X60" s="2379"/>
      <c r="Y60" s="2379"/>
      <c r="Z60" s="2379"/>
      <c r="AA60" s="2379"/>
      <c r="AB60" s="2379"/>
      <c r="AC60" s="2379"/>
      <c r="AD60" s="2379"/>
      <c r="AE60" s="2379"/>
      <c r="AF60" s="2379"/>
      <c r="AG60" s="2379"/>
      <c r="AH60" s="2379"/>
      <c r="AI60" s="2379"/>
      <c r="AJ60" s="2379"/>
      <c r="AK60" s="2379"/>
      <c r="AL60" s="2379"/>
      <c r="AM60" s="2379"/>
    </row>
    <row customHeight="1" ht="36.75" hidden="1">
      <c r="O61" s="701"/>
      <c r="T61" s="2379" t="s">
        <v>1528</v>
      </c>
      <c r="U61" s="2379"/>
      <c r="V61" s="2379"/>
      <c r="W61" s="2379"/>
      <c r="X61" s="2379"/>
      <c r="Y61" s="2379"/>
      <c r="Z61" s="2379"/>
      <c r="AA61" s="2379"/>
      <c r="AB61" s="2379"/>
      <c r="AC61" s="2379"/>
      <c r="AD61" s="2379"/>
      <c r="AE61" s="2379"/>
      <c r="AF61" s="2379"/>
      <c r="AG61" s="2379"/>
      <c r="AH61" s="2379"/>
      <c r="AI61" s="2379"/>
      <c r="AJ61" s="2379"/>
      <c r="AK61" s="2379"/>
      <c r="AL61" s="2379"/>
      <c r="AM61" s="2379"/>
    </row>
    <row customHeight="1" ht="14.25" hidden="1">
      <c r="O62" s="701"/>
    </row>
    <row customHeight="1" ht="19.5" hidden="1">
      <c r="O63" s="701"/>
      <c r="S63" s="1460" t="s">
        <v>1517</v>
      </c>
      <c r="T63" s="2393" t="s">
        <v>1520</v>
      </c>
      <c r="U63" s="2379"/>
      <c r="V63" s="2379"/>
      <c r="W63" s="2379"/>
      <c r="X63" s="2379"/>
      <c r="Y63" s="2379"/>
      <c r="Z63" s="2379"/>
      <c r="AA63" s="2379"/>
      <c r="AB63" s="2379"/>
      <c r="AC63" s="2379"/>
      <c r="AD63" s="2379"/>
      <c r="AE63" s="2379"/>
      <c r="AF63" s="2379"/>
      <c r="AG63" s="2379"/>
      <c r="AH63" s="2379"/>
      <c r="AI63" s="2379"/>
      <c r="AJ63" s="2379"/>
      <c r="AK63" s="2379"/>
      <c r="AL63" s="2379"/>
      <c r="AM63" s="2379"/>
    </row>
    <row customHeight="1" ht="27.75" hidden="1">
      <c r="O64" s="701"/>
      <c r="T64" s="2379" t="s">
        <v>1529</v>
      </c>
      <c r="U64" s="2379"/>
      <c r="V64" s="2379"/>
      <c r="W64" s="2379"/>
      <c r="X64" s="2379"/>
      <c r="Y64" s="2379"/>
      <c r="Z64" s="2379"/>
      <c r="AA64" s="2379"/>
      <c r="AB64" s="2379"/>
      <c r="AC64" s="2379"/>
      <c r="AD64" s="2379"/>
      <c r="AE64" s="2379"/>
      <c r="AF64" s="2379"/>
      <c r="AG64" s="2379"/>
      <c r="AH64" s="2379"/>
      <c r="AI64" s="2379"/>
      <c r="AJ64" s="2379"/>
      <c r="AK64" s="2379"/>
      <c r="AL64" s="2379"/>
      <c r="AM64" s="2379"/>
    </row>
    <row customHeight="1" ht="33.75" hidden="1">
      <c r="T65" s="2379" t="s">
        <v>1530</v>
      </c>
      <c r="U65" s="2379"/>
      <c r="V65" s="2379"/>
      <c r="W65" s="2379"/>
      <c r="X65" s="2379"/>
      <c r="Y65" s="2379"/>
      <c r="Z65" s="2379"/>
      <c r="AA65" s="2379"/>
      <c r="AB65" s="2379"/>
      <c r="AC65" s="2379"/>
      <c r="AD65" s="2379"/>
      <c r="AE65" s="2379"/>
      <c r="AF65" s="2379"/>
      <c r="AG65" s="2379"/>
      <c r="AH65" s="2379"/>
      <c r="AI65" s="2379"/>
      <c r="AJ65" s="2379"/>
      <c r="AK65" s="2379"/>
      <c r="AL65" s="2379"/>
      <c r="AM65" s="2379"/>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BD8D1B-5A27-D6D4-EC92-2BC50BDA90C4}" mc:Ignorable="x14ac xr xr2 xr3">
  <sheetPr>
    <tabColor theme="6" tint="0.4"/>
  </sheetPr>
  <dimension ref="A1:AV71"/>
  <sheetViews>
    <sheetView topLeftCell="R29" showGridLines="0" zoomScale="90" workbookViewId="0">
      <selection activeCell="A1" sqref="A1"/>
    </sheetView>
  </sheetViews>
  <sheetFormatPr defaultColWidth="10.57421875" customHeight="1" defaultRowHeight="14.25"/>
  <cols>
    <col min="1" max="1" style="6104" width="10.57421875" hidden="1"/>
    <col min="2" max="2" style="6104" width="11.00390625" hidden="1" customWidth="1"/>
    <col min="3" max="3" style="6104" width="10.57421875" hidden="1"/>
    <col min="4" max="4" style="6104" width="11.8515625" hidden="1" customWidth="1"/>
    <col min="5" max="5" style="6104" width="10.00390625" hidden="1" customWidth="1"/>
    <col min="6" max="6" style="6104" width="8.7109375" hidden="1" customWidth="1"/>
    <col min="7" max="7" style="6104" width="7.57421875" hidden="1" customWidth="1"/>
    <col min="8" max="8" style="6104" width="11.421875" hidden="1" customWidth="1"/>
    <col min="9" max="9" style="6104" width="12.00390625" hidden="1" customWidth="1"/>
    <col min="10" max="10" style="6104" width="9.8515625" hidden="1" customWidth="1"/>
    <col min="11" max="12" style="6104" width="11.421875" hidden="1" customWidth="1"/>
    <col min="13" max="13" style="6706" width="19.140625" hidden="1" customWidth="1"/>
    <col min="14" max="15" style="6628" width="12.28125" hidden="1" customWidth="1"/>
    <col min="16" max="16" style="6628" width="23.421875" hidden="1" customWidth="1"/>
    <col min="17" max="17" style="6628" width="3.7109375" hidden="1" customWidth="1"/>
    <col min="18" max="20" style="6619" width="3.7109375" customWidth="1"/>
    <col min="21" max="21" style="6620" width="12.7109375" customWidth="1"/>
    <col min="22" max="22" style="6104" width="32.00390625" customWidth="1"/>
    <col min="23" max="23" style="6104" width="0.140625" customWidth="1"/>
    <col min="24" max="28" style="6104" width="21.7109375" hidden="1" customWidth="1"/>
    <col min="29" max="29" style="6104" width="11.7109375" hidden="1" customWidth="1"/>
    <col min="30" max="30" style="6104" width="3.7109375" hidden="1" customWidth="1"/>
    <col min="31" max="31" style="6104" width="11.7109375" hidden="1" customWidth="1"/>
    <col min="32" max="32" style="6104" width="8.57421875" hidden="1" customWidth="1"/>
    <col min="33" max="37" style="6104" width="21.7109375" customWidth="1"/>
    <col min="38" max="38" style="6104" width="11.7109375" customWidth="1"/>
    <col min="39" max="39" style="6104" width="3.7109375" customWidth="1"/>
    <col min="40" max="40" style="6104" width="11.7109375" customWidth="1"/>
    <col min="41" max="41" style="6104" width="8.57421875" customWidth="1"/>
    <col min="42" max="42" style="6104" width="4.7109375" customWidth="1"/>
    <col min="43" max="43" style="6104" width="115.7109375" customWidth="1"/>
    <col min="44" max="45" style="6608" width="10.57421875"/>
    <col min="46" max="46" style="6608" width="11.140625" customWidth="1"/>
    <col min="47" max="48" style="6608" width="10.57421875"/>
  </cols>
  <sheetData>
    <row customHeight="1" ht="14.25" hidden="1">
      <c r="AB1" s="475"/>
      <c r="AC1" s="475"/>
      <c r="AK1" s="475"/>
      <c r="AL1" s="475"/>
    </row>
    <row customHeight="1" ht="21" hidden="1">
      <c r="A2" s="1483"/>
      <c r="B2" s="1483"/>
      <c r="C2" s="1483"/>
      <c r="D2" s="1483"/>
      <c r="E2" s="2394">
        <v>1</v>
      </c>
      <c r="F2" s="1483"/>
      <c r="G2" s="1483"/>
      <c r="H2" s="1483"/>
      <c r="I2" s="1483"/>
      <c r="J2" s="1483"/>
      <c r="K2" s="1483"/>
      <c r="L2" s="1483"/>
      <c r="M2" s="1532"/>
      <c r="N2" s="852"/>
      <c r="O2" s="852"/>
      <c r="P2" s="852"/>
      <c r="Q2" s="509"/>
      <c r="R2" s="508"/>
      <c r="S2" s="508"/>
      <c r="T2" s="503"/>
      <c r="U2" s="1558">
        <f>INDEX(PT_DIFFERENTIATION_NUM_NTAR,MATCH(A2,PT_DIFFERENTIATION_NTAR_ID,0))</f>
      </c>
      <c r="V2" s="435" t="s">
        <v>132</v>
      </c>
      <c r="W2" s="437"/>
      <c r="X2" s="3964"/>
      <c r="Y2" s="3965"/>
      <c r="Z2" s="3965"/>
      <c r="AA2" s="3965"/>
      <c r="AB2" s="3965"/>
      <c r="AC2" s="3965"/>
      <c r="AD2" s="3965"/>
      <c r="AE2" s="3965"/>
      <c r="AF2" s="3966"/>
      <c r="AG2" s="3964">
        <f>INDEX(PT_DIFFERENTIATION_NTAR,MATCH(A2,PT_DIFFERENTIATION_NTAR_ID,0))</f>
      </c>
      <c r="AH2" s="3965"/>
      <c r="AI2" s="3965"/>
      <c r="AJ2" s="3965"/>
      <c r="AK2" s="3965"/>
      <c r="AL2" s="3965"/>
      <c r="AM2" s="3965"/>
      <c r="AN2" s="3965"/>
      <c r="AO2" s="3965"/>
      <c r="AP2" s="3966"/>
      <c r="AQ2" s="1473" t="s">
        <v>1468</v>
      </c>
      <c r="AS2" s="664"/>
      <c r="AT2" s="664" t="str">
        <f>IF(V2="","",V2)</f>
        <v>Наименование тарифа</v>
      </c>
      <c r="AU2" s="664"/>
      <c r="AV2" s="664"/>
    </row>
    <row customHeight="1" ht="21" hidden="1">
      <c r="A3" s="1483"/>
      <c r="B3" s="1483"/>
      <c r="C3" s="1483"/>
      <c r="D3" s="1483"/>
      <c r="E3" s="2395"/>
      <c r="F3" s="2394">
        <v>1</v>
      </c>
      <c r="G3" s="1483"/>
      <c r="H3" s="1483"/>
      <c r="I3" s="1483"/>
      <c r="J3" s="1483"/>
      <c r="K3" s="1483"/>
      <c r="L3" s="1483"/>
      <c r="M3" s="1532"/>
      <c r="N3" s="852"/>
      <c r="O3" s="852"/>
      <c r="P3" s="852"/>
      <c r="Q3" s="1554"/>
      <c r="R3" s="500"/>
      <c r="S3" s="673"/>
      <c r="T3" s="501"/>
      <c r="U3" s="1558">
        <f>INDEX(PT_DIFFERENTIATION_NUM_TER,MATCH(B3,PT_DIFFERENTIATION_TER_ID,0))</f>
      </c>
      <c r="V3" s="447" t="s">
        <v>1469</v>
      </c>
      <c r="W3" s="437"/>
      <c r="X3" s="3964"/>
      <c r="Y3" s="3965"/>
      <c r="Z3" s="3965"/>
      <c r="AA3" s="3965"/>
      <c r="AB3" s="3965"/>
      <c r="AC3" s="3965"/>
      <c r="AD3" s="3965"/>
      <c r="AE3" s="3965"/>
      <c r="AF3" s="3966"/>
      <c r="AG3" s="3964">
        <f>INDEX(PT_DIFFERENTIATION_TER,MATCH(B3,PT_DIFFERENTIATION_TER_ID,0))</f>
      </c>
      <c r="AH3" s="3965"/>
      <c r="AI3" s="3965"/>
      <c r="AJ3" s="3965"/>
      <c r="AK3" s="3965"/>
      <c r="AL3" s="3965"/>
      <c r="AM3" s="3965"/>
      <c r="AN3" s="3965"/>
      <c r="AO3" s="3965"/>
      <c r="AP3" s="3966"/>
      <c r="AQ3" s="1473" t="s">
        <v>1470</v>
      </c>
      <c r="AS3" s="664"/>
      <c r="AT3" s="664" t="str">
        <f>IF(V3="","",V3)</f>
        <v>Территория действия тарифа</v>
      </c>
      <c r="AU3" s="664"/>
      <c r="AV3" s="664"/>
    </row>
    <row customHeight="1" ht="22.5" hidden="1">
      <c r="A4" s="1483"/>
      <c r="B4" s="1483"/>
      <c r="C4" s="1483"/>
      <c r="D4" s="1483"/>
      <c r="E4" s="2395"/>
      <c r="F4" s="2395"/>
      <c r="G4" s="2394">
        <v>1</v>
      </c>
      <c r="H4" s="1483"/>
      <c r="I4" s="1483"/>
      <c r="J4" s="1483"/>
      <c r="K4" s="1483"/>
      <c r="L4" s="1483"/>
      <c r="M4" s="1532"/>
      <c r="N4" s="852"/>
      <c r="O4" s="852"/>
      <c r="P4" s="852"/>
      <c r="Q4" s="502"/>
      <c r="R4" s="500"/>
      <c r="S4" s="673"/>
      <c r="T4" s="501"/>
      <c r="U4" s="1558">
        <f>INDEX(PT_DIFFERENTIATION_NUM_CS,MATCH(C4,PT_DIFFERENTIATION_CS_ID,0))</f>
      </c>
      <c r="V4" s="448" t="s">
        <v>1471</v>
      </c>
      <c r="W4" s="437"/>
      <c r="X4" s="3964"/>
      <c r="Y4" s="3965"/>
      <c r="Z4" s="3965"/>
      <c r="AA4" s="3965"/>
      <c r="AB4" s="3965"/>
      <c r="AC4" s="3965"/>
      <c r="AD4" s="3965"/>
      <c r="AE4" s="3965"/>
      <c r="AF4" s="3966"/>
      <c r="AG4" s="3964">
        <f>INDEX(PT_DIFFERENTIATION_CS,MATCH(C4,PT_DIFFERENTIATION_CS_ID,0))</f>
      </c>
      <c r="AH4" s="3965"/>
      <c r="AI4" s="3965"/>
      <c r="AJ4" s="3965"/>
      <c r="AK4" s="3965"/>
      <c r="AL4" s="3965"/>
      <c r="AM4" s="3965"/>
      <c r="AN4" s="3965"/>
      <c r="AO4" s="3965"/>
      <c r="AP4" s="3966"/>
      <c r="AQ4" s="1473" t="s">
        <v>1472</v>
      </c>
      <c r="AS4" s="664"/>
      <c r="AT4" s="664" t="str">
        <f>IF(V4="","",V4)</f>
        <v>Наименование системы теплоснабжения </v>
      </c>
      <c r="AU4" s="664"/>
      <c r="AV4" s="664"/>
    </row>
    <row customHeight="1" ht="21" hidden="1">
      <c r="A5" s="1483"/>
      <c r="B5" s="1483"/>
      <c r="C5" s="1483"/>
      <c r="D5" s="1483"/>
      <c r="E5" s="2395"/>
      <c r="F5" s="2395"/>
      <c r="G5" s="2395"/>
      <c r="H5" s="2394">
        <v>1</v>
      </c>
      <c r="I5" s="1483"/>
      <c r="J5" s="1483"/>
      <c r="K5" s="1483"/>
      <c r="L5" s="1483"/>
      <c r="M5" s="1532"/>
      <c r="N5" s="852"/>
      <c r="O5" s="852"/>
      <c r="P5" s="852"/>
      <c r="Q5" s="502"/>
      <c r="R5" s="500"/>
      <c r="S5" s="673"/>
      <c r="T5" s="501"/>
      <c r="U5" s="1558">
        <f>INDEX(PT_DIFFERENTIATION_NUM_IST_TE,MATCH(D5,PT_DIFFERENTIATION_IST_TE_ID,0))</f>
      </c>
      <c r="V5" s="449" t="s">
        <v>1473</v>
      </c>
      <c r="W5" s="437"/>
      <c r="X5" s="3964"/>
      <c r="Y5" s="3965"/>
      <c r="Z5" s="3965"/>
      <c r="AA5" s="3965"/>
      <c r="AB5" s="3965"/>
      <c r="AC5" s="3965"/>
      <c r="AD5" s="3965"/>
      <c r="AE5" s="3965"/>
      <c r="AF5" s="3966"/>
      <c r="AG5" s="3964">
        <f>INDEX(PT_DIFFERENTIATION_IST_TE,MATCH(D5,PT_DIFFERENTIATION_IST_TE_ID,0))</f>
      </c>
      <c r="AH5" s="3965"/>
      <c r="AI5" s="3965"/>
      <c r="AJ5" s="3965"/>
      <c r="AK5" s="3965"/>
      <c r="AL5" s="3965"/>
      <c r="AM5" s="3965"/>
      <c r="AN5" s="3965"/>
      <c r="AO5" s="3965"/>
      <c r="AP5" s="3966"/>
      <c r="AQ5" s="1473" t="s">
        <v>1474</v>
      </c>
      <c r="AS5" s="664"/>
      <c r="AT5" s="664" t="str">
        <f>IF(V5="","",V5)</f>
        <v>Источник тепловой энергии  </v>
      </c>
      <c r="AU5" s="664"/>
      <c r="AV5" s="664"/>
    </row>
    <row customHeight="1" ht="14.25" hidden="1">
      <c r="A6" s="1483"/>
      <c r="B6" s="1483"/>
      <c r="C6" s="1483"/>
      <c r="D6" s="1483"/>
      <c r="E6" s="2395"/>
      <c r="F6" s="2395"/>
      <c r="G6" s="2395"/>
      <c r="H6" s="2395"/>
      <c r="I6" s="2204">
        <f>U5&amp;".1"</f>
      </c>
      <c r="J6" s="1483"/>
      <c r="K6" s="1483"/>
      <c r="L6" s="1483"/>
      <c r="M6" s="1532" t="s">
        <v>1475</v>
      </c>
      <c r="N6" s="673"/>
      <c r="Q6" s="2350">
        <v>1</v>
      </c>
      <c r="R6" s="1553"/>
      <c r="S6" s="1553"/>
      <c r="T6" s="504"/>
      <c r="U6" s="1227"/>
      <c r="V6" s="1606"/>
      <c r="W6" s="1607"/>
      <c r="X6" s="2390"/>
      <c r="Y6" s="2391"/>
      <c r="Z6" s="2391"/>
      <c r="AA6" s="2391"/>
      <c r="AB6" s="2391"/>
      <c r="AC6" s="2391"/>
      <c r="AD6" s="2391"/>
      <c r="AE6" s="2391"/>
      <c r="AF6" s="2392"/>
      <c r="AG6" s="2390"/>
      <c r="AH6" s="2391"/>
      <c r="AI6" s="2391"/>
      <c r="AJ6" s="2391"/>
      <c r="AK6" s="2391"/>
      <c r="AL6" s="2391"/>
      <c r="AM6" s="2391"/>
      <c r="AN6" s="2391"/>
      <c r="AO6" s="2391"/>
      <c r="AP6" s="2392"/>
      <c r="AQ6" s="1608"/>
      <c r="AS6" s="664"/>
      <c r="AT6" s="664" t="str">
        <f>IF(V6="","",V6)</f>
        <v/>
      </c>
      <c r="AU6" s="664"/>
      <c r="AV6" s="664"/>
    </row>
    <row customHeight="1" ht="21" hidden="1">
      <c r="A7" s="1483"/>
      <c r="B7" s="1483"/>
      <c r="C7" s="1483"/>
      <c r="D7" s="1483"/>
      <c r="E7" s="2395"/>
      <c r="F7" s="2395"/>
      <c r="G7" s="2395"/>
      <c r="H7" s="2395"/>
      <c r="I7" s="2063"/>
      <c r="J7" s="2396">
        <f>I6&amp;".1"</f>
      </c>
      <c r="K7" s="1483"/>
      <c r="L7" s="1483"/>
      <c r="M7" s="1532" t="s">
        <v>1478</v>
      </c>
      <c r="N7" s="673"/>
      <c r="O7" s="475"/>
      <c r="Q7" s="2350"/>
      <c r="R7" s="2350">
        <v>1</v>
      </c>
      <c r="S7" s="682"/>
      <c r="T7" s="505"/>
      <c r="U7" s="1558">
        <f>$J7</f>
      </c>
      <c r="V7" s="423" t="s">
        <v>1479</v>
      </c>
      <c r="W7" s="437"/>
      <c r="X7" s="2338"/>
      <c r="Y7" s="2339"/>
      <c r="Z7" s="2339"/>
      <c r="AA7" s="2339"/>
      <c r="AB7" s="2339"/>
      <c r="AC7" s="2398"/>
      <c r="AD7" s="2398"/>
      <c r="AE7" s="2398"/>
      <c r="AF7" s="2399"/>
      <c r="AG7" s="2338"/>
      <c r="AH7" s="2339"/>
      <c r="AI7" s="2339"/>
      <c r="AJ7" s="2339"/>
      <c r="AK7" s="2339"/>
      <c r="AL7" s="2339"/>
      <c r="AM7" s="2339"/>
      <c r="AN7" s="2339"/>
      <c r="AO7" s="2339"/>
      <c r="AP7" s="2340"/>
      <c r="AQ7" s="1473" t="s">
        <v>1480</v>
      </c>
      <c r="AS7" s="664"/>
      <c r="AT7" s="664" t="str">
        <f>IF(V7="","",V7)</f>
        <v>Группа потребителей</v>
      </c>
      <c r="AU7" s="664"/>
      <c r="AV7" s="664"/>
    </row>
    <row customHeight="1" ht="21" hidden="1">
      <c r="A8" s="1483"/>
      <c r="B8" s="1483"/>
      <c r="C8" s="1483"/>
      <c r="D8" s="1483"/>
      <c r="E8" s="2395"/>
      <c r="F8" s="2395"/>
      <c r="G8" s="2395"/>
      <c r="H8" s="2395"/>
      <c r="I8" s="2063"/>
      <c r="J8" s="2397"/>
      <c r="K8" s="2396">
        <f>J7&amp;".1"</f>
      </c>
      <c r="L8" s="272"/>
      <c r="M8" s="1532" t="s">
        <v>1481</v>
      </c>
      <c r="N8" s="673"/>
      <c r="O8" s="475"/>
      <c r="P8" s="475"/>
      <c r="Q8" s="2350"/>
      <c r="R8" s="2350"/>
      <c r="S8" s="2350">
        <v>1</v>
      </c>
      <c r="T8" s="505"/>
      <c r="U8" s="1558">
        <f>$K8</f>
      </c>
      <c r="V8" s="1569"/>
      <c r="W8" s="437"/>
      <c r="X8" s="3992"/>
      <c r="Y8" s="3992"/>
      <c r="Z8" s="3992"/>
      <c r="AA8" s="3992"/>
      <c r="AB8" s="4144"/>
      <c r="AC8" s="2357"/>
      <c r="AD8" s="2069" t="s">
        <v>66</v>
      </c>
      <c r="AE8" s="2357"/>
      <c r="AF8" s="2069" t="s">
        <v>66</v>
      </c>
      <c r="AG8" s="4145"/>
      <c r="AH8" s="3992"/>
      <c r="AI8" s="3992"/>
      <c r="AJ8" s="3992"/>
      <c r="AK8" s="3994"/>
      <c r="AL8" s="2357"/>
      <c r="AM8" s="2069" t="s">
        <v>66</v>
      </c>
      <c r="AN8" s="2357"/>
      <c r="AO8" s="2069" t="s">
        <v>66</v>
      </c>
      <c r="AP8" s="3993"/>
      <c r="AQ8" s="1529" t="s">
        <v>1531</v>
      </c>
      <c r="AR8" s="675">
        <f>STRCHECKDATE(X10:AP10)</f>
      </c>
      <c r="AS8" s="664"/>
      <c r="AT8" s="664" t="str">
        <f>IF(V8="","",V8)</f>
        <v/>
      </c>
      <c r="AU8" s="664"/>
      <c r="AV8" s="664"/>
    </row>
    <row customHeight="1" ht="21" hidden="1">
      <c r="A9" s="1483"/>
      <c r="B9" s="1483"/>
      <c r="C9" s="1483"/>
      <c r="D9" s="1483"/>
      <c r="E9" s="2395"/>
      <c r="F9" s="2395"/>
      <c r="G9" s="2395"/>
      <c r="H9" s="2395"/>
      <c r="I9" s="2063"/>
      <c r="J9" s="2397"/>
      <c r="K9" s="2397"/>
      <c r="L9" s="2396">
        <f>K8&amp;".1"</f>
      </c>
      <c r="M9" s="1532"/>
      <c r="N9" s="673"/>
      <c r="O9" s="475"/>
      <c r="P9" s="475"/>
      <c r="Q9" s="2350"/>
      <c r="R9" s="2350"/>
      <c r="S9" s="2350"/>
      <c r="T9" s="505"/>
      <c r="U9" s="1558">
        <f>$L9</f>
      </c>
      <c r="V9" s="1614"/>
      <c r="W9" s="437"/>
      <c r="X9" s="3993"/>
      <c r="Y9" s="3992"/>
      <c r="Z9" s="3992"/>
      <c r="AA9" s="3992"/>
      <c r="AB9" s="4144"/>
      <c r="AC9" s="2400"/>
      <c r="AD9" s="2069"/>
      <c r="AE9" s="2400"/>
      <c r="AF9" s="2069"/>
      <c r="AG9" s="4145"/>
      <c r="AH9" s="3992"/>
      <c r="AI9" s="3992"/>
      <c r="AJ9" s="3992"/>
      <c r="AK9" s="3994"/>
      <c r="AL9" s="2400"/>
      <c r="AM9" s="2069"/>
      <c r="AN9" s="2400"/>
      <c r="AO9" s="2069"/>
      <c r="AP9" s="3993"/>
      <c r="AQ9" s="2346" t="s">
        <v>1532</v>
      </c>
      <c r="AS9" s="664"/>
      <c r="AT9" s="664"/>
      <c r="AU9" s="664"/>
      <c r="AV9" s="664"/>
    </row>
    <row customHeight="1" ht="0.75" hidden="1">
      <c r="A10" s="1483"/>
      <c r="B10" s="1483"/>
      <c r="C10" s="1483"/>
      <c r="D10" s="1483"/>
      <c r="E10" s="2395"/>
      <c r="F10" s="2395"/>
      <c r="G10" s="2395"/>
      <c r="H10" s="2395"/>
      <c r="I10" s="2063"/>
      <c r="J10" s="2397"/>
      <c r="K10" s="2397"/>
      <c r="L10" s="2396"/>
      <c r="M10" s="1532"/>
      <c r="N10" s="673"/>
      <c r="O10" s="475"/>
      <c r="P10" s="475"/>
      <c r="Q10" s="2350"/>
      <c r="R10" s="2350"/>
      <c r="S10" s="2350"/>
      <c r="T10" s="505"/>
      <c r="U10" s="1564"/>
      <c r="V10" s="437"/>
      <c r="W10" s="437"/>
      <c r="X10" s="3993"/>
      <c r="Y10" s="3993"/>
      <c r="Z10" s="3993"/>
      <c r="AA10" s="3993"/>
      <c r="AB10" s="4149" t="str">
        <f>AC8&amp;"-"&amp;AE8</f>
        <v>-</v>
      </c>
      <c r="AC10" s="2400"/>
      <c r="AD10" s="2069"/>
      <c r="AE10" s="2400"/>
      <c r="AF10" s="2069"/>
      <c r="AG10" s="4150"/>
      <c r="AH10" s="3993"/>
      <c r="AI10" s="3993"/>
      <c r="AJ10" s="3993"/>
      <c r="AK10" s="3998" t="str">
        <f>AL8&amp;"-"&amp;AN8</f>
        <v>-</v>
      </c>
      <c r="AL10" s="2400"/>
      <c r="AM10" s="2069"/>
      <c r="AN10" s="2400"/>
      <c r="AO10" s="2069"/>
      <c r="AP10" s="3993"/>
      <c r="AQ10" s="2347"/>
      <c r="AS10" s="664"/>
      <c r="AT10" s="664" t="str">
        <f>IF(V10="","",V10)</f>
        <v/>
      </c>
      <c r="AU10" s="664"/>
      <c r="AV10" s="664"/>
    </row>
    <row customHeight="1" ht="11.25" hidden="1">
      <c r="A11" s="1483"/>
      <c r="B11" s="1483"/>
      <c r="C11" s="1483"/>
      <c r="D11" s="1483"/>
      <c r="E11" s="2395"/>
      <c r="F11" s="2395"/>
      <c r="G11" s="2395"/>
      <c r="H11" s="2395"/>
      <c r="I11" s="2063"/>
      <c r="J11" s="2397"/>
      <c r="K11" s="2396"/>
      <c r="L11" s="1483"/>
      <c r="M11" s="1532"/>
      <c r="N11" s="673"/>
      <c r="O11" s="475"/>
      <c r="P11" s="475"/>
      <c r="Q11" s="2350"/>
      <c r="R11" s="2350"/>
      <c r="S11" s="2350"/>
      <c r="T11" s="505"/>
      <c r="U11" s="1495"/>
      <c r="V11" s="425" t="s">
        <v>1533</v>
      </c>
      <c r="W11" s="1615"/>
      <c r="X11" s="4152"/>
      <c r="Y11" s="4152"/>
      <c r="Z11" s="4152"/>
      <c r="AA11" s="4152"/>
      <c r="AB11" s="4153"/>
      <c r="AC11" s="2400"/>
      <c r="AD11" s="2069"/>
      <c r="AE11" s="2400"/>
      <c r="AF11" s="2069"/>
      <c r="AG11" s="4152"/>
      <c r="AH11" s="4152"/>
      <c r="AI11" s="4152"/>
      <c r="AJ11" s="4152"/>
      <c r="AK11" s="4153"/>
      <c r="AL11" s="2400"/>
      <c r="AM11" s="2069"/>
      <c r="AN11" s="2400"/>
      <c r="AO11" s="2069"/>
      <c r="AP11" s="4154"/>
      <c r="AQ11" s="2347"/>
      <c r="AS11" s="664"/>
      <c r="AT11" s="664"/>
      <c r="AU11" s="664"/>
      <c r="AV11" s="664"/>
    </row>
    <row customHeight="1" ht="15" hidden="1">
      <c r="A12" s="1483"/>
      <c r="B12" s="1483"/>
      <c r="C12" s="1483"/>
      <c r="D12" s="1483"/>
      <c r="E12" s="2395"/>
      <c r="F12" s="2395"/>
      <c r="G12" s="2395"/>
      <c r="H12" s="2395"/>
      <c r="I12" s="2063"/>
      <c r="J12" s="2396"/>
      <c r="K12" s="1483"/>
      <c r="L12" s="1483"/>
      <c r="M12" s="1532"/>
      <c r="N12" s="673"/>
      <c r="O12" s="475"/>
      <c r="Q12" s="2350"/>
      <c r="R12" s="2350"/>
      <c r="S12" s="1553"/>
      <c r="T12" s="504"/>
      <c r="U12" s="1495"/>
      <c r="V12" s="424" t="s">
        <v>1483</v>
      </c>
      <c r="W12" s="519"/>
      <c r="X12" s="519"/>
      <c r="Y12" s="519"/>
      <c r="Z12" s="519"/>
      <c r="AA12" s="519"/>
      <c r="AB12" s="519"/>
      <c r="AC12" s="1632"/>
      <c r="AD12" s="1632"/>
      <c r="AE12" s="1632"/>
      <c r="AF12" s="1632"/>
      <c r="AG12" s="519"/>
      <c r="AH12" s="519"/>
      <c r="AI12" s="519"/>
      <c r="AJ12" s="519"/>
      <c r="AK12" s="519"/>
      <c r="AL12" s="519"/>
      <c r="AM12" s="519"/>
      <c r="AN12" s="519"/>
      <c r="AO12" s="519"/>
      <c r="AP12" s="471"/>
      <c r="AQ12" s="2348"/>
      <c r="AS12" s="664"/>
      <c r="AT12" s="664" t="str">
        <f>IF(V12="","",V12)</f>
        <v>Добавить вид теплоносителя (параметры теплоносителя)</v>
      </c>
      <c r="AU12" s="664"/>
      <c r="AV12" s="664"/>
    </row>
    <row customHeight="1" ht="15" hidden="1">
      <c r="A13" s="1483"/>
      <c r="B13" s="1483"/>
      <c r="C13" s="1483"/>
      <c r="D13" s="1483"/>
      <c r="E13" s="2395"/>
      <c r="F13" s="2395"/>
      <c r="G13" s="2395"/>
      <c r="H13" s="2395"/>
      <c r="I13" s="2204"/>
      <c r="J13" s="1483"/>
      <c r="K13" s="1483"/>
      <c r="L13" s="1483"/>
      <c r="M13" s="1532"/>
      <c r="N13" s="673"/>
      <c r="Q13" s="2350"/>
      <c r="R13" s="1553"/>
      <c r="S13" s="1553"/>
      <c r="T13" s="504"/>
      <c r="U13" s="1495"/>
      <c r="V13" s="516" t="s">
        <v>1484</v>
      </c>
      <c r="W13" s="519"/>
      <c r="X13" s="519"/>
      <c r="Y13" s="519"/>
      <c r="Z13" s="519"/>
      <c r="AA13" s="519"/>
      <c r="AB13" s="519"/>
      <c r="AC13" s="519"/>
      <c r="AD13" s="519"/>
      <c r="AE13" s="519"/>
      <c r="AF13" s="518"/>
      <c r="AG13" s="519"/>
      <c r="AH13" s="519"/>
      <c r="AI13" s="519"/>
      <c r="AJ13" s="519"/>
      <c r="AK13" s="519"/>
      <c r="AL13" s="519"/>
      <c r="AM13" s="519"/>
      <c r="AN13" s="519"/>
      <c r="AO13" s="518"/>
      <c r="AP13" s="519"/>
      <c r="AQ13" s="440"/>
      <c r="AS13" s="664"/>
      <c r="AT13" s="664" t="str">
        <f>IF(V13="","",V13)</f>
        <v>Добавить группу потребителей</v>
      </c>
      <c r="AU13" s="664"/>
      <c r="AV13" s="664"/>
    </row>
    <row customHeight="1" ht="14.25" hidden="1">
      <c r="A14" s="1483"/>
      <c r="B14" s="1483"/>
      <c r="C14" s="1483"/>
      <c r="D14" s="1483"/>
      <c r="E14" s="2395"/>
      <c r="F14" s="2395"/>
      <c r="G14" s="2395"/>
      <c r="H14" s="2394"/>
      <c r="I14" s="1483"/>
      <c r="J14" s="1483"/>
      <c r="K14" s="1483"/>
      <c r="L14" s="1483"/>
      <c r="M14" s="1532"/>
      <c r="N14" s="852"/>
      <c r="O14" s="852"/>
      <c r="P14" s="673"/>
      <c r="Q14" s="508"/>
      <c r="R14" s="528"/>
      <c r="S14" s="503"/>
      <c r="T14" s="508"/>
      <c r="U14" s="1609"/>
      <c r="V14" s="1610"/>
      <c r="W14" s="1611"/>
      <c r="X14" s="1611"/>
      <c r="Y14" s="1611"/>
      <c r="Z14" s="1611"/>
      <c r="AA14" s="1611"/>
      <c r="AB14" s="1611"/>
      <c r="AC14" s="1611"/>
      <c r="AD14" s="1611"/>
      <c r="AE14" s="1611"/>
      <c r="AF14" s="1611"/>
      <c r="AG14" s="1611"/>
      <c r="AH14" s="1611"/>
      <c r="AI14" s="1611"/>
      <c r="AJ14" s="1611"/>
      <c r="AK14" s="1611"/>
      <c r="AL14" s="1611"/>
      <c r="AM14" s="1611"/>
      <c r="AN14" s="1611"/>
      <c r="AO14" s="1611"/>
      <c r="AP14" s="1611"/>
      <c r="AQ14" s="1612"/>
      <c r="AS14" s="664"/>
      <c r="AT14" s="664" t="str">
        <f>IF(V14="","",V14)</f>
        <v/>
      </c>
      <c r="AU14" s="664"/>
      <c r="AV14" s="664"/>
    </row>
    <row s="6520" customFormat="1" customHeight="1" ht="0.75" hidden="1">
      <c r="A15" s="1597"/>
      <c r="B15" s="1597"/>
      <c r="C15" s="1597"/>
      <c r="D15" s="1597"/>
      <c r="E15" s="2395"/>
      <c r="F15" s="2395"/>
      <c r="G15" s="2394"/>
      <c r="H15" s="1597"/>
      <c r="I15" s="1597"/>
      <c r="J15" s="1597"/>
      <c r="K15" s="1597"/>
      <c r="L15" s="1597"/>
      <c r="M15" s="1600"/>
      <c r="N15" s="1601"/>
      <c r="O15" s="1601"/>
      <c r="P15" s="499"/>
      <c r="Q15" s="1538"/>
      <c r="R15" s="1539"/>
      <c r="S15" s="1538"/>
      <c r="T15" s="1538"/>
      <c r="U15" s="1540"/>
      <c r="V15" s="1541" t="s">
        <v>1444</v>
      </c>
      <c r="W15" s="1542"/>
      <c r="X15" s="1542"/>
      <c r="Y15" s="1542"/>
      <c r="Z15" s="1542"/>
      <c r="AA15" s="1542"/>
      <c r="AB15" s="1542"/>
      <c r="AC15" s="1542"/>
      <c r="AD15" s="1542"/>
      <c r="AE15" s="1542"/>
      <c r="AF15" s="1542"/>
      <c r="AG15" s="1542"/>
      <c r="AH15" s="1542"/>
      <c r="AI15" s="1542"/>
      <c r="AJ15" s="1542"/>
      <c r="AK15" s="1542"/>
      <c r="AL15" s="1542"/>
      <c r="AM15" s="1542"/>
      <c r="AN15" s="1542"/>
      <c r="AO15" s="1542"/>
      <c r="AP15" s="1542"/>
      <c r="AQ15" s="1542"/>
      <c r="AS15" s="956"/>
      <c r="AT15" s="956" t="str">
        <f>IF(V15="","",V15)</f>
        <v>Добавить источник для дифференциации</v>
      </c>
      <c r="AU15" s="956"/>
      <c r="AV15" s="956"/>
    </row>
    <row s="6520" customFormat="1" customHeight="1" ht="0.75" hidden="1">
      <c r="A16" s="1597"/>
      <c r="B16" s="1597"/>
      <c r="C16" s="1597"/>
      <c r="D16" s="1597"/>
      <c r="E16" s="2395"/>
      <c r="F16" s="2394"/>
      <c r="G16" s="1597"/>
      <c r="H16" s="1597"/>
      <c r="I16" s="1597"/>
      <c r="J16" s="1597"/>
      <c r="K16" s="1597"/>
      <c r="L16" s="1597"/>
      <c r="M16" s="1600"/>
      <c r="N16" s="1602"/>
      <c r="O16" s="1602"/>
      <c r="P16" s="499"/>
      <c r="Q16" s="1538"/>
      <c r="R16" s="1539"/>
      <c r="S16" s="1538"/>
      <c r="T16" s="1538"/>
      <c r="U16" s="1544"/>
      <c r="V16" s="1545" t="s">
        <v>1445</v>
      </c>
      <c r="W16" s="1546"/>
      <c r="X16" s="1546"/>
      <c r="Y16" s="1546"/>
      <c r="Z16" s="1546"/>
      <c r="AA16" s="1546"/>
      <c r="AB16" s="1546"/>
      <c r="AC16" s="1546"/>
      <c r="AD16" s="1546"/>
      <c r="AE16" s="1546"/>
      <c r="AF16" s="1546"/>
      <c r="AG16" s="1546"/>
      <c r="AH16" s="1546"/>
      <c r="AI16" s="1546"/>
      <c r="AJ16" s="1546"/>
      <c r="AK16" s="1546"/>
      <c r="AL16" s="1546"/>
      <c r="AM16" s="1546"/>
      <c r="AN16" s="1546"/>
      <c r="AO16" s="1546"/>
      <c r="AP16" s="1546"/>
      <c r="AQ16" s="1546"/>
      <c r="AS16" s="956"/>
      <c r="AT16" s="956" t="str">
        <f>IF(V16="","",V16)</f>
        <v>Добавить централизованную систему для дифференциации</v>
      </c>
      <c r="AU16" s="956"/>
      <c r="AV16" s="956"/>
    </row>
    <row s="6520" customFormat="1" customHeight="1" ht="0.75" hidden="1">
      <c r="A17" s="1597"/>
      <c r="B17" s="1597"/>
      <c r="C17" s="1597"/>
      <c r="D17" s="1597"/>
      <c r="E17" s="2394"/>
      <c r="F17" s="1597"/>
      <c r="G17" s="1597"/>
      <c r="H17" s="1597"/>
      <c r="I17" s="1597"/>
      <c r="J17" s="1597"/>
      <c r="K17" s="1597"/>
      <c r="L17" s="1597"/>
      <c r="M17" s="1600"/>
      <c r="N17" s="1602"/>
      <c r="O17" s="1602"/>
      <c r="P17" s="499"/>
      <c r="Q17" s="1538"/>
      <c r="R17" s="1539"/>
      <c r="S17" s="1538"/>
      <c r="T17" s="1538"/>
      <c r="U17" s="1544"/>
      <c r="V17" s="1547" t="s">
        <v>1446</v>
      </c>
      <c r="W17" s="1546"/>
      <c r="X17" s="1546"/>
      <c r="Y17" s="1546"/>
      <c r="Z17" s="1546"/>
      <c r="AA17" s="1546"/>
      <c r="AB17" s="1546"/>
      <c r="AC17" s="1546"/>
      <c r="AD17" s="1546"/>
      <c r="AE17" s="1546"/>
      <c r="AF17" s="1546"/>
      <c r="AG17" s="1546"/>
      <c r="AH17" s="1546"/>
      <c r="AI17" s="1546"/>
      <c r="AJ17" s="1546"/>
      <c r="AK17" s="1546"/>
      <c r="AL17" s="1546"/>
      <c r="AM17" s="1546"/>
      <c r="AN17" s="1546"/>
      <c r="AO17" s="1546"/>
      <c r="AP17" s="1546"/>
      <c r="AQ17" s="1546"/>
      <c r="AS17" s="956"/>
      <c r="AT17" s="956" t="str">
        <f>IF(V17="","",V17)</f>
        <v>Добавить территорию для дифференциации</v>
      </c>
      <c r="AU17" s="956"/>
      <c r="AV17" s="956"/>
    </row>
    <row customHeight="1" ht="14.25" hidden="1">
      <c r="AF18" s="475"/>
      <c r="AO18" s="475"/>
    </row>
    <row customHeight="1" ht="14.25" hidden="1">
      <c r="AG19" s="4025"/>
      <c r="AH19" s="4025"/>
      <c r="AI19" s="4025"/>
      <c r="AJ19" s="4025"/>
      <c r="AK19" s="4026"/>
      <c r="AL19" s="2359"/>
      <c r="AM19" s="2360" t="s">
        <v>66</v>
      </c>
      <c r="AN19" s="2359"/>
      <c r="AO19" s="2360" t="s">
        <v>66</v>
      </c>
    </row>
    <row customHeight="1" ht="14.25" hidden="1">
      <c r="AG20" s="4025"/>
      <c r="AH20" s="4025"/>
      <c r="AI20" s="4025"/>
      <c r="AJ20" s="4025"/>
      <c r="AK20" s="4026"/>
      <c r="AL20" s="2359"/>
      <c r="AM20" s="2360"/>
      <c r="AN20" s="2359"/>
      <c r="AO20" s="2360"/>
    </row>
    <row customHeight="1" ht="14.25" hidden="1">
      <c r="AG21" s="4025"/>
      <c r="AH21" s="4025"/>
      <c r="AI21" s="4025"/>
      <c r="AJ21" s="4025"/>
      <c r="AK21" s="4026"/>
      <c r="AL21" s="2359"/>
      <c r="AM21" s="2360"/>
      <c r="AN21" s="2359"/>
      <c r="AO21" s="2360"/>
    </row>
    <row customHeight="1" ht="14.25" hidden="1">
      <c r="AG22" s="4025"/>
      <c r="AH22" s="4025"/>
      <c r="AI22" s="4025"/>
      <c r="AJ22" s="4025"/>
      <c r="AK22" s="3998" t="str">
        <f>AL19&amp;"-"&amp;AN19</f>
        <v>-</v>
      </c>
      <c r="AL22" s="2360"/>
      <c r="AM22" s="2360"/>
      <c r="AN22" s="2360"/>
      <c r="AO22" s="2360"/>
    </row>
    <row customHeight="1" ht="14.25" hidden="1">
      <c r="AO23" s="475"/>
    </row>
    <row s="6539" customFormat="1" customHeight="1" ht="22.5" hidden="1">
      <c r="A24" s="1343"/>
      <c r="B24" s="1343"/>
      <c r="C24" s="1343"/>
      <c r="D24" s="1343"/>
      <c r="E24" s="1343"/>
      <c r="F24" s="1343"/>
      <c r="G24" s="1343"/>
      <c r="H24" s="1343"/>
      <c r="I24" s="1343"/>
      <c r="J24" s="1343"/>
      <c r="K24" s="1343"/>
      <c r="L24" s="1343"/>
      <c r="M24" s="1549"/>
      <c r="N24" s="1550"/>
      <c r="O24" s="1550"/>
      <c r="P24" s="1567" t="s">
        <v>1486</v>
      </c>
      <c r="Q24" s="1585"/>
      <c r="R24" s="1594"/>
      <c r="S24" s="1594"/>
      <c r="T24" s="1594"/>
      <c r="U24" s="894"/>
      <c r="AC24" s="1590"/>
      <c r="AE24" s="1590"/>
      <c r="AF24" s="1589"/>
      <c r="AL24" s="1590"/>
      <c r="AN24" s="1590"/>
      <c r="AO24" s="1589"/>
      <c r="AR24" s="675"/>
      <c r="AS24" s="675"/>
      <c r="AT24" s="675"/>
      <c r="AU24" s="675"/>
      <c r="AV24" s="675"/>
    </row>
    <row s="6539" customFormat="1" customHeight="1" ht="14.25" hidden="1">
      <c r="A25" s="1343"/>
      <c r="B25" s="1343"/>
      <c r="C25" s="1343"/>
      <c r="D25" s="1343"/>
      <c r="E25" s="1343"/>
      <c r="F25" s="1343"/>
      <c r="G25" s="1343"/>
      <c r="H25" s="1343"/>
      <c r="I25" s="1343"/>
      <c r="J25" s="1343"/>
      <c r="K25" s="1343"/>
      <c r="L25" s="1343"/>
      <c r="M25" s="1549"/>
      <c r="N25" s="1550"/>
      <c r="O25" s="1550"/>
      <c r="P25" s="1550"/>
      <c r="Q25" s="1585"/>
      <c r="R25" s="1594"/>
      <c r="S25" s="1594"/>
      <c r="T25" s="1594"/>
      <c r="U25" s="894"/>
      <c r="AF25" s="1589"/>
      <c r="AO25" s="1589"/>
      <c r="AR25" s="675"/>
      <c r="AS25" s="675"/>
      <c r="AT25" s="675"/>
      <c r="AU25" s="675"/>
      <c r="AV25" s="675"/>
    </row>
    <row s="6539" customFormat="1" customHeight="1" ht="14.25" hidden="1">
      <c r="A26" s="1343"/>
      <c r="B26" s="1343"/>
      <c r="C26" s="1343"/>
      <c r="D26" s="1343"/>
      <c r="E26" s="1343"/>
      <c r="F26" s="1343"/>
      <c r="G26" s="1343"/>
      <c r="H26" s="1343"/>
      <c r="I26" s="1343"/>
      <c r="J26" s="1343"/>
      <c r="K26" s="1343"/>
      <c r="L26" s="1343"/>
      <c r="M26" s="1549"/>
      <c r="N26" s="1550"/>
      <c r="O26" s="1550"/>
      <c r="P26" s="1532" t="s">
        <v>1487</v>
      </c>
      <c r="Q26" s="1585"/>
      <c r="R26" s="1594"/>
      <c r="S26" s="1594"/>
      <c r="T26" s="1594"/>
      <c r="U26" s="894"/>
      <c r="V26" s="1348" t="s">
        <v>1488</v>
      </c>
      <c r="AD26" s="320" t="s">
        <v>1489</v>
      </c>
      <c r="AF26" s="320" t="s">
        <v>1490</v>
      </c>
      <c r="AG26" s="1348" t="s">
        <v>1488</v>
      </c>
      <c r="AM26" s="320" t="s">
        <v>1491</v>
      </c>
      <c r="AO26" s="320" t="s">
        <v>1490</v>
      </c>
      <c r="AR26" s="675"/>
      <c r="AS26" s="675"/>
      <c r="AT26" s="675"/>
      <c r="AU26" s="675"/>
      <c r="AV26" s="675"/>
    </row>
    <row customHeight="1" ht="14.25" hidden="1">
      <c r="P27" s="1532"/>
    </row>
    <row customHeight="1" ht="14.25" hidden="1">
      <c r="P28" s="1532"/>
    </row>
    <row customHeight="1" ht="14.25">
      <c r="R29" s="529"/>
      <c r="S29" s="529"/>
      <c r="T29" s="529"/>
      <c r="U29" s="1492"/>
      <c r="V29" s="513"/>
      <c r="W29" s="513"/>
      <c r="X29" s="673"/>
      <c r="Y29" s="673"/>
      <c r="Z29" s="673"/>
      <c r="AA29" s="673"/>
      <c r="AB29" s="673"/>
      <c r="AC29" s="673"/>
      <c r="AD29" s="673"/>
      <c r="AE29" s="673"/>
      <c r="AF29" s="673"/>
      <c r="AG29" s="673"/>
      <c r="AH29" s="673"/>
      <c r="AI29" s="673"/>
      <c r="AJ29" s="673"/>
      <c r="AK29" s="673"/>
      <c r="AL29" s="673"/>
      <c r="AM29" s="673"/>
      <c r="AN29" s="673"/>
      <c r="AO29" s="673"/>
    </row>
    <row customHeight="1" ht="64.5">
      <c r="R30" s="529"/>
      <c r="S30" s="529"/>
      <c r="T30" s="529"/>
      <c r="U30" s="2341" t="str">
        <f>IF(TEMPLATE_GROUP="P",PT_P_FORM_HEAT_6_NAME_FORM,PT_R_FORM_HEAT_23_NAME_FORM)</f>
        <v>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341"/>
      <c r="W30" s="2341"/>
      <c r="X30" s="2341"/>
      <c r="Y30" s="2341"/>
      <c r="Z30" s="2341"/>
      <c r="AA30" s="2341"/>
      <c r="AB30" s="2341"/>
      <c r="AC30" s="2341"/>
      <c r="AD30" s="2341"/>
      <c r="AE30" s="2341"/>
      <c r="AF30" s="2341"/>
      <c r="AG30" s="2341"/>
      <c r="AH30" s="2341"/>
      <c r="AI30" s="2341"/>
      <c r="AJ30" s="2341"/>
      <c r="AK30" s="2341"/>
      <c r="AL30" s="2341"/>
      <c r="AM30" s="2341"/>
      <c r="AN30" s="2341"/>
      <c r="AO30" s="1448"/>
    </row>
    <row customHeight="1" ht="14.25">
      <c r="R31" s="529"/>
      <c r="S31" s="529"/>
      <c r="T31" s="529"/>
      <c r="U31"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V31" s="2342"/>
      <c r="W31" s="2342"/>
      <c r="X31" s="2342"/>
      <c r="Y31" s="2342"/>
      <c r="Z31" s="2342"/>
      <c r="AA31" s="2342"/>
      <c r="AB31" s="2342"/>
      <c r="AC31" s="2342"/>
      <c r="AD31" s="2342"/>
      <c r="AE31" s="2342"/>
      <c r="AF31" s="2342"/>
      <c r="AG31" s="2342"/>
      <c r="AH31" s="2342"/>
      <c r="AI31" s="2342"/>
      <c r="AJ31" s="2342"/>
      <c r="AK31" s="2342"/>
      <c r="AL31" s="2342"/>
      <c r="AM31" s="2342"/>
      <c r="AN31" s="2342"/>
      <c r="AO31" s="1448"/>
    </row>
    <row customHeight="1" ht="14.25" hidden="1">
      <c r="R32" s="529"/>
      <c r="S32" s="529"/>
      <c r="T32" s="529"/>
      <c r="U32" s="1492"/>
      <c r="V32" s="513"/>
      <c r="W32" s="513"/>
      <c r="X32" s="468"/>
      <c r="Y32" s="468"/>
      <c r="Z32" s="468"/>
      <c r="AA32" s="468"/>
      <c r="AB32" s="468"/>
      <c r="AC32" s="468"/>
      <c r="AD32" s="468"/>
      <c r="AE32" s="468"/>
      <c r="AF32" s="468"/>
      <c r="AG32" s="468"/>
      <c r="AH32" s="468"/>
      <c r="AI32" s="468"/>
      <c r="AJ32" s="468"/>
      <c r="AK32" s="468"/>
      <c r="AL32" s="468"/>
      <c r="AM32" s="468"/>
      <c r="AN32" s="468"/>
      <c r="AO32" s="468"/>
      <c r="AP32" s="673"/>
    </row>
    <row s="6550" customFormat="1" customHeight="1" ht="25.5" hidden="1">
      <c r="A33" s="1454"/>
      <c r="B33" s="1454"/>
      <c r="C33" s="1454"/>
      <c r="D33" s="1454"/>
      <c r="E33" s="1454"/>
      <c r="F33" s="1454"/>
      <c r="G33" s="1454"/>
      <c r="H33" s="1454"/>
      <c r="I33" s="1454"/>
      <c r="J33" s="1454"/>
      <c r="K33" s="1454"/>
      <c r="L33" s="1454"/>
      <c r="M33" s="1603"/>
      <c r="N33" s="1454"/>
      <c r="O33" s="1454"/>
      <c r="P33" s="1454"/>
      <c r="U33" s="2343" t="s">
        <v>39</v>
      </c>
      <c r="V33" s="2343"/>
      <c r="W33" s="1595"/>
      <c r="X33" s="2344" t="str">
        <f>IF(TITLE_NAME_OR_PR_CHANGE="",IF(TITLE_NAME_OR_PR="","",TITLE_NAME_OR_PR),TITLE_NAME_OR_PR_CHANGE)</f>
        <v/>
      </c>
      <c r="Y33" s="2344"/>
      <c r="Z33" s="2344"/>
      <c r="AA33" s="2344"/>
      <c r="AB33" s="2344"/>
      <c r="AC33" s="2344"/>
      <c r="AD33" s="2344"/>
      <c r="AE33" s="2344"/>
      <c r="AF33" s="474"/>
      <c r="AG33" s="2344" t="str">
        <f>IF(TITLE_NAME_OR_PR_CHANGE="",IF(TITLE_NAME_OR_PR="","",TITLE_NAME_OR_PR),TITLE_NAME_OR_PR_CHANGE)</f>
        <v/>
      </c>
      <c r="AH33" s="2344"/>
      <c r="AI33" s="2344"/>
      <c r="AJ33" s="2344"/>
      <c r="AK33" s="2344"/>
      <c r="AL33" s="2344"/>
      <c r="AM33" s="2344"/>
      <c r="AN33" s="2344"/>
      <c r="AO33" s="474"/>
      <c r="AP33" s="474"/>
      <c r="AQ33" s="417"/>
      <c r="AR33" s="520"/>
      <c r="AS33" s="520"/>
      <c r="AT33" s="520"/>
      <c r="AU33" s="520"/>
      <c r="AV33" s="520"/>
    </row>
    <row s="6550" customFormat="1" customHeight="1" ht="18.75" hidden="1">
      <c r="A34" s="1454"/>
      <c r="B34" s="1454"/>
      <c r="C34" s="1454"/>
      <c r="D34" s="1454"/>
      <c r="E34" s="1454"/>
      <c r="F34" s="1454"/>
      <c r="G34" s="1454"/>
      <c r="H34" s="1454"/>
      <c r="I34" s="1454"/>
      <c r="J34" s="1454"/>
      <c r="K34" s="1454"/>
      <c r="L34" s="1454"/>
      <c r="M34" s="1603"/>
      <c r="N34" s="1454"/>
      <c r="O34" s="1454"/>
      <c r="P34" s="1454"/>
      <c r="U34" s="2343" t="s">
        <v>1492</v>
      </c>
      <c r="V34" s="2343"/>
      <c r="W34" s="1595"/>
      <c r="X34" s="2344" t="str">
        <f>IF(TITLE_DATE_CHANGE_PERIOD="",IF(TITLE_DATE_PR="","",TITLE_DATE_PR),TITLE_DATE_CHANGE_PERIOD)</f>
        <v/>
      </c>
      <c r="Y34" s="2344"/>
      <c r="Z34" s="2344"/>
      <c r="AA34" s="2344"/>
      <c r="AB34" s="2344"/>
      <c r="AC34" s="2344"/>
      <c r="AD34" s="2344"/>
      <c r="AE34" s="2344"/>
      <c r="AF34" s="474"/>
      <c r="AG34" s="2344" t="str">
        <f>IF(TITLE_DATE_CHANGE_PERIOD="",IF(TITLE_DATE_PR="","",TITLE_DATE_PR),TITLE_DATE_CHANGE_PERIOD)</f>
        <v/>
      </c>
      <c r="AH34" s="2344"/>
      <c r="AI34" s="2344"/>
      <c r="AJ34" s="2344"/>
      <c r="AK34" s="2344"/>
      <c r="AL34" s="2344"/>
      <c r="AM34" s="2344"/>
      <c r="AN34" s="2344"/>
      <c r="AO34" s="474"/>
      <c r="AP34" s="474"/>
      <c r="AQ34" s="417"/>
      <c r="AR34" s="520"/>
      <c r="AS34" s="520"/>
      <c r="AT34" s="520"/>
      <c r="AU34" s="520"/>
      <c r="AV34" s="520"/>
    </row>
    <row s="6550" customFormat="1" customHeight="1" ht="18.75" hidden="1">
      <c r="A35" s="1454"/>
      <c r="B35" s="1454"/>
      <c r="C35" s="1454"/>
      <c r="D35" s="1454"/>
      <c r="E35" s="1454"/>
      <c r="F35" s="1454"/>
      <c r="G35" s="1454"/>
      <c r="H35" s="1454"/>
      <c r="I35" s="1454"/>
      <c r="J35" s="1454"/>
      <c r="K35" s="1454"/>
      <c r="L35" s="1454"/>
      <c r="M35" s="1603"/>
      <c r="N35" s="1454"/>
      <c r="O35" s="1454"/>
      <c r="P35" s="1454"/>
      <c r="U35" s="2343" t="s">
        <v>1493</v>
      </c>
      <c r="V35" s="2343"/>
      <c r="W35" s="1595"/>
      <c r="X35" s="2344" t="str">
        <f>IF(TITLE_NUMBER_PR_CHANGE="",IF(TITLE_NUMBER_PR="","",TITLE_NUMBER_PR),TITLE_NUMBER_PR_CHANGE)</f>
        <v/>
      </c>
      <c r="Y35" s="2344"/>
      <c r="Z35" s="2344"/>
      <c r="AA35" s="2344"/>
      <c r="AB35" s="2344"/>
      <c r="AC35" s="2344"/>
      <c r="AD35" s="2344"/>
      <c r="AE35" s="2344"/>
      <c r="AF35" s="474"/>
      <c r="AG35" s="2344" t="str">
        <f>IF(TITLE_NUMBER_PR_CHANGE="",IF(TITLE_NUMBER_PR="","",TITLE_NUMBER_PR),TITLE_NUMBER_PR_CHANGE)</f>
        <v/>
      </c>
      <c r="AH35" s="2344"/>
      <c r="AI35" s="2344"/>
      <c r="AJ35" s="2344"/>
      <c r="AK35" s="2344"/>
      <c r="AL35" s="2344"/>
      <c r="AM35" s="2344"/>
      <c r="AN35" s="2344"/>
      <c r="AO35" s="474"/>
      <c r="AP35" s="474"/>
      <c r="AQ35" s="417"/>
      <c r="AR35" s="520"/>
      <c r="AS35" s="520"/>
      <c r="AT35" s="520"/>
      <c r="AU35" s="520"/>
      <c r="AV35" s="520"/>
    </row>
    <row s="6550" customFormat="1" customHeight="1" ht="18.75" hidden="1">
      <c r="A36" s="1454"/>
      <c r="B36" s="1454"/>
      <c r="C36" s="1454"/>
      <c r="D36" s="1454"/>
      <c r="E36" s="1454"/>
      <c r="F36" s="1454"/>
      <c r="G36" s="1454"/>
      <c r="H36" s="1454"/>
      <c r="I36" s="1454"/>
      <c r="J36" s="1454"/>
      <c r="K36" s="1454"/>
      <c r="L36" s="1454"/>
      <c r="M36" s="1603"/>
      <c r="N36" s="1454"/>
      <c r="O36" s="1454"/>
      <c r="P36" s="1454"/>
      <c r="U36" s="2343" t="s">
        <v>40</v>
      </c>
      <c r="V36" s="2343"/>
      <c r="W36" s="1595"/>
      <c r="X36" s="2344" t="str">
        <f>IF(TITLE_IST_PUB_CHANGE="",IF(TITLE_IST_PUB="","",TITLE_IST_PUB),TITLE_IST_PUB_CHANGE)</f>
        <v/>
      </c>
      <c r="Y36" s="2344"/>
      <c r="Z36" s="2344"/>
      <c r="AA36" s="2344"/>
      <c r="AB36" s="2344"/>
      <c r="AC36" s="2344"/>
      <c r="AD36" s="2344"/>
      <c r="AE36" s="2344"/>
      <c r="AF36" s="474"/>
      <c r="AG36" s="2344" t="str">
        <f>IF(TITLE_IST_PUB_CHANGE="",IF(TITLE_IST_PUB="","",TITLE_IST_PUB),TITLE_IST_PUB_CHANGE)</f>
        <v/>
      </c>
      <c r="AH36" s="2344"/>
      <c r="AI36" s="2344"/>
      <c r="AJ36" s="2344"/>
      <c r="AK36" s="2344"/>
      <c r="AL36" s="2344"/>
      <c r="AM36" s="2344"/>
      <c r="AN36" s="2344"/>
      <c r="AO36" s="474"/>
      <c r="AP36" s="474"/>
      <c r="AQ36" s="417"/>
      <c r="AR36" s="520"/>
      <c r="AS36" s="520"/>
      <c r="AT36" s="520"/>
      <c r="AU36" s="520"/>
      <c r="AV36" s="520"/>
    </row>
    <row customHeight="1" ht="14.25" hidden="1">
      <c r="R37" s="529"/>
      <c r="S37" s="529"/>
      <c r="T37" s="529"/>
      <c r="U37" s="1492"/>
      <c r="V37" s="513"/>
      <c r="W37" s="513"/>
      <c r="X37" s="468"/>
      <c r="Y37" s="468"/>
      <c r="Z37" s="468"/>
      <c r="AA37" s="468"/>
      <c r="AB37" s="468"/>
      <c r="AC37" s="468"/>
      <c r="AD37" s="468"/>
      <c r="AE37" s="468"/>
      <c r="AF37" s="468"/>
      <c r="AG37" s="468"/>
      <c r="AH37" s="468"/>
      <c r="AI37" s="468"/>
      <c r="AJ37" s="468"/>
      <c r="AK37" s="468"/>
      <c r="AL37" s="468"/>
      <c r="AM37" s="468"/>
      <c r="AN37" s="468"/>
      <c r="AO37" s="468"/>
      <c r="AP37" s="673"/>
    </row>
    <row s="6550" customFormat="1" customHeight="1" ht="18.75" hidden="1">
      <c r="A38" s="1454"/>
      <c r="B38" s="1454"/>
      <c r="C38" s="1454"/>
      <c r="D38" s="1454"/>
      <c r="E38" s="1454"/>
      <c r="F38" s="1454"/>
      <c r="G38" s="1454"/>
      <c r="H38" s="1454"/>
      <c r="I38" s="1454"/>
      <c r="J38" s="1454"/>
      <c r="K38" s="1454"/>
      <c r="L38" s="1454"/>
      <c r="M38" s="1603"/>
      <c r="N38" s="1454"/>
      <c r="O38" s="1454"/>
      <c r="P38" s="1454"/>
      <c r="U38" s="2343" t="s">
        <v>1494</v>
      </c>
      <c r="V38" s="2343"/>
      <c r="W38" s="1595"/>
      <c r="X38" s="2344" t="str">
        <f>IF(TITLE_DATE_CHANGE_PERIOD="",IF(TITLE_DATE_PR="","",TITLE_DATE_PR),TITLE_DATE_CHANGE_PERIOD)</f>
        <v/>
      </c>
      <c r="Y38" s="2344"/>
      <c r="Z38" s="2344"/>
      <c r="AA38" s="2344"/>
      <c r="AB38" s="2344"/>
      <c r="AC38" s="2344"/>
      <c r="AD38" s="2344"/>
      <c r="AE38" s="2344"/>
      <c r="AF38" s="474"/>
      <c r="AG38" s="2344" t="str">
        <f>IF(TITLE_DATE_CHANGE_PERIOD="",IF(TITLE_DATE_PR="","",TITLE_DATE_PR),TITLE_DATE_CHANGE_PERIOD)</f>
        <v/>
      </c>
      <c r="AH38" s="2344"/>
      <c r="AI38" s="2344"/>
      <c r="AJ38" s="2344"/>
      <c r="AK38" s="2344"/>
      <c r="AL38" s="2344"/>
      <c r="AM38" s="2344"/>
      <c r="AN38" s="2344"/>
      <c r="AO38" s="474"/>
      <c r="AP38" s="474"/>
      <c r="AQ38" s="417"/>
      <c r="AR38" s="520"/>
      <c r="AS38" s="520"/>
      <c r="AT38" s="520"/>
      <c r="AU38" s="520"/>
      <c r="AV38" s="520"/>
    </row>
    <row s="6550" customFormat="1" customHeight="1" ht="18.75" hidden="1">
      <c r="A39" s="1454"/>
      <c r="B39" s="1454"/>
      <c r="C39" s="1454"/>
      <c r="D39" s="1454"/>
      <c r="E39" s="1454"/>
      <c r="F39" s="1454"/>
      <c r="G39" s="1454"/>
      <c r="H39" s="1454"/>
      <c r="I39" s="1454"/>
      <c r="J39" s="1454"/>
      <c r="K39" s="1454"/>
      <c r="L39" s="1454"/>
      <c r="M39" s="1603"/>
      <c r="N39" s="1454"/>
      <c r="O39" s="1454"/>
      <c r="P39" s="1454"/>
      <c r="U39" s="2343" t="s">
        <v>1495</v>
      </c>
      <c r="V39" s="2343"/>
      <c r="W39" s="1595"/>
      <c r="X39" s="2344" t="str">
        <f>IF(TITLE_NUMBER_PR_CHANGE="",IF(TITLE_NUMBER_PR="","",TITLE_NUMBER_PR),TITLE_NUMBER_PR_CHANGE)</f>
        <v/>
      </c>
      <c r="Y39" s="2344"/>
      <c r="Z39" s="2344"/>
      <c r="AA39" s="2344"/>
      <c r="AB39" s="2344"/>
      <c r="AC39" s="2344"/>
      <c r="AD39" s="2344"/>
      <c r="AE39" s="2344"/>
      <c r="AF39" s="474"/>
      <c r="AG39" s="2344" t="str">
        <f>IF(TITLE_NUMBER_PR_CHANGE="",IF(TITLE_NUMBER_PR="","",TITLE_NUMBER_PR),TITLE_NUMBER_PR_CHANGE)</f>
        <v/>
      </c>
      <c r="AH39" s="2344"/>
      <c r="AI39" s="2344"/>
      <c r="AJ39" s="2344"/>
      <c r="AK39" s="2344"/>
      <c r="AL39" s="2344"/>
      <c r="AM39" s="2344"/>
      <c r="AN39" s="2344"/>
      <c r="AO39" s="474"/>
      <c r="AP39" s="474"/>
      <c r="AQ39" s="417"/>
      <c r="AR39" s="520"/>
      <c r="AS39" s="520"/>
      <c r="AT39" s="520"/>
      <c r="AU39" s="520"/>
      <c r="AV39" s="520"/>
    </row>
    <row s="6550" customFormat="1" customHeight="1" ht="0">
      <c r="A40" s="1454"/>
      <c r="B40" s="1454"/>
      <c r="C40" s="1454"/>
      <c r="D40" s="1454"/>
      <c r="E40" s="1454"/>
      <c r="F40" s="1454"/>
      <c r="G40" s="1454"/>
      <c r="H40" s="1454"/>
      <c r="I40" s="1454"/>
      <c r="J40" s="1454"/>
      <c r="K40" s="1454"/>
      <c r="L40" s="1454"/>
      <c r="M40" s="1603"/>
      <c r="N40" s="1454"/>
      <c r="O40" s="1454"/>
      <c r="P40" s="1454"/>
      <c r="U40" s="470"/>
      <c r="V40" s="470"/>
      <c r="W40" s="1562"/>
      <c r="X40" s="474"/>
      <c r="Y40" s="474"/>
      <c r="Z40" s="474"/>
      <c r="AA40" s="474"/>
      <c r="AB40" s="474"/>
      <c r="AC40" s="474"/>
      <c r="AD40" s="474"/>
      <c r="AE40" s="474"/>
      <c r="AF40" s="415" t="s">
        <v>1496</v>
      </c>
      <c r="AG40" s="474"/>
      <c r="AH40" s="474"/>
      <c r="AI40" s="474"/>
      <c r="AJ40" s="474"/>
      <c r="AK40" s="474"/>
      <c r="AL40" s="474"/>
      <c r="AM40" s="474"/>
      <c r="AN40" s="474"/>
      <c r="AO40" s="415" t="s">
        <v>1496</v>
      </c>
      <c r="AR40" s="520"/>
      <c r="AS40" s="520"/>
      <c r="AT40" s="520"/>
      <c r="AU40" s="520"/>
      <c r="AV40" s="520"/>
    </row>
    <row customHeight="1" ht="14.25">
      <c r="R41" s="529"/>
      <c r="S41" s="529"/>
      <c r="T41" s="529"/>
      <c r="U41" s="1492"/>
      <c r="V41" s="513"/>
      <c r="W41" s="1449"/>
      <c r="X41" s="2345"/>
      <c r="Y41" s="2345"/>
      <c r="Z41" s="2345"/>
      <c r="AA41" s="2345"/>
      <c r="AB41" s="2345"/>
      <c r="AC41" s="2345"/>
      <c r="AD41" s="2345"/>
      <c r="AE41" s="2345"/>
      <c r="AF41" s="2345"/>
      <c r="AG41" s="2345"/>
      <c r="AH41" s="2345"/>
      <c r="AI41" s="2345"/>
      <c r="AJ41" s="2345"/>
      <c r="AK41" s="2345"/>
      <c r="AL41" s="2345"/>
      <c r="AM41" s="2345"/>
      <c r="AN41" s="2345"/>
      <c r="AO41" s="2345"/>
    </row>
    <row customHeight="1" ht="14.25">
      <c r="R42" s="529"/>
      <c r="S42" s="529"/>
      <c r="T42" s="529"/>
      <c r="U42" s="2204" t="s">
        <v>300</v>
      </c>
      <c r="V42" s="2204"/>
      <c r="W42" s="2204"/>
      <c r="X42" s="2204"/>
      <c r="Y42" s="2204"/>
      <c r="Z42" s="2204"/>
      <c r="AA42" s="2204"/>
      <c r="AB42" s="2204"/>
      <c r="AC42" s="2204"/>
      <c r="AD42" s="2204"/>
      <c r="AE42" s="2204"/>
      <c r="AF42" s="2204"/>
      <c r="AG42" s="2204"/>
      <c r="AH42" s="2204"/>
      <c r="AI42" s="2204"/>
      <c r="AJ42" s="2204"/>
      <c r="AK42" s="2204"/>
      <c r="AL42" s="2204"/>
      <c r="AM42" s="2204"/>
      <c r="AN42" s="2204"/>
      <c r="AO42" s="2204"/>
      <c r="AP42" s="2204"/>
      <c r="AQ42" s="2204" t="s">
        <v>301</v>
      </c>
    </row>
    <row customHeight="1" ht="14.25">
      <c r="R43" s="529"/>
      <c r="S43" s="529"/>
      <c r="T43" s="529"/>
      <c r="U43" s="2367" t="s">
        <v>87</v>
      </c>
      <c r="V43" s="2228" t="s">
        <v>1497</v>
      </c>
      <c r="W43" s="438"/>
      <c r="X43" s="2368" t="s">
        <v>1498</v>
      </c>
      <c r="Y43" s="2385"/>
      <c r="Z43" s="2385"/>
      <c r="AA43" s="2385"/>
      <c r="AB43" s="2385"/>
      <c r="AC43" s="2369"/>
      <c r="AD43" s="2369"/>
      <c r="AE43" s="2370"/>
      <c r="AF43" s="2371" t="s">
        <v>1499</v>
      </c>
      <c r="AG43" s="2368" t="s">
        <v>1498</v>
      </c>
      <c r="AH43" s="2385"/>
      <c r="AI43" s="2385"/>
      <c r="AJ43" s="2385"/>
      <c r="AK43" s="2385"/>
      <c r="AL43" s="2369"/>
      <c r="AM43" s="2369"/>
      <c r="AN43" s="2370"/>
      <c r="AO43" s="2371" t="s">
        <v>1500</v>
      </c>
      <c r="AP43" s="2374" t="s">
        <v>1501</v>
      </c>
      <c r="AQ43" s="2204"/>
    </row>
    <row customHeight="1" ht="33.75">
      <c r="R44" s="529"/>
      <c r="S44" s="529"/>
      <c r="T44" s="529"/>
      <c r="U44" s="2367"/>
      <c r="V44" s="2228"/>
      <c r="W44" s="1216"/>
      <c r="X44" s="2388" t="s">
        <v>1534</v>
      </c>
      <c r="Y44" s="2403" t="s">
        <v>1535</v>
      </c>
      <c r="Z44" s="2403"/>
      <c r="AA44" s="2403"/>
      <c r="AB44" s="2403"/>
      <c r="AC44" s="2404" t="s">
        <v>1505</v>
      </c>
      <c r="AD44" s="2405"/>
      <c r="AE44" s="2406"/>
      <c r="AF44" s="2372"/>
      <c r="AG44" s="2388" t="s">
        <v>1534</v>
      </c>
      <c r="AH44" s="2403" t="s">
        <v>1535</v>
      </c>
      <c r="AI44" s="2403"/>
      <c r="AJ44" s="2403"/>
      <c r="AK44" s="2403"/>
      <c r="AL44" s="2404" t="s">
        <v>1505</v>
      </c>
      <c r="AM44" s="2405"/>
      <c r="AN44" s="2406"/>
      <c r="AO44" s="2372"/>
      <c r="AP44" s="2375"/>
      <c r="AQ44" s="2204"/>
    </row>
    <row customHeight="1" ht="14.25">
      <c r="R45" s="529"/>
      <c r="S45" s="529"/>
      <c r="T45" s="529"/>
      <c r="U45" s="2367"/>
      <c r="V45" s="2228"/>
      <c r="W45" s="1216"/>
      <c r="X45" s="2422"/>
      <c r="Y45" s="2410" t="s">
        <v>1536</v>
      </c>
      <c r="Z45" s="2413" t="s">
        <v>1537</v>
      </c>
      <c r="AA45" s="2414"/>
      <c r="AB45" s="2415"/>
      <c r="AC45" s="2407"/>
      <c r="AD45" s="2408"/>
      <c r="AE45" s="2409"/>
      <c r="AF45" s="2372"/>
      <c r="AG45" s="2422"/>
      <c r="AH45" s="2410" t="s">
        <v>1536</v>
      </c>
      <c r="AI45" s="2413" t="s">
        <v>1537</v>
      </c>
      <c r="AJ45" s="2414"/>
      <c r="AK45" s="2415"/>
      <c r="AL45" s="2407"/>
      <c r="AM45" s="2408"/>
      <c r="AN45" s="2409"/>
      <c r="AO45" s="2372"/>
      <c r="AP45" s="2375"/>
      <c r="AQ45" s="2204"/>
    </row>
    <row customHeight="1" ht="25.5">
      <c r="R46" s="529"/>
      <c r="S46" s="529"/>
      <c r="T46" s="529"/>
      <c r="U46" s="2367"/>
      <c r="V46" s="2228"/>
      <c r="W46" s="1216"/>
      <c r="X46" s="2422"/>
      <c r="Y46" s="2411"/>
      <c r="Z46" s="2410" t="s">
        <v>1538</v>
      </c>
      <c r="AA46" s="2413" t="s">
        <v>1539</v>
      </c>
      <c r="AB46" s="2415"/>
      <c r="AC46" s="2416" t="s">
        <v>1515</v>
      </c>
      <c r="AD46" s="2418" t="s">
        <v>1516</v>
      </c>
      <c r="AE46" s="2419"/>
      <c r="AF46" s="2372"/>
      <c r="AG46" s="2422"/>
      <c r="AH46" s="2411"/>
      <c r="AI46" s="2410" t="s">
        <v>1538</v>
      </c>
      <c r="AJ46" s="2413" t="s">
        <v>1539</v>
      </c>
      <c r="AK46" s="2415"/>
      <c r="AL46" s="2416" t="s">
        <v>1515</v>
      </c>
      <c r="AM46" s="2418" t="s">
        <v>1516</v>
      </c>
      <c r="AN46" s="2419"/>
      <c r="AO46" s="2372"/>
      <c r="AP46" s="2375"/>
      <c r="AQ46" s="2204"/>
    </row>
    <row customHeight="1" ht="62.25">
      <c r="A47" s="1475"/>
      <c r="B47" s="1475" t="s">
        <v>144</v>
      </c>
      <c r="C47" s="1475" t="s">
        <v>145</v>
      </c>
      <c r="D47" s="1475" t="s">
        <v>146</v>
      </c>
      <c r="E47" s="1532" t="s">
        <v>1506</v>
      </c>
      <c r="F47" s="1532" t="s">
        <v>1507</v>
      </c>
      <c r="G47" s="1532" t="s">
        <v>1508</v>
      </c>
      <c r="H47" s="1532" t="s">
        <v>1509</v>
      </c>
      <c r="I47" s="1532" t="s">
        <v>1510</v>
      </c>
      <c r="J47" s="1532" t="s">
        <v>1511</v>
      </c>
      <c r="K47" s="1532" t="s">
        <v>1512</v>
      </c>
      <c r="L47" s="1532" t="s">
        <v>1540</v>
      </c>
      <c r="M47" s="1532" t="s">
        <v>1487</v>
      </c>
      <c r="R47" s="529"/>
      <c r="S47" s="529"/>
      <c r="T47" s="529"/>
      <c r="U47" s="2367"/>
      <c r="V47" s="2228"/>
      <c r="W47" s="439"/>
      <c r="X47" s="2389"/>
      <c r="Y47" s="2412"/>
      <c r="Z47" s="2412"/>
      <c r="AA47" s="1424" t="s">
        <v>1541</v>
      </c>
      <c r="AB47" s="1424" t="s">
        <v>1542</v>
      </c>
      <c r="AC47" s="2417"/>
      <c r="AD47" s="2420"/>
      <c r="AE47" s="2421"/>
      <c r="AF47" s="2373"/>
      <c r="AG47" s="2389"/>
      <c r="AH47" s="2412"/>
      <c r="AI47" s="2412"/>
      <c r="AJ47" s="1424" t="s">
        <v>1541</v>
      </c>
      <c r="AK47" s="1424" t="s">
        <v>1542</v>
      </c>
      <c r="AL47" s="2417"/>
      <c r="AM47" s="2420"/>
      <c r="AN47" s="2421"/>
      <c r="AO47" s="2373"/>
      <c r="AP47" s="2376"/>
      <c r="AQ47" s="2204"/>
    </row>
    <row s="5794" customFormat="1" customHeight="1" ht="11.25" hidden="1">
      <c r="A48" s="1475"/>
      <c r="B48" s="1475"/>
      <c r="C48" s="1475"/>
      <c r="D48" s="1475"/>
      <c r="E48" s="1475"/>
      <c r="F48" s="1475"/>
      <c r="G48" s="1475"/>
      <c r="H48" s="1475"/>
      <c r="I48" s="1475"/>
      <c r="J48" s="1475"/>
      <c r="K48" s="1475"/>
      <c r="L48" s="1475"/>
      <c r="M48" s="1532"/>
      <c r="N48" s="1550"/>
      <c r="O48" s="1550"/>
      <c r="P48" s="1550"/>
      <c r="Q48" s="1451"/>
      <c r="R48" s="1452"/>
      <c r="S48" s="1467">
        <v>1</v>
      </c>
      <c r="T48" s="1467"/>
      <c r="U48" s="1494" t="s">
        <v>118</v>
      </c>
      <c r="V48" s="1468" t="s">
        <v>102</v>
      </c>
      <c r="W48" s="1450" t="str">
        <f>OFFSET(W48,0,-1)</f>
        <v>2</v>
      </c>
      <c r="X48" s="1557">
        <f>OFFSET(X48,0,-1)+1</f>
        <v>3</v>
      </c>
      <c r="Y48" s="1563"/>
      <c r="Z48" s="1563"/>
      <c r="AA48" s="1563">
        <f>OFFSET(AA48,0,-1)+1</f>
        <v>1</v>
      </c>
      <c r="AB48" s="1563">
        <f>OFFSET(AB48,0,-1)+1</f>
        <v>2</v>
      </c>
      <c r="AC48" s="1557">
        <f>OFFSET(AC48,0,-1)+1</f>
        <v>3</v>
      </c>
      <c r="AD48" s="2366">
        <f>OFFSET(AD48,0,-1)+1</f>
        <v>4</v>
      </c>
      <c r="AE48" s="2366"/>
      <c r="AF48" s="1557">
        <f>OFFSET(AF48,0,-2)+1</f>
        <v>5</v>
      </c>
      <c r="AG48" s="1557">
        <f>OFFSET(AG48,0,-1)+1</f>
        <v>6</v>
      </c>
      <c r="AH48" s="1557"/>
      <c r="AI48" s="1557"/>
      <c r="AJ48" s="1557">
        <f>OFFSET(AJ48,0,-1)+1</f>
        <v>1</v>
      </c>
      <c r="AK48" s="1557">
        <f>OFFSET(AK48,0,-1)+1</f>
        <v>2</v>
      </c>
      <c r="AL48" s="1557">
        <f>OFFSET(AL48,0,-1)+1</f>
        <v>3</v>
      </c>
      <c r="AM48" s="2366">
        <f>OFFSET(AM48,0,-1)+1</f>
        <v>4</v>
      </c>
      <c r="AN48" s="2366"/>
      <c r="AO48" s="1557">
        <f>OFFSET(AO48,0,-2)+1</f>
        <v>5</v>
      </c>
      <c r="AP48" s="1450">
        <f>OFFSET(AP48,0,-1)</f>
        <v>5</v>
      </c>
      <c r="AQ48" s="1557">
        <f>OFFSET(AQ48,0,-1)+1</f>
        <v>6</v>
      </c>
      <c r="AR48" s="675"/>
      <c r="AS48" s="675"/>
      <c r="AT48" s="675"/>
      <c r="AU48" s="675"/>
      <c r="AV48" s="675"/>
    </row>
    <row customHeight="1" ht="21">
      <c r="A49" s="1483" t="s">
        <v>185</v>
      </c>
      <c r="B49" s="1483"/>
      <c r="C49" s="1483"/>
      <c r="D49" s="1483"/>
      <c r="E49" s="2394">
        <v>1</v>
      </c>
      <c r="F49" s="1483"/>
      <c r="G49" s="1483"/>
      <c r="H49" s="1483"/>
      <c r="I49" s="1483"/>
      <c r="J49" s="1483"/>
      <c r="K49" s="1483"/>
      <c r="L49" s="1483"/>
      <c r="M49" s="1532"/>
      <c r="N49" s="852"/>
      <c r="O49" s="852"/>
      <c r="P49" s="852"/>
      <c r="Q49" s="509"/>
      <c r="R49" s="508"/>
      <c r="S49" s="508"/>
      <c r="T49" s="503"/>
      <c r="U49" s="1558">
        <f>INDEX(PT_DIFFERENTIATION_NUM_NTAR,MATCH(A49,PT_DIFFERENTIATION_NTAR_ID,0))</f>
        <v>0</v>
      </c>
      <c r="V49" s="435" t="s">
        <v>132</v>
      </c>
      <c r="W49" s="437"/>
      <c r="X49" s="3964"/>
      <c r="Y49" s="3965"/>
      <c r="Z49" s="3965"/>
      <c r="AA49" s="3965"/>
      <c r="AB49" s="3965"/>
      <c r="AC49" s="3965"/>
      <c r="AD49" s="3965"/>
      <c r="AE49" s="3965"/>
      <c r="AF49" s="3966"/>
      <c r="AG49" s="3964" t="str">
        <f>INDEX(PT_DIFFERENTIATION_NTAR,MATCH(A49,PT_DIFFERENTIATION_NTAR_ID,0))</f>
        <v/>
      </c>
      <c r="AH49" s="3965"/>
      <c r="AI49" s="3965"/>
      <c r="AJ49" s="3965"/>
      <c r="AK49" s="3965"/>
      <c r="AL49" s="3965"/>
      <c r="AM49" s="3965"/>
      <c r="AN49" s="3965"/>
      <c r="AO49" s="3965"/>
      <c r="AP49" s="3966"/>
      <c r="AQ49" s="1473" t="str">
        <f>"Указывается наименование тарифа в случае "&amp;IF(TEMPLATE_GROUP="P","утверждения","расчёта")&amp;" нескольких тарифов.
В случае наличия нескольких тарифов информация по ним указывается в отдельных строках."</f>
        <v>Указывается наименование тарифа в случае расчёта нескольких тарифов.
В случае наличия нескольких тарифов информация по ним указывается в отдельных строках.</v>
      </c>
      <c r="AS49" s="664"/>
      <c r="AT49" s="664" t="str">
        <f>IF(V49="","",V49)</f>
        <v>Наименование тарифа</v>
      </c>
      <c r="AU49" s="664"/>
      <c r="AV49" s="664"/>
    </row>
    <row customHeight="1" ht="21">
      <c r="A50" s="1483" t="s">
        <v>185</v>
      </c>
      <c r="B50" s="1483" t="s">
        <v>186</v>
      </c>
      <c r="C50" s="1483"/>
      <c r="D50" s="1483"/>
      <c r="E50" s="2395"/>
      <c r="F50" s="2394">
        <v>1</v>
      </c>
      <c r="G50" s="1483"/>
      <c r="H50" s="1483"/>
      <c r="I50" s="1483"/>
      <c r="J50" s="1483"/>
      <c r="K50" s="1483"/>
      <c r="L50" s="1483"/>
      <c r="M50" s="1532"/>
      <c r="N50" s="852"/>
      <c r="O50" s="852"/>
      <c r="P50" s="852"/>
      <c r="Q50" s="1554"/>
      <c r="R50" s="500"/>
      <c r="S50" s="673"/>
      <c r="T50" s="501"/>
      <c r="U50" s="1558" t="str">
        <f>INDEX(PT_DIFFERENTIATION_NUM_TER,MATCH(B50,PT_DIFFERENTIATION_TER_ID,0))</f>
        <v>.</v>
      </c>
      <c r="V50" s="447" t="s">
        <v>1469</v>
      </c>
      <c r="W50" s="437"/>
      <c r="X50" s="3964"/>
      <c r="Y50" s="3965"/>
      <c r="Z50" s="3965"/>
      <c r="AA50" s="3965"/>
      <c r="AB50" s="3965"/>
      <c r="AC50" s="3965"/>
      <c r="AD50" s="3965"/>
      <c r="AE50" s="3965"/>
      <c r="AF50" s="3966"/>
      <c r="AG50" s="3964" t="str">
        <f>INDEX(PT_DIFFERENTIATION_TER,MATCH(B50,PT_DIFFERENTIATION_TER_ID,0))</f>
        <v/>
      </c>
      <c r="AH50" s="3965"/>
      <c r="AI50" s="3965"/>
      <c r="AJ50" s="3965"/>
      <c r="AK50" s="3965"/>
      <c r="AL50" s="3965"/>
      <c r="AM50" s="3965"/>
      <c r="AN50" s="3965"/>
      <c r="AO50" s="3965"/>
      <c r="AP50" s="3966"/>
      <c r="AQ50" s="1473" t="s">
        <v>1470</v>
      </c>
      <c r="AS50" s="664"/>
      <c r="AT50" s="664" t="str">
        <f>IF(V50="","",V50)</f>
        <v>Территория действия тарифа</v>
      </c>
      <c r="AU50" s="664"/>
      <c r="AV50" s="664"/>
    </row>
    <row customHeight="1" ht="22.5">
      <c r="A51" s="1483" t="s">
        <v>185</v>
      </c>
      <c r="B51" s="1483" t="s">
        <v>186</v>
      </c>
      <c r="C51" s="1483" t="s">
        <v>187</v>
      </c>
      <c r="D51" s="1483"/>
      <c r="E51" s="2395"/>
      <c r="F51" s="2395"/>
      <c r="G51" s="2394">
        <v>1</v>
      </c>
      <c r="H51" s="1483"/>
      <c r="I51" s="1483"/>
      <c r="J51" s="1483"/>
      <c r="K51" s="1483"/>
      <c r="L51" s="1483"/>
      <c r="M51" s="1532"/>
      <c r="N51" s="852"/>
      <c r="O51" s="852"/>
      <c r="P51" s="852"/>
      <c r="Q51" s="502"/>
      <c r="R51" s="500"/>
      <c r="S51" s="673"/>
      <c r="T51" s="501"/>
      <c r="U51" s="1558" t="str">
        <f>INDEX(PT_DIFFERENTIATION_NUM_CS,MATCH(C51,PT_DIFFERENTIATION_CS_ID,0))</f>
        <v>..</v>
      </c>
      <c r="V51" s="448" t="s">
        <v>1471</v>
      </c>
      <c r="W51" s="437"/>
      <c r="X51" s="3964"/>
      <c r="Y51" s="3965"/>
      <c r="Z51" s="3965"/>
      <c r="AA51" s="3965"/>
      <c r="AB51" s="3965"/>
      <c r="AC51" s="3965"/>
      <c r="AD51" s="3965"/>
      <c r="AE51" s="3965"/>
      <c r="AF51" s="3966"/>
      <c r="AG51" s="3964" t="str">
        <f>INDEX(PT_DIFFERENTIATION_CS,MATCH(C51,PT_DIFFERENTIATION_CS_ID,0))</f>
        <v/>
      </c>
      <c r="AH51" s="3965"/>
      <c r="AI51" s="3965"/>
      <c r="AJ51" s="3965"/>
      <c r="AK51" s="3965"/>
      <c r="AL51" s="3965"/>
      <c r="AM51" s="3965"/>
      <c r="AN51" s="3965"/>
      <c r="AO51" s="3965"/>
      <c r="AP51" s="3966"/>
      <c r="AQ51" s="1473" t="s">
        <v>1472</v>
      </c>
      <c r="AS51" s="664"/>
      <c r="AT51" s="664" t="str">
        <f>IF(V51="","",V51)</f>
        <v>Наименование системы теплоснабжения </v>
      </c>
      <c r="AU51" s="664"/>
      <c r="AV51" s="664"/>
    </row>
    <row customHeight="1" ht="21">
      <c r="A52" s="1483" t="s">
        <v>185</v>
      </c>
      <c r="B52" s="1483" t="s">
        <v>186</v>
      </c>
      <c r="C52" s="1483" t="s">
        <v>187</v>
      </c>
      <c r="D52" s="1483" t="s">
        <v>188</v>
      </c>
      <c r="E52" s="2395"/>
      <c r="F52" s="2395"/>
      <c r="G52" s="2395"/>
      <c r="H52" s="2401">
        <v>1</v>
      </c>
      <c r="I52" s="1483"/>
      <c r="J52" s="1483"/>
      <c r="K52" s="1483"/>
      <c r="L52" s="1483"/>
      <c r="M52" s="1532"/>
      <c r="N52" s="852"/>
      <c r="O52" s="852"/>
      <c r="P52" s="852"/>
      <c r="Q52" s="502"/>
      <c r="R52" s="500"/>
      <c r="S52" s="673"/>
      <c r="T52" s="501"/>
      <c r="U52" s="1558" t="str">
        <f>INDEX(PT_DIFFERENTIATION_NUM_IST_TE,MATCH(D52,PT_DIFFERENTIATION_IST_TE_ID,0))</f>
        <v>...</v>
      </c>
      <c r="V52" s="449" t="s">
        <v>1473</v>
      </c>
      <c r="W52" s="437"/>
      <c r="X52" s="3964"/>
      <c r="Y52" s="3965"/>
      <c r="Z52" s="3965"/>
      <c r="AA52" s="3965"/>
      <c r="AB52" s="3965"/>
      <c r="AC52" s="3965"/>
      <c r="AD52" s="3965"/>
      <c r="AE52" s="3965"/>
      <c r="AF52" s="3966"/>
      <c r="AG52" s="3964" t="str">
        <f>INDEX(PT_DIFFERENTIATION_IST_TE,MATCH(D52,PT_DIFFERENTIATION_IST_TE_ID,0))</f>
        <v/>
      </c>
      <c r="AH52" s="3965"/>
      <c r="AI52" s="3965"/>
      <c r="AJ52" s="3965"/>
      <c r="AK52" s="3965"/>
      <c r="AL52" s="3965"/>
      <c r="AM52" s="3965"/>
      <c r="AN52" s="3965"/>
      <c r="AO52" s="3965"/>
      <c r="AP52" s="3966"/>
      <c r="AQ52" s="1473" t="s">
        <v>1474</v>
      </c>
      <c r="AS52" s="664"/>
      <c r="AT52" s="664" t="str">
        <f>IF(V52="","",V52)</f>
        <v>Источник тепловой энергии  </v>
      </c>
      <c r="AU52" s="664"/>
      <c r="AV52" s="664"/>
    </row>
    <row s="6608" customFormat="1" customHeight="1" ht="0">
      <c r="A53" s="1598" t="s">
        <v>185</v>
      </c>
      <c r="B53" s="1598" t="s">
        <v>186</v>
      </c>
      <c r="C53" s="1598" t="s">
        <v>187</v>
      </c>
      <c r="D53" s="1598" t="s">
        <v>188</v>
      </c>
      <c r="E53" s="2395"/>
      <c r="F53" s="2395"/>
      <c r="G53" s="2395"/>
      <c r="H53" s="2402"/>
      <c r="I53" s="2204" t="str">
        <f>U52&amp;".1"</f>
        <v>....1</v>
      </c>
      <c r="J53" s="1598"/>
      <c r="K53" s="1598"/>
      <c r="L53" s="1598"/>
      <c r="M53" s="1604" t="s">
        <v>1475</v>
      </c>
      <c r="N53" s="1451"/>
      <c r="O53" s="1451"/>
      <c r="P53" s="1451"/>
      <c r="Q53" s="2350">
        <v>1</v>
      </c>
      <c r="R53" s="1553"/>
      <c r="S53" s="1553"/>
      <c r="T53" s="504"/>
      <c r="U53" s="1227"/>
      <c r="V53" s="1606"/>
      <c r="W53" s="1607"/>
      <c r="X53" s="2390"/>
      <c r="Y53" s="2391"/>
      <c r="Z53" s="2391"/>
      <c r="AA53" s="2391"/>
      <c r="AB53" s="2391"/>
      <c r="AC53" s="2391"/>
      <c r="AD53" s="2391"/>
      <c r="AE53" s="2391"/>
      <c r="AF53" s="2392"/>
      <c r="AG53" s="2390"/>
      <c r="AH53" s="2391"/>
      <c r="AI53" s="2391"/>
      <c r="AJ53" s="2391"/>
      <c r="AK53" s="2391"/>
      <c r="AL53" s="2391"/>
      <c r="AM53" s="2391"/>
      <c r="AN53" s="2391"/>
      <c r="AO53" s="2391"/>
      <c r="AP53" s="2392"/>
      <c r="AQ53" s="1608"/>
      <c r="AS53" s="664"/>
      <c r="AT53" s="664" t="str">
        <f>IF(V53="","",V53)</f>
        <v/>
      </c>
      <c r="AU53" s="664"/>
      <c r="AV53" s="664"/>
    </row>
    <row customHeight="1" ht="21">
      <c r="A54" s="1483" t="s">
        <v>185</v>
      </c>
      <c r="B54" s="1483" t="s">
        <v>186</v>
      </c>
      <c r="C54" s="1483" t="s">
        <v>187</v>
      </c>
      <c r="D54" s="1483" t="s">
        <v>188</v>
      </c>
      <c r="E54" s="2395"/>
      <c r="F54" s="2395"/>
      <c r="G54" s="2395"/>
      <c r="H54" s="2402"/>
      <c r="I54" s="2063"/>
      <c r="J54" s="2396" t="str">
        <f>I53&amp;".1"</f>
        <v>....1.1</v>
      </c>
      <c r="K54" s="1483"/>
      <c r="L54" s="1483"/>
      <c r="M54" s="1532" t="s">
        <v>1478</v>
      </c>
      <c r="Q54" s="2350"/>
      <c r="R54" s="2350">
        <v>1</v>
      </c>
      <c r="S54" s="682"/>
      <c r="T54" s="505"/>
      <c r="U54" s="1558" t="str">
        <f>$J54</f>
        <v>....1.1</v>
      </c>
      <c r="V54" s="423" t="s">
        <v>1479</v>
      </c>
      <c r="W54" s="437"/>
      <c r="X54" s="2338"/>
      <c r="Y54" s="2339"/>
      <c r="Z54" s="2339"/>
      <c r="AA54" s="2339"/>
      <c r="AB54" s="2339"/>
      <c r="AC54" s="2398"/>
      <c r="AD54" s="2398"/>
      <c r="AE54" s="2398"/>
      <c r="AF54" s="2399"/>
      <c r="AG54" s="2338"/>
      <c r="AH54" s="2339"/>
      <c r="AI54" s="2339"/>
      <c r="AJ54" s="2339"/>
      <c r="AK54" s="2339"/>
      <c r="AL54" s="2339"/>
      <c r="AM54" s="2339"/>
      <c r="AN54" s="2339"/>
      <c r="AO54" s="2339"/>
      <c r="AP54" s="2340"/>
      <c r="AQ54" s="1473" t="s">
        <v>1480</v>
      </c>
      <c r="AS54" s="664"/>
      <c r="AT54" s="664" t="str">
        <f>IF(V54="","",V54)</f>
        <v>Группа потребителей</v>
      </c>
      <c r="AU54" s="664"/>
      <c r="AV54" s="664"/>
    </row>
    <row customHeight="1" ht="21">
      <c r="A55" s="1483" t="s">
        <v>185</v>
      </c>
      <c r="B55" s="1483" t="s">
        <v>186</v>
      </c>
      <c r="C55" s="1483" t="s">
        <v>187</v>
      </c>
      <c r="D55" s="1483" t="s">
        <v>188</v>
      </c>
      <c r="E55" s="2395"/>
      <c r="F55" s="2395"/>
      <c r="G55" s="2395"/>
      <c r="H55" s="2402"/>
      <c r="I55" s="2063"/>
      <c r="J55" s="2397"/>
      <c r="K55" s="2396" t="str">
        <f>J54&amp;".1"</f>
        <v>....1.1.1</v>
      </c>
      <c r="L55" s="272"/>
      <c r="M55" s="1532" t="s">
        <v>1481</v>
      </c>
      <c r="Q55" s="2350"/>
      <c r="R55" s="2350"/>
      <c r="S55" s="682">
        <v>1</v>
      </c>
      <c r="T55" s="505"/>
      <c r="U55" s="1558" t="str">
        <f>$K55</f>
        <v>....1.1.1</v>
      </c>
      <c r="V55" s="1569"/>
      <c r="W55" s="437"/>
      <c r="X55" s="3992"/>
      <c r="Y55" s="3992"/>
      <c r="Z55" s="3992"/>
      <c r="AA55" s="3992"/>
      <c r="AB55" s="4144"/>
      <c r="AC55" s="2357"/>
      <c r="AD55" s="2069" t="s">
        <v>66</v>
      </c>
      <c r="AE55" s="2357"/>
      <c r="AF55" s="2069" t="s">
        <v>66</v>
      </c>
      <c r="AG55" s="4145"/>
      <c r="AH55" s="3992"/>
      <c r="AI55" s="3992"/>
      <c r="AJ55" s="3992"/>
      <c r="AK55" s="3994"/>
      <c r="AL55" s="2357"/>
      <c r="AM55" s="2069" t="s">
        <v>66</v>
      </c>
      <c r="AN55" s="2357"/>
      <c r="AO55" s="2069" t="s">
        <v>66</v>
      </c>
      <c r="AP55" s="4093"/>
      <c r="AQ55" s="1529" t="s">
        <v>1531</v>
      </c>
      <c r="AR55" s="675">
        <f>STRCHECKDATE(X57:AP57)</f>
      </c>
      <c r="AS55" s="664"/>
      <c r="AT55" s="664" t="str">
        <f>IF(V55="","",V55)</f>
        <v/>
      </c>
      <c r="AU55" s="664"/>
      <c r="AV55" s="664"/>
    </row>
    <row customHeight="1" ht="11.25">
      <c r="A56" s="1483" t="s">
        <v>185</v>
      </c>
      <c r="B56" s="1483" t="s">
        <v>186</v>
      </c>
      <c r="C56" s="1483" t="s">
        <v>187</v>
      </c>
      <c r="D56" s="1483" t="s">
        <v>188</v>
      </c>
      <c r="E56" s="2395"/>
      <c r="F56" s="2395"/>
      <c r="G56" s="2395"/>
      <c r="H56" s="2402"/>
      <c r="I56" s="2063"/>
      <c r="J56" s="2397"/>
      <c r="K56" s="2397"/>
      <c r="L56" s="2396" t="str">
        <f>K55&amp;".1"</f>
        <v>....1.1.1.1</v>
      </c>
      <c r="M56" s="1532"/>
      <c r="Q56" s="2350"/>
      <c r="R56" s="2350"/>
      <c r="S56" s="682">
        <v>1</v>
      </c>
      <c r="T56" s="505"/>
      <c r="U56" s="1558" t="str">
        <f>$L56</f>
        <v>....1.1.1.1</v>
      </c>
      <c r="V56" s="1614"/>
      <c r="W56" s="437"/>
      <c r="X56" s="3993"/>
      <c r="Y56" s="3992"/>
      <c r="Z56" s="3992"/>
      <c r="AA56" s="3992"/>
      <c r="AB56" s="4144"/>
      <c r="AC56" s="2400"/>
      <c r="AD56" s="2069"/>
      <c r="AE56" s="2400"/>
      <c r="AF56" s="2069"/>
      <c r="AG56" s="4145"/>
      <c r="AH56" s="3992"/>
      <c r="AI56" s="3992"/>
      <c r="AJ56" s="3992"/>
      <c r="AK56" s="3994"/>
      <c r="AL56" s="2400"/>
      <c r="AM56" s="2069"/>
      <c r="AN56" s="2400"/>
      <c r="AO56" s="2069"/>
      <c r="AP56" s="4093"/>
      <c r="AQ56" s="2346" t="s">
        <v>1532</v>
      </c>
      <c r="AR56" s="675">
        <f>STRCHECKDATE(X58:AP58)</f>
      </c>
      <c r="AS56" s="664"/>
      <c r="AT56" s="664" t="str">
        <f>IF(V56="","",V56)</f>
        <v/>
      </c>
      <c r="AU56" s="664"/>
      <c r="AV56" s="664"/>
    </row>
    <row customHeight="1" ht="0">
      <c r="A57" s="1483" t="s">
        <v>185</v>
      </c>
      <c r="B57" s="1483" t="s">
        <v>186</v>
      </c>
      <c r="C57" s="1483" t="s">
        <v>187</v>
      </c>
      <c r="D57" s="1483" t="s">
        <v>188</v>
      </c>
      <c r="E57" s="2395"/>
      <c r="F57" s="2395"/>
      <c r="G57" s="2395"/>
      <c r="H57" s="2402"/>
      <c r="I57" s="2063"/>
      <c r="J57" s="2397"/>
      <c r="K57" s="2397"/>
      <c r="L57" s="2396"/>
      <c r="M57" s="1532"/>
      <c r="Q57" s="2350"/>
      <c r="R57" s="2350"/>
      <c r="S57" s="682"/>
      <c r="T57" s="505"/>
      <c r="U57" s="1564"/>
      <c r="V57" s="437"/>
      <c r="W57" s="437"/>
      <c r="X57" s="3993"/>
      <c r="Y57" s="3993"/>
      <c r="Z57" s="3993"/>
      <c r="AA57" s="3993"/>
      <c r="AB57" s="4149" t="str">
        <f>AC55&amp;"-"&amp;AE55</f>
        <v>-</v>
      </c>
      <c r="AC57" s="2400"/>
      <c r="AD57" s="2069"/>
      <c r="AE57" s="2400"/>
      <c r="AF57" s="2069"/>
      <c r="AG57" s="4150"/>
      <c r="AH57" s="3993"/>
      <c r="AI57" s="3993"/>
      <c r="AJ57" s="3993"/>
      <c r="AK57" s="3998" t="str">
        <f>AL55&amp;"-"&amp;AN55</f>
        <v>-</v>
      </c>
      <c r="AL57" s="2400"/>
      <c r="AM57" s="2069"/>
      <c r="AN57" s="2400"/>
      <c r="AO57" s="2069"/>
      <c r="AP57" s="4096"/>
      <c r="AQ57" s="2347"/>
      <c r="AS57" s="664"/>
      <c r="AT57" s="664" t="str">
        <f>IF(V57="","",V57)</f>
        <v/>
      </c>
      <c r="AU57" s="664"/>
      <c r="AV57" s="664"/>
    </row>
    <row customHeight="1" ht="11.25">
      <c r="A58" s="1483" t="s">
        <v>185</v>
      </c>
      <c r="B58" s="1483" t="s">
        <v>186</v>
      </c>
      <c r="C58" s="1483" t="s">
        <v>187</v>
      </c>
      <c r="D58" s="1483" t="s">
        <v>188</v>
      </c>
      <c r="E58" s="2395"/>
      <c r="F58" s="2395"/>
      <c r="G58" s="2395"/>
      <c r="H58" s="2402"/>
      <c r="I58" s="2063"/>
      <c r="J58" s="2397"/>
      <c r="K58" s="2396"/>
      <c r="L58" s="1483"/>
      <c r="M58" s="1532"/>
      <c r="Q58" s="2350"/>
      <c r="R58" s="2350"/>
      <c r="S58" s="1553"/>
      <c r="T58" s="504"/>
      <c r="U58" s="1495"/>
      <c r="V58" s="425" t="s">
        <v>1533</v>
      </c>
      <c r="W58" s="519"/>
      <c r="X58" s="519"/>
      <c r="Y58" s="519"/>
      <c r="Z58" s="519"/>
      <c r="AA58" s="519"/>
      <c r="AB58" s="519"/>
      <c r="AC58" s="2400"/>
      <c r="AD58" s="2069"/>
      <c r="AE58" s="2400"/>
      <c r="AF58" s="2069"/>
      <c r="AG58" s="519"/>
      <c r="AH58" s="519"/>
      <c r="AI58" s="519"/>
      <c r="AJ58" s="519"/>
      <c r="AK58" s="519"/>
      <c r="AL58" s="2400"/>
      <c r="AM58" s="2069"/>
      <c r="AN58" s="2400"/>
      <c r="AO58" s="2069"/>
      <c r="AP58" s="471"/>
      <c r="AQ58" s="2347"/>
      <c r="AS58" s="664"/>
      <c r="AT58" s="664" t="str">
        <f>IF(V58="","",V58)</f>
        <v>Добавить наименование поставщика</v>
      </c>
      <c r="AU58" s="664"/>
      <c r="AV58" s="664"/>
    </row>
    <row customHeight="1" ht="11.25">
      <c r="A59" s="1483" t="s">
        <v>185</v>
      </c>
      <c r="B59" s="1483" t="s">
        <v>186</v>
      </c>
      <c r="C59" s="1483" t="s">
        <v>187</v>
      </c>
      <c r="D59" s="1483" t="s">
        <v>188</v>
      </c>
      <c r="E59" s="2395"/>
      <c r="F59" s="2395"/>
      <c r="G59" s="2395"/>
      <c r="H59" s="2402"/>
      <c r="I59" s="2063"/>
      <c r="J59" s="2396"/>
      <c r="K59" s="1483"/>
      <c r="L59" s="1483"/>
      <c r="M59" s="1532"/>
      <c r="Q59" s="2350"/>
      <c r="R59" s="2350"/>
      <c r="S59" s="1553"/>
      <c r="T59" s="504"/>
      <c r="U59" s="1495"/>
      <c r="V59" s="424" t="s">
        <v>1483</v>
      </c>
      <c r="W59" s="519"/>
      <c r="X59" s="519"/>
      <c r="Y59" s="519"/>
      <c r="Z59" s="519"/>
      <c r="AA59" s="519"/>
      <c r="AB59" s="519"/>
      <c r="AC59" s="1632"/>
      <c r="AD59" s="1632"/>
      <c r="AE59" s="1632"/>
      <c r="AF59" s="1632"/>
      <c r="AG59" s="519"/>
      <c r="AH59" s="519"/>
      <c r="AI59" s="519"/>
      <c r="AJ59" s="519"/>
      <c r="AK59" s="519"/>
      <c r="AL59" s="519"/>
      <c r="AM59" s="519"/>
      <c r="AN59" s="519"/>
      <c r="AO59" s="519"/>
      <c r="AP59" s="471"/>
      <c r="AQ59" s="2348"/>
      <c r="AS59" s="664"/>
      <c r="AT59" s="664" t="str">
        <f>IF(V59="","",V59)</f>
        <v>Добавить вид теплоносителя (параметры теплоносителя)</v>
      </c>
      <c r="AU59" s="664"/>
      <c r="AV59" s="664"/>
    </row>
    <row customHeight="1" ht="11.25">
      <c r="A60" s="1483" t="s">
        <v>185</v>
      </c>
      <c r="B60" s="1483" t="s">
        <v>186</v>
      </c>
      <c r="C60" s="1483" t="s">
        <v>187</v>
      </c>
      <c r="D60" s="1483" t="s">
        <v>188</v>
      </c>
      <c r="E60" s="2395"/>
      <c r="F60" s="2395"/>
      <c r="G60" s="2395"/>
      <c r="H60" s="2402"/>
      <c r="I60" s="2204"/>
      <c r="J60" s="1483"/>
      <c r="K60" s="1483"/>
      <c r="L60" s="1483"/>
      <c r="M60" s="1532"/>
      <c r="Q60" s="2350"/>
      <c r="R60" s="1553"/>
      <c r="S60" s="1553"/>
      <c r="T60" s="504"/>
      <c r="U60" s="1495"/>
      <c r="V60" s="516" t="s">
        <v>1484</v>
      </c>
      <c r="W60" s="519"/>
      <c r="X60" s="519"/>
      <c r="Y60" s="519"/>
      <c r="Z60" s="519"/>
      <c r="AA60" s="519"/>
      <c r="AB60" s="519"/>
      <c r="AC60" s="519"/>
      <c r="AD60" s="519"/>
      <c r="AE60" s="519"/>
      <c r="AF60" s="518"/>
      <c r="AG60" s="519"/>
      <c r="AH60" s="519"/>
      <c r="AI60" s="519"/>
      <c r="AJ60" s="519"/>
      <c r="AK60" s="519"/>
      <c r="AL60" s="519"/>
      <c r="AM60" s="519"/>
      <c r="AN60" s="519"/>
      <c r="AO60" s="518"/>
      <c r="AP60" s="519"/>
      <c r="AQ60" s="440"/>
      <c r="AS60" s="664"/>
      <c r="AT60" s="664" t="str">
        <f>IF(V60="","",V60)</f>
        <v>Добавить группу потребителей</v>
      </c>
      <c r="AU60" s="664"/>
      <c r="AV60" s="664"/>
    </row>
    <row customHeight="1" ht="0">
      <c r="A61" s="1483" t="s">
        <v>185</v>
      </c>
      <c r="B61" s="1483" t="s">
        <v>186</v>
      </c>
      <c r="C61" s="1483" t="s">
        <v>187</v>
      </c>
      <c r="D61" s="1483" t="s">
        <v>188</v>
      </c>
      <c r="E61" s="2395"/>
      <c r="F61" s="2395"/>
      <c r="G61" s="2395"/>
      <c r="H61" s="2401"/>
      <c r="I61" s="1483"/>
      <c r="J61" s="1483"/>
      <c r="K61" s="1483"/>
      <c r="L61" s="1483"/>
      <c r="M61" s="1532"/>
      <c r="N61" s="852"/>
      <c r="O61" s="852"/>
      <c r="P61" s="673"/>
      <c r="Q61" s="508"/>
      <c r="R61" s="528"/>
      <c r="S61" s="503"/>
      <c r="T61" s="508"/>
      <c r="U61" s="1609"/>
      <c r="V61" s="1610"/>
      <c r="W61" s="1611"/>
      <c r="X61" s="1611"/>
      <c r="Y61" s="1611"/>
      <c r="Z61" s="1611"/>
      <c r="AA61" s="1611"/>
      <c r="AB61" s="1611"/>
      <c r="AC61" s="1611"/>
      <c r="AD61" s="1611"/>
      <c r="AE61" s="1611"/>
      <c r="AF61" s="1611"/>
      <c r="AG61" s="1611"/>
      <c r="AH61" s="1611"/>
      <c r="AI61" s="1611"/>
      <c r="AJ61" s="1611"/>
      <c r="AK61" s="1611"/>
      <c r="AL61" s="1611"/>
      <c r="AM61" s="1611"/>
      <c r="AN61" s="1611"/>
      <c r="AO61" s="1611"/>
      <c r="AP61" s="1611"/>
      <c r="AQ61" s="1612"/>
      <c r="AS61" s="664"/>
      <c r="AT61" s="664" t="str">
        <f>IF(V61="","",V61)</f>
        <v/>
      </c>
      <c r="AU61" s="664"/>
      <c r="AV61" s="664"/>
    </row>
    <row s="6520" customFormat="1" customHeight="1" ht="0.75">
      <c r="A62" s="1598" t="s">
        <v>185</v>
      </c>
      <c r="B62" s="1598" t="s">
        <v>186</v>
      </c>
      <c r="C62" s="1598" t="s">
        <v>187</v>
      </c>
      <c r="D62" s="1597"/>
      <c r="E62" s="2395"/>
      <c r="F62" s="2395"/>
      <c r="G62" s="2394"/>
      <c r="H62" s="1597"/>
      <c r="I62" s="1597"/>
      <c r="J62" s="1597"/>
      <c r="K62" s="1597"/>
      <c r="L62" s="1597"/>
      <c r="M62" s="1600"/>
      <c r="N62" s="1601"/>
      <c r="O62" s="1601"/>
      <c r="P62" s="499"/>
      <c r="Q62" s="1538"/>
      <c r="R62" s="1539"/>
      <c r="S62" s="1538"/>
      <c r="T62" s="1538"/>
      <c r="U62" s="1544"/>
      <c r="V62" s="1547" t="s">
        <v>1444</v>
      </c>
      <c r="W62" s="1546"/>
      <c r="X62" s="1546"/>
      <c r="Y62" s="1546"/>
      <c r="Z62" s="1546"/>
      <c r="AA62" s="1546"/>
      <c r="AB62" s="1546"/>
      <c r="AC62" s="1546"/>
      <c r="AD62" s="1546"/>
      <c r="AE62" s="1546"/>
      <c r="AF62" s="1546"/>
      <c r="AG62" s="1546"/>
      <c r="AH62" s="1546"/>
      <c r="AI62" s="1546"/>
      <c r="AJ62" s="1546"/>
      <c r="AK62" s="1546"/>
      <c r="AL62" s="1546"/>
      <c r="AM62" s="1546"/>
      <c r="AN62" s="1546"/>
      <c r="AO62" s="1546"/>
      <c r="AP62" s="1546"/>
      <c r="AQ62" s="1546"/>
      <c r="AS62" s="956"/>
      <c r="AT62" s="956" t="str">
        <f>IF(V62="","",V62)</f>
        <v>Добавить источник для дифференциации</v>
      </c>
      <c r="AU62" s="956"/>
      <c r="AV62" s="956"/>
    </row>
    <row s="6520" customFormat="1" customHeight="1" ht="0.75">
      <c r="A63" s="1598" t="s">
        <v>185</v>
      </c>
      <c r="B63" s="1598" t="s">
        <v>186</v>
      </c>
      <c r="C63" s="1597"/>
      <c r="D63" s="1597"/>
      <c r="E63" s="2395"/>
      <c r="F63" s="2394"/>
      <c r="G63" s="1597"/>
      <c r="H63" s="1597"/>
      <c r="I63" s="1597"/>
      <c r="J63" s="1597"/>
      <c r="K63" s="1597"/>
      <c r="L63" s="1597"/>
      <c r="M63" s="1600"/>
      <c r="N63" s="1602"/>
      <c r="O63" s="1602"/>
      <c r="P63" s="499"/>
      <c r="Q63" s="1538"/>
      <c r="R63" s="1539"/>
      <c r="S63" s="1538"/>
      <c r="T63" s="1538"/>
      <c r="U63" s="1544"/>
      <c r="V63" s="1547" t="s">
        <v>1445</v>
      </c>
      <c r="W63" s="1546"/>
      <c r="X63" s="1546"/>
      <c r="Y63" s="1546"/>
      <c r="Z63" s="1546"/>
      <c r="AA63" s="1546"/>
      <c r="AB63" s="1546"/>
      <c r="AC63" s="1546"/>
      <c r="AD63" s="1546"/>
      <c r="AE63" s="1546"/>
      <c r="AF63" s="1546"/>
      <c r="AG63" s="1546"/>
      <c r="AH63" s="1546"/>
      <c r="AI63" s="1546"/>
      <c r="AJ63" s="1546"/>
      <c r="AK63" s="1546"/>
      <c r="AL63" s="1546"/>
      <c r="AM63" s="1546"/>
      <c r="AN63" s="1546"/>
      <c r="AO63" s="1546"/>
      <c r="AP63" s="1546"/>
      <c r="AQ63" s="1546"/>
      <c r="AS63" s="956"/>
      <c r="AT63" s="956" t="str">
        <f>IF(V63="","",V63)</f>
        <v>Добавить централизованную систему для дифференциации</v>
      </c>
      <c r="AU63" s="956"/>
      <c r="AV63" s="956"/>
    </row>
    <row s="6608" customFormat="1" customHeight="1" ht="0.75">
      <c r="A64" s="1598" t="s">
        <v>185</v>
      </c>
      <c r="B64" s="1598"/>
      <c r="C64" s="1598"/>
      <c r="D64" s="1598"/>
      <c r="E64" s="2394"/>
      <c r="F64" s="1598"/>
      <c r="G64" s="1598"/>
      <c r="H64" s="1598"/>
      <c r="I64" s="1598"/>
      <c r="J64" s="1598"/>
      <c r="K64" s="1598"/>
      <c r="L64" s="1598"/>
      <c r="M64" s="1604"/>
      <c r="N64" s="1602"/>
      <c r="O64" s="1602"/>
      <c r="P64" s="499"/>
      <c r="Q64" s="537"/>
      <c r="R64" s="1566"/>
      <c r="S64" s="537"/>
      <c r="T64" s="537"/>
      <c r="U64" s="1544"/>
      <c r="V64" s="1547" t="s">
        <v>1446</v>
      </c>
      <c r="W64" s="1546"/>
      <c r="X64" s="1546"/>
      <c r="Y64" s="1546"/>
      <c r="Z64" s="1546"/>
      <c r="AA64" s="1546"/>
      <c r="AB64" s="1546"/>
      <c r="AC64" s="1546"/>
      <c r="AD64" s="1546"/>
      <c r="AE64" s="1546"/>
      <c r="AF64" s="1546"/>
      <c r="AG64" s="1546"/>
      <c r="AH64" s="1546"/>
      <c r="AI64" s="1546"/>
      <c r="AJ64" s="1546"/>
      <c r="AK64" s="1546"/>
      <c r="AL64" s="1546"/>
      <c r="AM64" s="1546"/>
      <c r="AN64" s="1546"/>
      <c r="AO64" s="1546"/>
      <c r="AP64" s="1546"/>
      <c r="AQ64" s="1546"/>
      <c r="AS64" s="664"/>
      <c r="AT64" s="664" t="str">
        <f>IF(V64="","",V64)</f>
        <v>Добавить территорию для дифференциации</v>
      </c>
      <c r="AU64" s="664"/>
      <c r="AV64" s="664"/>
    </row>
    <row s="6520" customFormat="1" customHeight="1" ht="0.75">
      <c r="A65" s="1597"/>
      <c r="B65" s="1597"/>
      <c r="C65" s="1597"/>
      <c r="D65" s="1597"/>
      <c r="E65" s="1598"/>
      <c r="F65" s="1597"/>
      <c r="G65" s="1597"/>
      <c r="H65" s="1597"/>
      <c r="I65" s="1597"/>
      <c r="J65" s="1597"/>
      <c r="K65" s="1597"/>
      <c r="L65" s="1597"/>
      <c r="M65" s="1600"/>
      <c r="N65" s="1602"/>
      <c r="O65" s="1602"/>
      <c r="P65" s="499"/>
      <c r="Q65" s="1538"/>
      <c r="R65" s="1539"/>
      <c r="S65" s="1538"/>
      <c r="T65" s="1538"/>
      <c r="U65" s="1544"/>
      <c r="V65" s="1547" t="s">
        <v>1447</v>
      </c>
      <c r="W65" s="1546"/>
      <c r="X65" s="1546"/>
      <c r="Y65" s="1546"/>
      <c r="Z65" s="1546"/>
      <c r="AA65" s="1546"/>
      <c r="AB65" s="1546"/>
      <c r="AC65" s="1546"/>
      <c r="AD65" s="1546"/>
      <c r="AE65" s="1546"/>
      <c r="AF65" s="1546"/>
      <c r="AG65" s="1546"/>
      <c r="AH65" s="1546"/>
      <c r="AI65" s="1546"/>
      <c r="AJ65" s="1546"/>
      <c r="AK65" s="1546"/>
      <c r="AL65" s="1546"/>
      <c r="AM65" s="1546"/>
      <c r="AN65" s="1546"/>
      <c r="AO65" s="1546"/>
      <c r="AP65" s="1546"/>
      <c r="AQ65" s="1546"/>
      <c r="AS65" s="956"/>
      <c r="AT65" s="956" t="str">
        <f>IF(V65="","",V65)</f>
        <v>Добавить наименование тарифа</v>
      </c>
      <c r="AU65" s="956"/>
      <c r="AV65" s="956"/>
    </row>
    <row customHeight="1" ht="11.25" hidden="1">
      <c r="N66" s="1343"/>
      <c r="O66" s="1343"/>
      <c r="P66" s="673"/>
      <c r="Q66" s="1343"/>
      <c r="R66" s="1343"/>
      <c r="S66" s="1343"/>
      <c r="T66" s="1343"/>
      <c r="U66" s="1343"/>
      <c r="AR66" s="1343"/>
      <c r="AS66" s="1343"/>
      <c r="AT66" s="1343"/>
      <c r="AU66" s="1343"/>
      <c r="AV66" s="1343"/>
    </row>
    <row customHeight="1" ht="33.75" hidden="1">
      <c r="P67" s="673"/>
      <c r="U67" s="1460" t="s">
        <v>1517</v>
      </c>
      <c r="V67" s="2379" t="s">
        <v>1527</v>
      </c>
      <c r="W67" s="2379"/>
      <c r="X67" s="2379"/>
      <c r="Y67" s="2379"/>
      <c r="Z67" s="2379"/>
      <c r="AA67" s="2379"/>
      <c r="AB67" s="2379"/>
      <c r="AC67" s="2379"/>
      <c r="AD67" s="2379"/>
      <c r="AE67" s="2379"/>
      <c r="AF67" s="2379"/>
      <c r="AG67" s="2379"/>
      <c r="AH67" s="2379"/>
      <c r="AI67" s="2379"/>
      <c r="AJ67" s="2379"/>
      <c r="AK67" s="2379"/>
      <c r="AL67" s="2379"/>
      <c r="AM67" s="2379"/>
      <c r="AN67" s="2379"/>
      <c r="AO67" s="2379"/>
      <c r="AP67" s="2379"/>
      <c r="AQ67" s="2379"/>
    </row>
    <row customHeight="1" ht="19.5" hidden="1">
      <c r="P68" s="673"/>
      <c r="V68" s="2379" t="s">
        <v>1543</v>
      </c>
      <c r="W68" s="2379"/>
      <c r="X68" s="2379"/>
      <c r="Y68" s="2379"/>
      <c r="Z68" s="2379"/>
      <c r="AA68" s="2379"/>
      <c r="AB68" s="2379"/>
      <c r="AC68" s="2379"/>
      <c r="AD68" s="2379"/>
      <c r="AE68" s="2379"/>
      <c r="AF68" s="2379"/>
      <c r="AG68" s="2379"/>
      <c r="AH68" s="2379"/>
      <c r="AI68" s="2379"/>
      <c r="AJ68" s="2379"/>
      <c r="AK68" s="2379"/>
      <c r="AL68" s="2379"/>
      <c r="AM68" s="2379"/>
      <c r="AN68" s="2379"/>
      <c r="AO68" s="2379"/>
      <c r="AP68" s="2379"/>
      <c r="AQ68" s="2379"/>
    </row>
    <row customHeight="1" ht="14.25" hidden="1">
      <c r="P69" s="673"/>
    </row>
    <row customHeight="1" ht="27" hidden="1">
      <c r="P70" s="673"/>
      <c r="V70" s="2379" t="s">
        <v>1544</v>
      </c>
      <c r="W70" s="2379"/>
      <c r="X70" s="2379"/>
      <c r="Y70" s="2379"/>
      <c r="Z70" s="2379"/>
      <c r="AA70" s="2379"/>
      <c r="AB70" s="2379"/>
      <c r="AC70" s="2379"/>
      <c r="AD70" s="2379"/>
      <c r="AE70" s="2379"/>
      <c r="AF70" s="2379"/>
      <c r="AG70" s="2379"/>
      <c r="AH70" s="2379"/>
      <c r="AI70" s="2379"/>
      <c r="AJ70" s="2379"/>
      <c r="AK70" s="2379"/>
      <c r="AL70" s="2379"/>
      <c r="AM70" s="2379"/>
      <c r="AN70" s="2379"/>
      <c r="AO70" s="2379"/>
      <c r="AP70" s="2379"/>
      <c r="AQ70" s="2379"/>
    </row>
    <row customHeight="1" ht="18" hidden="1">
      <c r="P71" s="673"/>
      <c r="V71" s="2379" t="s">
        <v>1543</v>
      </c>
      <c r="W71" s="2379"/>
      <c r="X71" s="2379"/>
      <c r="Y71" s="2379"/>
      <c r="Z71" s="2379"/>
      <c r="AA71" s="2379"/>
      <c r="AB71" s="2379"/>
      <c r="AC71" s="2379"/>
      <c r="AD71" s="2379"/>
      <c r="AE71" s="2379"/>
      <c r="AF71" s="2379"/>
      <c r="AG71" s="2379"/>
      <c r="AH71" s="2379"/>
      <c r="AI71" s="2379"/>
      <c r="AJ71" s="2379"/>
      <c r="AK71" s="2379"/>
      <c r="AL71" s="2379"/>
      <c r="AM71" s="2379"/>
      <c r="AN71" s="2379"/>
      <c r="AO71" s="2379"/>
      <c r="AP71" s="2379"/>
      <c r="AQ71" s="2379"/>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5E0FFC-CABE-E72E-07F5-E9CEF8BE4201}"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6616" width="19.140625" hidden="1" customWidth="1"/>
    <col min="13" max="14" style="6617" width="12.28125" hidden="1" customWidth="1"/>
    <col min="15" max="15" style="6617" width="23.421875" hidden="1" customWidth="1"/>
    <col min="16" max="16" style="6617" width="3.7109375" hidden="1" customWidth="1"/>
    <col min="17" max="17" style="6765" width="3.7109375" hidden="1" customWidth="1"/>
    <col min="18" max="18" style="6619" width="3.7109375" customWidth="1"/>
    <col min="19" max="19" style="6620" width="12.7109375" customWidth="1"/>
    <col min="20" max="20" style="6104" width="32.00390625" customWidth="1"/>
    <col min="21" max="21" style="6104" width="0.140625" customWidth="1"/>
    <col min="22" max="23" style="6104" width="21.7109375" hidden="1" customWidth="1"/>
    <col min="24" max="24" style="6104" width="11.7109375" hidden="1" customWidth="1"/>
    <col min="25" max="25" style="6104" width="3.7109375" hidden="1" customWidth="1"/>
    <col min="26" max="26" style="6104" width="11.7109375" hidden="1" customWidth="1"/>
    <col min="27" max="27" style="6104" width="8.57421875" hidden="1" customWidth="1"/>
    <col min="28" max="28" style="6104" width="5.421875" customWidth="1"/>
    <col min="29" max="30" style="6104" width="3.7109375" customWidth="1"/>
    <col min="31" max="31" style="6104" width="24.7109375" customWidth="1"/>
    <col min="32" max="34" style="6104" width="3.7109375" customWidth="1"/>
    <col min="35" max="35" style="6104" width="24.7109375" customWidth="1"/>
    <col min="36" max="38" style="6104" width="3.7109375" customWidth="1"/>
    <col min="39" max="39" style="6104" width="18.8515625" customWidth="1"/>
    <col min="40" max="41" style="6104" width="21.7109375" customWidth="1"/>
    <col min="42" max="42" style="6104" width="11.7109375" customWidth="1"/>
    <col min="43" max="43" style="6104" width="3.7109375" customWidth="1"/>
    <col min="44" max="44" style="6104" width="11.7109375" customWidth="1"/>
    <col min="45" max="45" style="6104" width="8.57421875" customWidth="1"/>
    <col min="46" max="46" style="6104" width="4.7109375" customWidth="1"/>
    <col min="47" max="47" style="6104" width="115.7109375" customWidth="1"/>
    <col min="48" max="49" style="6608" width="10.57421875"/>
    <col min="50" max="50" style="6608" width="11.140625" customWidth="1"/>
    <col min="51" max="52" style="6608" width="10.57421875"/>
  </cols>
  <sheetData>
    <row customHeight="1" ht="14.25" hidden="1">
      <c r="W1" s="475"/>
      <c r="X1" s="475"/>
      <c r="AO1" s="475"/>
      <c r="AP1" s="475"/>
    </row>
    <row customHeight="1" ht="21" hidden="1">
      <c r="A2" s="1586"/>
      <c r="B2" s="1586"/>
      <c r="C2" s="1586"/>
      <c r="D2" s="1586"/>
      <c r="E2" s="2351">
        <v>1</v>
      </c>
      <c r="F2" s="1586"/>
      <c r="G2" s="1586"/>
      <c r="H2" s="1586"/>
      <c r="I2" s="1586"/>
      <c r="J2" s="1586"/>
      <c r="K2" s="1586"/>
      <c r="L2" s="1587"/>
      <c r="M2" s="1588"/>
      <c r="N2" s="1588"/>
      <c r="O2" s="1588"/>
      <c r="P2" s="1633"/>
      <c r="Q2" s="1047"/>
      <c r="R2" s="503"/>
      <c r="S2" s="1558">
        <f>INDEX(PT_DIFFERENTIATION_NUM_NTAR,MATCH(A2,PT_DIFFERENTIATION_NTAR_ID,0))</f>
      </c>
      <c r="T2" s="435" t="s">
        <v>132</v>
      </c>
      <c r="U2" s="437"/>
      <c r="V2" s="3965"/>
      <c r="W2" s="3965"/>
      <c r="X2" s="3965"/>
      <c r="Y2" s="3965"/>
      <c r="Z2" s="3965"/>
      <c r="AA2" s="3966"/>
      <c r="AB2" s="3964">
        <f>INDEX(PT_DIFFERENTIATION_NTAR,MATCH(A2,PT_DIFFERENTIATION_NTAR_ID,0))</f>
      </c>
      <c r="AC2" s="3965"/>
      <c r="AD2" s="3965"/>
      <c r="AE2" s="3965"/>
      <c r="AF2" s="3965"/>
      <c r="AG2" s="3965"/>
      <c r="AH2" s="3965"/>
      <c r="AI2" s="3965"/>
      <c r="AJ2" s="3965"/>
      <c r="AK2" s="3965"/>
      <c r="AL2" s="3965"/>
      <c r="AM2" s="3965"/>
      <c r="AN2" s="3965"/>
      <c r="AO2" s="3965"/>
      <c r="AP2" s="3965"/>
      <c r="AQ2" s="3965"/>
      <c r="AR2" s="3965"/>
      <c r="AS2" s="3965"/>
      <c r="AT2" s="3966"/>
      <c r="AU2" s="1473" t="s">
        <v>1468</v>
      </c>
      <c r="AW2" s="664"/>
      <c r="AX2" s="664" t="str">
        <f>IF(T2="","",T2)</f>
        <v>Наименование тарифа</v>
      </c>
      <c r="AY2" s="664"/>
      <c r="AZ2" s="664"/>
    </row>
    <row customHeight="1" ht="21" hidden="1">
      <c r="A3" s="1586"/>
      <c r="B3" s="1586"/>
      <c r="C3" s="1586"/>
      <c r="D3" s="1586"/>
      <c r="E3" s="2352"/>
      <c r="F3" s="2351">
        <v>1</v>
      </c>
      <c r="G3" s="1586"/>
      <c r="H3" s="1586"/>
      <c r="I3" s="1586"/>
      <c r="J3" s="1586"/>
      <c r="K3" s="1586"/>
      <c r="L3" s="1587"/>
      <c r="M3" s="1588"/>
      <c r="N3" s="1588"/>
      <c r="O3" s="1588"/>
      <c r="P3" s="1634"/>
      <c r="Q3" s="1635"/>
      <c r="R3" s="501"/>
      <c r="S3" s="1558">
        <f>INDEX(PT_DIFFERENTIATION_NUM_TER,MATCH(B3,PT_DIFFERENTIATION_TER_ID,0))</f>
      </c>
      <c r="T3" s="447" t="s">
        <v>1469</v>
      </c>
      <c r="U3" s="437"/>
      <c r="V3" s="3965"/>
      <c r="W3" s="3965"/>
      <c r="X3" s="3965"/>
      <c r="Y3" s="3965"/>
      <c r="Z3" s="3965"/>
      <c r="AA3" s="3966"/>
      <c r="AB3" s="3964">
        <f>INDEX(PT_DIFFERENTIATION_TER,MATCH(B3,PT_DIFFERENTIATION_TER_ID,0))</f>
      </c>
      <c r="AC3" s="3965"/>
      <c r="AD3" s="3965"/>
      <c r="AE3" s="3965"/>
      <c r="AF3" s="3965"/>
      <c r="AG3" s="3965"/>
      <c r="AH3" s="3965"/>
      <c r="AI3" s="3965"/>
      <c r="AJ3" s="3965"/>
      <c r="AK3" s="3965"/>
      <c r="AL3" s="3965"/>
      <c r="AM3" s="3965"/>
      <c r="AN3" s="3965"/>
      <c r="AO3" s="3965"/>
      <c r="AP3" s="3965"/>
      <c r="AQ3" s="3965"/>
      <c r="AR3" s="3965"/>
      <c r="AS3" s="3965"/>
      <c r="AT3" s="3966"/>
      <c r="AU3" s="1473" t="s">
        <v>1470</v>
      </c>
      <c r="AW3" s="664"/>
      <c r="AX3" s="664" t="str">
        <f>IF(T3="","",T3)</f>
        <v>Территория действия тарифа</v>
      </c>
      <c r="AY3" s="664"/>
      <c r="AZ3" s="664"/>
    </row>
    <row customHeight="1" ht="22.5" hidden="1">
      <c r="A4" s="1586"/>
      <c r="B4" s="1586"/>
      <c r="C4" s="1586"/>
      <c r="D4" s="1586"/>
      <c r="E4" s="2352"/>
      <c r="F4" s="2352"/>
      <c r="G4" s="2351">
        <v>1</v>
      </c>
      <c r="H4" s="1586"/>
      <c r="I4" s="1586"/>
      <c r="J4" s="1586"/>
      <c r="K4" s="1586"/>
      <c r="L4" s="1587"/>
      <c r="M4" s="1588"/>
      <c r="N4" s="1588"/>
      <c r="O4" s="1588"/>
      <c r="P4" s="1636"/>
      <c r="Q4" s="1635"/>
      <c r="R4" s="501"/>
      <c r="S4" s="1558">
        <f>INDEX(PT_DIFFERENTIATION_NUM_CS,MATCH(C4,PT_DIFFERENTIATION_CS_ID,0))</f>
      </c>
      <c r="T4" s="448" t="s">
        <v>1471</v>
      </c>
      <c r="U4" s="437"/>
      <c r="V4" s="3965"/>
      <c r="W4" s="3965"/>
      <c r="X4" s="3965"/>
      <c r="Y4" s="3965"/>
      <c r="Z4" s="3965"/>
      <c r="AA4" s="3966"/>
      <c r="AB4" s="3964">
        <f>INDEX(PT_DIFFERENTIATION_CS,MATCH(C4,PT_DIFFERENTIATION_CS_ID,0))</f>
      </c>
      <c r="AC4" s="3965"/>
      <c r="AD4" s="3965"/>
      <c r="AE4" s="3965"/>
      <c r="AF4" s="3965"/>
      <c r="AG4" s="3965"/>
      <c r="AH4" s="3965"/>
      <c r="AI4" s="3965"/>
      <c r="AJ4" s="3965"/>
      <c r="AK4" s="3965"/>
      <c r="AL4" s="3965"/>
      <c r="AM4" s="3965"/>
      <c r="AN4" s="3965"/>
      <c r="AO4" s="3965"/>
      <c r="AP4" s="3965"/>
      <c r="AQ4" s="3965"/>
      <c r="AR4" s="3965"/>
      <c r="AS4" s="3965"/>
      <c r="AT4" s="3966"/>
      <c r="AU4" s="1473" t="s">
        <v>1472</v>
      </c>
      <c r="AW4" s="664"/>
      <c r="AX4" s="664" t="str">
        <f>IF(T4="","",T4)</f>
        <v>Наименование системы теплоснабжения </v>
      </c>
      <c r="AY4" s="664"/>
      <c r="AZ4" s="664"/>
    </row>
    <row customHeight="1" ht="21" hidden="1">
      <c r="A5" s="1586"/>
      <c r="B5" s="1586"/>
      <c r="C5" s="1586"/>
      <c r="D5" s="1586"/>
      <c r="E5" s="2352"/>
      <c r="F5" s="2352"/>
      <c r="G5" s="2352"/>
      <c r="H5" s="2351">
        <v>1</v>
      </c>
      <c r="I5" s="1586"/>
      <c r="J5" s="1586"/>
      <c r="K5" s="1586"/>
      <c r="L5" s="1587"/>
      <c r="M5" s="1588"/>
      <c r="N5" s="1588"/>
      <c r="O5" s="1588"/>
      <c r="P5" s="1636"/>
      <c r="Q5" s="1635"/>
      <c r="R5" s="501"/>
      <c r="S5" s="1558">
        <f>INDEX(PT_DIFFERENTIATION_NUM_IST_TE,MATCH(D5,PT_DIFFERENTIATION_IST_TE_ID,0))</f>
      </c>
      <c r="T5" s="449" t="s">
        <v>1473</v>
      </c>
      <c r="U5" s="437"/>
      <c r="V5" s="3965"/>
      <c r="W5" s="3965"/>
      <c r="X5" s="3965"/>
      <c r="Y5" s="3965"/>
      <c r="Z5" s="3965"/>
      <c r="AA5" s="3966"/>
      <c r="AB5" s="3964">
        <f>INDEX(PT_DIFFERENTIATION_IST_TE,MATCH(D5,PT_DIFFERENTIATION_IST_TE_ID,0))</f>
      </c>
      <c r="AC5" s="3965"/>
      <c r="AD5" s="3965"/>
      <c r="AE5" s="3965"/>
      <c r="AF5" s="3965"/>
      <c r="AG5" s="3965"/>
      <c r="AH5" s="3965"/>
      <c r="AI5" s="3965"/>
      <c r="AJ5" s="3965"/>
      <c r="AK5" s="3965"/>
      <c r="AL5" s="3965"/>
      <c r="AM5" s="3965"/>
      <c r="AN5" s="3965"/>
      <c r="AO5" s="3965"/>
      <c r="AP5" s="3965"/>
      <c r="AQ5" s="3965"/>
      <c r="AR5" s="3965"/>
      <c r="AS5" s="3965"/>
      <c r="AT5" s="3966"/>
      <c r="AU5" s="1473" t="s">
        <v>1474</v>
      </c>
      <c r="AW5" s="664"/>
      <c r="AX5" s="664" t="str">
        <f>IF(T5="","",T5)</f>
        <v>Источник тепловой энергии  </v>
      </c>
      <c r="AY5" s="664"/>
      <c r="AZ5" s="664"/>
    </row>
    <row s="6608" customFormat="1" customHeight="1" ht="14.25" hidden="1">
      <c r="A6" s="1565"/>
      <c r="B6" s="1565"/>
      <c r="C6" s="1565"/>
      <c r="D6" s="1565"/>
      <c r="E6" s="2352"/>
      <c r="F6" s="2352"/>
      <c r="G6" s="2352"/>
      <c r="H6" s="2352"/>
      <c r="I6" s="2380">
        <f>S5&amp;".1"</f>
      </c>
      <c r="J6" s="1565"/>
      <c r="K6" s="1565"/>
      <c r="L6" s="1568" t="s">
        <v>1475</v>
      </c>
      <c r="M6" s="674"/>
      <c r="N6" s="674"/>
      <c r="O6" s="674"/>
      <c r="P6" s="2350">
        <v>1</v>
      </c>
      <c r="Q6" s="1553"/>
      <c r="R6" s="504"/>
      <c r="S6" s="1227"/>
      <c r="T6" s="1606"/>
      <c r="U6" s="1607"/>
      <c r="V6" s="2391"/>
      <c r="W6" s="2391"/>
      <c r="X6" s="2391"/>
      <c r="Y6" s="2391"/>
      <c r="Z6" s="2391"/>
      <c r="AA6" s="2392"/>
      <c r="AB6" s="2390"/>
      <c r="AC6" s="2391"/>
      <c r="AD6" s="2391"/>
      <c r="AE6" s="2391"/>
      <c r="AF6" s="2391"/>
      <c r="AG6" s="2391"/>
      <c r="AH6" s="2391"/>
      <c r="AI6" s="2391"/>
      <c r="AJ6" s="2391"/>
      <c r="AK6" s="2391"/>
      <c r="AL6" s="2391"/>
      <c r="AM6" s="2391"/>
      <c r="AN6" s="2391"/>
      <c r="AO6" s="2391"/>
      <c r="AP6" s="2391"/>
      <c r="AQ6" s="2391"/>
      <c r="AR6" s="2391"/>
      <c r="AS6" s="2391"/>
      <c r="AT6" s="2392"/>
      <c r="AU6" s="1608"/>
      <c r="AW6" s="664"/>
      <c r="AX6" s="664" t="str">
        <f>IF(T6="","",T6)</f>
        <v/>
      </c>
      <c r="AY6" s="664"/>
      <c r="AZ6" s="664"/>
    </row>
    <row s="6608" customFormat="1" customHeight="1" ht="14.25" hidden="1">
      <c r="A7" s="1565"/>
      <c r="B7" s="1565"/>
      <c r="C7" s="1565"/>
      <c r="D7" s="1565"/>
      <c r="E7" s="2352"/>
      <c r="F7" s="2352"/>
      <c r="G7" s="2352"/>
      <c r="H7" s="2352"/>
      <c r="I7" s="2381"/>
      <c r="J7" s="2349">
        <f>S5&amp;".1"</f>
      </c>
      <c r="K7" s="1565"/>
      <c r="L7" s="1568"/>
      <c r="M7" s="674"/>
      <c r="N7" s="674"/>
      <c r="O7" s="674"/>
      <c r="P7" s="2350"/>
      <c r="Q7" s="2350">
        <v>1</v>
      </c>
      <c r="R7" s="505"/>
      <c r="S7" s="1227"/>
      <c r="T7" s="1622"/>
      <c r="U7" s="1607"/>
      <c r="V7" s="2391"/>
      <c r="W7" s="2391"/>
      <c r="X7" s="2391"/>
      <c r="Y7" s="2391"/>
      <c r="Z7" s="2391"/>
      <c r="AA7" s="2392"/>
      <c r="AB7" s="2390"/>
      <c r="AC7" s="2391"/>
      <c r="AD7" s="2391"/>
      <c r="AE7" s="2391"/>
      <c r="AF7" s="2391"/>
      <c r="AG7" s="2391"/>
      <c r="AH7" s="2391"/>
      <c r="AI7" s="2391"/>
      <c r="AJ7" s="2391"/>
      <c r="AK7" s="2391"/>
      <c r="AL7" s="2391"/>
      <c r="AM7" s="2391"/>
      <c r="AN7" s="2391"/>
      <c r="AO7" s="2391"/>
      <c r="AP7" s="2391"/>
      <c r="AQ7" s="2391"/>
      <c r="AR7" s="2391"/>
      <c r="AS7" s="2391"/>
      <c r="AT7" s="2392"/>
      <c r="AU7" s="1608"/>
      <c r="AW7" s="664"/>
      <c r="AX7" s="664" t="str">
        <f>IF(T7="","",T7)</f>
        <v/>
      </c>
      <c r="AY7" s="664"/>
      <c r="AZ7" s="664"/>
    </row>
    <row customHeight="1" ht="21" hidden="1">
      <c r="A8" s="1586"/>
      <c r="B8" s="1586"/>
      <c r="C8" s="1586"/>
      <c r="D8" s="1586"/>
      <c r="E8" s="2352"/>
      <c r="F8" s="2352"/>
      <c r="G8" s="2352"/>
      <c r="H8" s="2352"/>
      <c r="I8" s="2381"/>
      <c r="J8" s="2382"/>
      <c r="K8" s="2349">
        <f>S5&amp;".1"</f>
      </c>
      <c r="L8" s="1587"/>
      <c r="P8" s="2350"/>
      <c r="Q8" s="2350"/>
      <c r="R8" s="2440">
        <v>1</v>
      </c>
      <c r="S8" s="2434">
        <f>$K8</f>
      </c>
      <c r="T8" s="2437"/>
      <c r="U8" s="437"/>
      <c r="V8" s="3992"/>
      <c r="W8" s="3994"/>
      <c r="X8" s="2357"/>
      <c r="Y8" s="2069" t="s">
        <v>66</v>
      </c>
      <c r="Z8" s="2357"/>
      <c r="AA8" s="2069" t="s">
        <v>66</v>
      </c>
      <c r="AB8" s="2069" t="s">
        <v>56</v>
      </c>
      <c r="AC8" s="2423"/>
      <c r="AD8" s="2424">
        <v>1</v>
      </c>
      <c r="AE8" s="2425"/>
      <c r="AF8" s="2069" t="s">
        <v>56</v>
      </c>
      <c r="AG8" s="2423"/>
      <c r="AH8" s="2424">
        <v>1</v>
      </c>
      <c r="AI8" s="2425"/>
      <c r="AJ8" s="2069" t="s">
        <v>56</v>
      </c>
      <c r="AK8" s="450"/>
      <c r="AL8" s="1559">
        <v>1</v>
      </c>
      <c r="AM8" s="1621"/>
      <c r="AN8" s="3992"/>
      <c r="AO8" s="3994"/>
      <c r="AP8" s="1976"/>
      <c r="AQ8" s="1683" t="s">
        <v>66</v>
      </c>
      <c r="AR8" s="1976"/>
      <c r="AS8" s="1683" t="s">
        <v>66</v>
      </c>
      <c r="AT8" s="4093"/>
      <c r="AU8" s="2346" t="s">
        <v>1545</v>
      </c>
      <c r="AV8" s="675">
        <f>STRCHECKDATE(V11:AT11)</f>
      </c>
      <c r="AW8" s="664"/>
      <c r="AX8" s="664" t="str">
        <f>IF(T8="","",T8)</f>
        <v/>
      </c>
      <c r="AY8" s="664"/>
      <c r="AZ8" s="664"/>
    </row>
    <row customHeight="1" ht="11.25" hidden="1">
      <c r="A9" s="1586"/>
      <c r="B9" s="1586"/>
      <c r="C9" s="1586"/>
      <c r="D9" s="1586"/>
      <c r="E9" s="2352"/>
      <c r="F9" s="2352"/>
      <c r="G9" s="2352"/>
      <c r="H9" s="2352"/>
      <c r="I9" s="2381"/>
      <c r="J9" s="2382"/>
      <c r="K9" s="2349"/>
      <c r="L9" s="1587"/>
      <c r="P9" s="2350"/>
      <c r="Q9" s="2350"/>
      <c r="R9" s="2440"/>
      <c r="S9" s="2435"/>
      <c r="T9" s="2438"/>
      <c r="U9" s="437"/>
      <c r="V9" s="4152"/>
      <c r="W9" s="4206"/>
      <c r="X9" s="2357"/>
      <c r="Y9" s="2069"/>
      <c r="Z9" s="2357"/>
      <c r="AA9" s="2069"/>
      <c r="AB9" s="2069"/>
      <c r="AC9" s="2423"/>
      <c r="AD9" s="2424"/>
      <c r="AE9" s="2425"/>
      <c r="AF9" s="2069"/>
      <c r="AG9" s="2423"/>
      <c r="AH9" s="2424"/>
      <c r="AI9" s="2425"/>
      <c r="AJ9" s="2069"/>
      <c r="AK9" s="457"/>
      <c r="AL9" s="579"/>
      <c r="AM9" s="578" t="s">
        <v>1546</v>
      </c>
      <c r="AN9" s="4152"/>
      <c r="AO9" s="4208"/>
      <c r="AP9" s="4152"/>
      <c r="AQ9" s="4152"/>
      <c r="AR9" s="4152"/>
      <c r="AS9" s="4152"/>
      <c r="AT9" s="4209"/>
      <c r="AU9" s="2347"/>
      <c r="AW9" s="664"/>
      <c r="AX9" s="664"/>
      <c r="AY9" s="664"/>
      <c r="AZ9" s="664"/>
    </row>
    <row customHeight="1" ht="11.25" hidden="1">
      <c r="A10" s="1586"/>
      <c r="B10" s="1586"/>
      <c r="C10" s="1586"/>
      <c r="D10" s="1586"/>
      <c r="E10" s="2352"/>
      <c r="F10" s="2352"/>
      <c r="G10" s="2352"/>
      <c r="H10" s="2352"/>
      <c r="I10" s="2381"/>
      <c r="J10" s="2382"/>
      <c r="K10" s="2349"/>
      <c r="L10" s="1587"/>
      <c r="P10" s="2350"/>
      <c r="Q10" s="2350"/>
      <c r="R10" s="2440"/>
      <c r="S10" s="2435"/>
      <c r="T10" s="2438"/>
      <c r="U10" s="437"/>
      <c r="V10" s="4152"/>
      <c r="W10" s="4206"/>
      <c r="X10" s="2357"/>
      <c r="Y10" s="2069"/>
      <c r="Z10" s="2357"/>
      <c r="AA10" s="2069"/>
      <c r="AB10" s="2069"/>
      <c r="AC10" s="2423"/>
      <c r="AD10" s="2424"/>
      <c r="AE10" s="2425"/>
      <c r="AF10" s="2069"/>
      <c r="AG10" s="431"/>
      <c r="AH10" s="578"/>
      <c r="AI10" s="578" t="s">
        <v>1547</v>
      </c>
      <c r="AJ10" s="4152"/>
      <c r="AK10" s="4152"/>
      <c r="AL10" s="4152"/>
      <c r="AM10" s="4152"/>
      <c r="AN10" s="4152"/>
      <c r="AO10" s="4208"/>
      <c r="AP10" s="4152"/>
      <c r="AQ10" s="4152"/>
      <c r="AR10" s="4152"/>
      <c r="AS10" s="4152"/>
      <c r="AT10" s="4209"/>
      <c r="AU10" s="2347"/>
      <c r="AW10" s="664"/>
      <c r="AX10" s="664"/>
      <c r="AY10" s="664"/>
      <c r="AZ10" s="664"/>
    </row>
    <row customHeight="1" ht="11.25" hidden="1">
      <c r="A11" s="1586"/>
      <c r="B11" s="1586"/>
      <c r="C11" s="1586"/>
      <c r="D11" s="1586"/>
      <c r="E11" s="2352"/>
      <c r="F11" s="2352"/>
      <c r="G11" s="2352"/>
      <c r="H11" s="2352"/>
      <c r="I11" s="2381"/>
      <c r="J11" s="2382"/>
      <c r="K11" s="2349"/>
      <c r="L11" s="1587"/>
      <c r="P11" s="2350"/>
      <c r="Q11" s="2350"/>
      <c r="R11" s="2440"/>
      <c r="S11" s="2436"/>
      <c r="T11" s="2439"/>
      <c r="U11" s="437"/>
      <c r="V11" s="4152"/>
      <c r="W11" s="4213" t="str">
        <f>X8&amp;"-"&amp;Z8</f>
        <v>-</v>
      </c>
      <c r="X11" s="2358"/>
      <c r="Y11" s="2069"/>
      <c r="Z11" s="2358"/>
      <c r="AA11" s="2069"/>
      <c r="AB11" s="2069"/>
      <c r="AC11" s="451"/>
      <c r="AD11" s="453"/>
      <c r="AE11" s="578" t="s">
        <v>1548</v>
      </c>
      <c r="AF11" s="4152"/>
      <c r="AG11" s="4152"/>
      <c r="AH11" s="4152"/>
      <c r="AI11" s="4152"/>
      <c r="AJ11" s="4152"/>
      <c r="AK11" s="4152"/>
      <c r="AL11" s="4152"/>
      <c r="AM11" s="4152"/>
      <c r="AN11" s="4152"/>
      <c r="AO11" s="4153" t="str">
        <f>AP8&amp;"-"&amp;AR8</f>
        <v>-</v>
      </c>
      <c r="AP11" s="4152"/>
      <c r="AQ11" s="4152"/>
      <c r="AR11" s="4152"/>
      <c r="AS11" s="4152"/>
      <c r="AT11" s="4096"/>
      <c r="AU11" s="2347"/>
      <c r="AW11" s="664"/>
      <c r="AX11" s="664" t="str">
        <f>IF(T11="","",T11)</f>
        <v/>
      </c>
      <c r="AY11" s="664"/>
      <c r="AZ11" s="664"/>
    </row>
    <row customHeight="1" ht="11.25" hidden="1">
      <c r="A12" s="1586"/>
      <c r="B12" s="1586"/>
      <c r="C12" s="1586"/>
      <c r="D12" s="1586"/>
      <c r="E12" s="2352"/>
      <c r="F12" s="2352"/>
      <c r="G12" s="2352"/>
      <c r="H12" s="2352"/>
      <c r="I12" s="2381"/>
      <c r="J12" s="2349"/>
      <c r="K12" s="1586"/>
      <c r="L12" s="1587"/>
      <c r="P12" s="2350"/>
      <c r="Q12" s="2350"/>
      <c r="R12" s="504"/>
      <c r="S12" s="1495"/>
      <c r="T12" s="424" t="s">
        <v>1549</v>
      </c>
      <c r="U12" s="519"/>
      <c r="V12" s="519"/>
      <c r="W12" s="519"/>
      <c r="X12" s="519"/>
      <c r="Y12" s="519"/>
      <c r="Z12" s="519"/>
      <c r="AA12" s="519"/>
      <c r="AB12" s="519"/>
      <c r="AC12" s="519"/>
      <c r="AD12" s="519"/>
      <c r="AE12" s="519"/>
      <c r="AF12" s="519"/>
      <c r="AG12" s="519"/>
      <c r="AH12" s="519"/>
      <c r="AI12" s="519"/>
      <c r="AJ12" s="519"/>
      <c r="AK12" s="519"/>
      <c r="AL12" s="519"/>
      <c r="AM12" s="519"/>
      <c r="AN12" s="519"/>
      <c r="AO12" s="519"/>
      <c r="AP12" s="519"/>
      <c r="AQ12" s="519"/>
      <c r="AR12" s="519"/>
      <c r="AS12" s="519"/>
      <c r="AT12" s="471"/>
      <c r="AU12" s="2348"/>
      <c r="AW12" s="664"/>
      <c r="AX12" s="664" t="str">
        <f>IF(T12="","",T12)</f>
        <v>Добавить строку</v>
      </c>
      <c r="AY12" s="664"/>
      <c r="AZ12" s="664"/>
    </row>
    <row s="6608" customFormat="1" customHeight="1" ht="14.25" hidden="1">
      <c r="A13" s="1565"/>
      <c r="B13" s="1565"/>
      <c r="C13" s="1565"/>
      <c r="D13" s="1565"/>
      <c r="E13" s="2352"/>
      <c r="F13" s="2352"/>
      <c r="G13" s="2352"/>
      <c r="H13" s="2352"/>
      <c r="I13" s="2380"/>
      <c r="J13" s="1565"/>
      <c r="K13" s="1565"/>
      <c r="L13" s="1568"/>
      <c r="M13" s="674"/>
      <c r="N13" s="674"/>
      <c r="O13" s="674"/>
      <c r="P13" s="2350"/>
      <c r="Q13" s="1553"/>
      <c r="R13" s="504"/>
      <c r="S13" s="1609"/>
      <c r="T13" s="1610"/>
      <c r="U13" s="1611"/>
      <c r="V13" s="1611"/>
      <c r="W13" s="1611"/>
      <c r="X13" s="1611"/>
      <c r="Y13" s="1611"/>
      <c r="Z13" s="1611"/>
      <c r="AA13" s="1611"/>
      <c r="AB13" s="1611"/>
      <c r="AC13" s="1611"/>
      <c r="AD13" s="1611"/>
      <c r="AE13" s="1611"/>
      <c r="AF13" s="1611"/>
      <c r="AG13" s="1611"/>
      <c r="AH13" s="1611"/>
      <c r="AI13" s="1611"/>
      <c r="AJ13" s="1611"/>
      <c r="AK13" s="1611"/>
      <c r="AL13" s="1611"/>
      <c r="AM13" s="1611"/>
      <c r="AN13" s="1611"/>
      <c r="AO13" s="1611"/>
      <c r="AP13" s="1611"/>
      <c r="AQ13" s="1611"/>
      <c r="AR13" s="1611"/>
      <c r="AS13" s="1611"/>
      <c r="AT13" s="1611"/>
      <c r="AU13" s="1612"/>
      <c r="AW13" s="664"/>
      <c r="AX13" s="664" t="str">
        <f>IF(T13="","",T13)</f>
        <v/>
      </c>
      <c r="AY13" s="664"/>
      <c r="AZ13" s="664"/>
    </row>
    <row s="6608" customFormat="1" customHeight="1" ht="14.25" hidden="1">
      <c r="A14" s="1565"/>
      <c r="B14" s="1565"/>
      <c r="C14" s="1565"/>
      <c r="D14" s="1565"/>
      <c r="E14" s="2352"/>
      <c r="F14" s="2352"/>
      <c r="G14" s="2352"/>
      <c r="H14" s="2351"/>
      <c r="I14" s="1565"/>
      <c r="J14" s="1565"/>
      <c r="K14" s="1565"/>
      <c r="L14" s="1568"/>
      <c r="M14" s="1537"/>
      <c r="N14" s="1537"/>
      <c r="O14" s="682"/>
      <c r="P14" s="537"/>
      <c r="Q14" s="1566"/>
      <c r="R14" s="1624"/>
      <c r="S14" s="1609"/>
      <c r="T14" s="1610"/>
      <c r="U14" s="1611"/>
      <c r="V14" s="1611"/>
      <c r="W14" s="1611"/>
      <c r="X14" s="1611"/>
      <c r="Y14" s="1611"/>
      <c r="Z14" s="1611"/>
      <c r="AA14" s="1611"/>
      <c r="AB14" s="1611"/>
      <c r="AC14" s="1611"/>
      <c r="AD14" s="1611"/>
      <c r="AE14" s="1611"/>
      <c r="AF14" s="1611"/>
      <c r="AG14" s="1611"/>
      <c r="AH14" s="1611"/>
      <c r="AI14" s="1611"/>
      <c r="AJ14" s="1611"/>
      <c r="AK14" s="1611"/>
      <c r="AL14" s="1611"/>
      <c r="AM14" s="1611"/>
      <c r="AN14" s="1611"/>
      <c r="AO14" s="1611"/>
      <c r="AP14" s="1611"/>
      <c r="AQ14" s="1611"/>
      <c r="AR14" s="1611"/>
      <c r="AS14" s="1611"/>
      <c r="AT14" s="1611"/>
      <c r="AU14" s="1612"/>
      <c r="AW14" s="664"/>
      <c r="AX14" s="664" t="str">
        <f>IF(T14="","",T14)</f>
        <v/>
      </c>
      <c r="AY14" s="664"/>
      <c r="AZ14" s="664"/>
    </row>
    <row s="6520" customFormat="1" customHeight="1" ht="14.25" hidden="1">
      <c r="A15" s="1565"/>
      <c r="B15" s="1565"/>
      <c r="C15" s="1565"/>
      <c r="D15" s="1536"/>
      <c r="E15" s="2352"/>
      <c r="F15" s="2352"/>
      <c r="G15" s="2351"/>
      <c r="H15" s="1536"/>
      <c r="I15" s="1536"/>
      <c r="J15" s="1536"/>
      <c r="K15" s="1536"/>
      <c r="L15" s="1561"/>
      <c r="M15" s="1537"/>
      <c r="N15" s="1537"/>
      <c r="P15" s="1538"/>
      <c r="Q15" s="1539"/>
      <c r="R15" s="1538"/>
      <c r="S15" s="1544"/>
      <c r="T15" s="1547" t="s">
        <v>1444</v>
      </c>
      <c r="U15" s="1546"/>
      <c r="V15" s="1546"/>
      <c r="W15" s="1546"/>
      <c r="X15" s="1546"/>
      <c r="Y15" s="1546"/>
      <c r="Z15" s="1546"/>
      <c r="AA15" s="1546"/>
      <c r="AB15" s="1546"/>
      <c r="AC15" s="1546"/>
      <c r="AD15" s="1546"/>
      <c r="AE15" s="1546"/>
      <c r="AF15" s="1546"/>
      <c r="AG15" s="1546"/>
      <c r="AH15" s="1546"/>
      <c r="AI15" s="1546"/>
      <c r="AJ15" s="1546"/>
      <c r="AK15" s="1546"/>
      <c r="AL15" s="1546"/>
      <c r="AM15" s="1546"/>
      <c r="AN15" s="1546"/>
      <c r="AO15" s="1546"/>
      <c r="AP15" s="1546"/>
      <c r="AQ15" s="1546"/>
      <c r="AR15" s="1546"/>
      <c r="AS15" s="1546"/>
      <c r="AT15" s="1546"/>
      <c r="AU15" s="1546"/>
      <c r="AW15" s="956"/>
      <c r="AX15" s="956" t="str">
        <f>IF(T15="","",T15)</f>
        <v>Добавить источник для дифференциации</v>
      </c>
      <c r="AY15" s="956"/>
      <c r="AZ15" s="956"/>
    </row>
    <row s="6520" customFormat="1" customHeight="1" ht="14.25" hidden="1">
      <c r="A16" s="1565"/>
      <c r="B16" s="1565"/>
      <c r="C16" s="1536"/>
      <c r="D16" s="1536"/>
      <c r="E16" s="2352"/>
      <c r="F16" s="2351"/>
      <c r="G16" s="1536"/>
      <c r="H16" s="1536"/>
      <c r="I16" s="1536"/>
      <c r="J16" s="1536"/>
      <c r="K16" s="1536"/>
      <c r="L16" s="1561"/>
      <c r="M16" s="1543"/>
      <c r="N16" s="1543"/>
      <c r="P16" s="1538"/>
      <c r="Q16" s="1539"/>
      <c r="R16" s="1538"/>
      <c r="S16" s="1544"/>
      <c r="T16" s="1547" t="s">
        <v>1445</v>
      </c>
      <c r="U16" s="1546"/>
      <c r="V16" s="1546"/>
      <c r="W16" s="1546"/>
      <c r="X16" s="1546"/>
      <c r="Y16" s="1546"/>
      <c r="Z16" s="1546"/>
      <c r="AA16" s="1546"/>
      <c r="AB16" s="1546"/>
      <c r="AC16" s="1546"/>
      <c r="AD16" s="1546"/>
      <c r="AE16" s="1546"/>
      <c r="AF16" s="1546"/>
      <c r="AG16" s="1546"/>
      <c r="AH16" s="1546"/>
      <c r="AI16" s="1546"/>
      <c r="AJ16" s="1546"/>
      <c r="AK16" s="1546"/>
      <c r="AL16" s="1546"/>
      <c r="AM16" s="1546"/>
      <c r="AN16" s="1546"/>
      <c r="AO16" s="1546"/>
      <c r="AP16" s="1546"/>
      <c r="AQ16" s="1546"/>
      <c r="AR16" s="1546"/>
      <c r="AS16" s="1546"/>
      <c r="AT16" s="1546"/>
      <c r="AU16" s="1546"/>
      <c r="AW16" s="956"/>
      <c r="AX16" s="956" t="str">
        <f>IF(T16="","",T16)</f>
        <v>Добавить централизованную систему для дифференциации</v>
      </c>
      <c r="AY16" s="956"/>
      <c r="AZ16" s="956"/>
    </row>
    <row s="6608" customFormat="1" customHeight="1" ht="14.25" hidden="1">
      <c r="A17" s="1565"/>
      <c r="B17" s="1565"/>
      <c r="C17" s="1565"/>
      <c r="D17" s="1565"/>
      <c r="E17" s="2351"/>
      <c r="F17" s="1565"/>
      <c r="G17" s="1565"/>
      <c r="H17" s="1565"/>
      <c r="I17" s="1565"/>
      <c r="J17" s="1565"/>
      <c r="K17" s="1565"/>
      <c r="L17" s="1568"/>
      <c r="M17" s="1543"/>
      <c r="N17" s="1543"/>
      <c r="O17" s="682"/>
      <c r="P17" s="537"/>
      <c r="Q17" s="1566"/>
      <c r="R17" s="537"/>
      <c r="S17" s="1544"/>
      <c r="T17" s="1547" t="s">
        <v>1446</v>
      </c>
      <c r="U17" s="1546"/>
      <c r="V17" s="1546"/>
      <c r="W17" s="1546"/>
      <c r="X17" s="1546"/>
      <c r="Y17" s="1546"/>
      <c r="Z17" s="1546"/>
      <c r="AA17" s="1546"/>
      <c r="AB17" s="1546"/>
      <c r="AC17" s="1546"/>
      <c r="AD17" s="1546"/>
      <c r="AE17" s="1546"/>
      <c r="AF17" s="1546"/>
      <c r="AG17" s="1546"/>
      <c r="AH17" s="1546"/>
      <c r="AI17" s="1546"/>
      <c r="AJ17" s="1546"/>
      <c r="AK17" s="1546"/>
      <c r="AL17" s="1546"/>
      <c r="AM17" s="1546"/>
      <c r="AN17" s="1546"/>
      <c r="AO17" s="1546"/>
      <c r="AP17" s="1546"/>
      <c r="AQ17" s="1546"/>
      <c r="AR17" s="1546"/>
      <c r="AS17" s="1546"/>
      <c r="AT17" s="1546"/>
      <c r="AU17" s="1546"/>
      <c r="AW17" s="664"/>
      <c r="AX17" s="664" t="str">
        <f>IF(T17="","",T17)</f>
        <v>Добавить территорию для дифференциации</v>
      </c>
      <c r="AY17" s="664"/>
      <c r="AZ17" s="664"/>
    </row>
    <row customHeight="1" ht="14.25" hidden="1">
      <c r="AA18" s="475"/>
      <c r="AS18" s="475"/>
    </row>
    <row customHeight="1" ht="14.25" hidden="1">
      <c r="AB19" s="1546" t="s">
        <v>56</v>
      </c>
      <c r="AC19" s="1725"/>
      <c r="AD19" s="712">
        <v>1</v>
      </c>
      <c r="AE19" s="1726"/>
      <c r="AF19" s="1546" t="s">
        <v>56</v>
      </c>
      <c r="AG19" s="1725"/>
      <c r="AH19" s="712">
        <v>1</v>
      </c>
      <c r="AI19" s="1726"/>
      <c r="AJ19" s="1546" t="s">
        <v>56</v>
      </c>
      <c r="AK19" s="1727"/>
      <c r="AL19" s="712">
        <v>1</v>
      </c>
      <c r="AM19" s="1730"/>
      <c r="AN19" s="4222"/>
      <c r="AO19" s="4223"/>
      <c r="AP19" s="1978"/>
      <c r="AQ19" s="1684" t="s">
        <v>66</v>
      </c>
      <c r="AR19" s="1978"/>
      <c r="AS19" s="1684" t="s">
        <v>66</v>
      </c>
    </row>
    <row customHeight="1" ht="14.25" hidden="1">
      <c r="AV20" s="660"/>
      <c r="AW20" s="660"/>
      <c r="AX20" s="660"/>
      <c r="AY20" s="660"/>
      <c r="AZ20" s="660"/>
    </row>
    <row customHeight="1" ht="14.25" hidden="1">
      <c r="O21" s="1590" t="s">
        <v>1486</v>
      </c>
      <c r="X21" s="1567"/>
      <c r="Z21" s="1567"/>
      <c r="AA21" s="475"/>
      <c r="AP21" s="1567"/>
      <c r="AR21" s="1567"/>
      <c r="AS21" s="475"/>
      <c r="AV21" s="660"/>
      <c r="AW21" s="660"/>
      <c r="AX21" s="660"/>
      <c r="AY21" s="660"/>
      <c r="AZ21" s="660"/>
    </row>
    <row customHeight="1" ht="14.25" hidden="1">
      <c r="AA22" s="475"/>
      <c r="AS22" s="475"/>
      <c r="AV22" s="660"/>
      <c r="AW22" s="660"/>
      <c r="AX22" s="660"/>
      <c r="AY22" s="660"/>
      <c r="AZ22" s="660"/>
    </row>
    <row s="6744" customFormat="1" customHeight="1" ht="14.25" hidden="1">
      <c r="M23" s="1732"/>
      <c r="N23" s="1732"/>
      <c r="O23" s="1733" t="s">
        <v>1487</v>
      </c>
      <c r="P23" s="1732"/>
      <c r="Q23" s="1734"/>
      <c r="R23" s="1734"/>
      <c r="Y23" s="1731" t="s">
        <v>1489</v>
      </c>
      <c r="AA23" s="1731" t="s">
        <v>1490</v>
      </c>
      <c r="AB23" s="1731" t="s">
        <v>1550</v>
      </c>
      <c r="AE23" s="1731" t="s">
        <v>1551</v>
      </c>
      <c r="AF23" s="1731" t="s">
        <v>1550</v>
      </c>
      <c r="AI23" s="1731" t="s">
        <v>1552</v>
      </c>
      <c r="AJ23" s="1731" t="s">
        <v>1550</v>
      </c>
      <c r="AM23" s="1731" t="s">
        <v>1553</v>
      </c>
      <c r="AQ23" s="1731" t="s">
        <v>1489</v>
      </c>
      <c r="AS23" s="1731" t="s">
        <v>1490</v>
      </c>
      <c r="AV23" s="1735"/>
      <c r="AW23" s="1735"/>
      <c r="AX23" s="1735"/>
      <c r="AY23" s="1735"/>
      <c r="AZ23" s="1735"/>
    </row>
    <row customHeight="1" ht="14.25" hidden="1">
      <c r="O24" s="1587"/>
      <c r="AV24" s="660"/>
      <c r="AW24" s="660"/>
      <c r="AX24" s="660"/>
      <c r="AY24" s="660"/>
      <c r="AZ24" s="660"/>
    </row>
    <row customHeight="1" ht="14.25" hidden="1">
      <c r="O25" s="1587"/>
      <c r="AV25" s="660"/>
      <c r="AW25" s="660"/>
      <c r="AX25" s="660"/>
      <c r="AY25" s="660"/>
      <c r="AZ25" s="660"/>
    </row>
    <row customHeight="1" ht="14.25">
      <c r="Q26" s="428"/>
      <c r="R26" s="529"/>
      <c r="S26" s="1492"/>
      <c r="T26" s="513"/>
      <c r="U26" s="513"/>
      <c r="V26" s="673"/>
      <c r="W26" s="673"/>
      <c r="X26" s="673"/>
      <c r="Y26" s="673"/>
      <c r="Z26" s="673"/>
      <c r="AA26" s="673"/>
      <c r="AB26" s="673"/>
      <c r="AC26" s="673"/>
      <c r="AD26" s="673"/>
      <c r="AE26" s="673"/>
      <c r="AF26" s="673"/>
      <c r="AG26" s="673"/>
      <c r="AH26" s="673"/>
      <c r="AI26" s="673"/>
      <c r="AJ26" s="673"/>
      <c r="AK26" s="673"/>
      <c r="AL26" s="673"/>
      <c r="AM26" s="673"/>
      <c r="AN26" s="673"/>
      <c r="AO26" s="673"/>
      <c r="AP26" s="673"/>
      <c r="AQ26" s="673"/>
      <c r="AR26" s="673"/>
      <c r="AS26" s="673"/>
    </row>
    <row customHeight="1" ht="33.75">
      <c r="Q27" s="428"/>
      <c r="R27" s="529"/>
      <c r="S27" s="2341" t="str">
        <f>IF(TEMPLATE_GROUP="P",PT_P_FORM_HEAT_7_NAME_FORM,PT_R_FORM_HEAT_24_NAME_FORM)</f>
        <v>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v>
      </c>
      <c r="T27" s="2341"/>
      <c r="U27" s="2341"/>
      <c r="V27" s="2341"/>
      <c r="W27" s="2341"/>
      <c r="X27" s="2341"/>
      <c r="Y27" s="2341"/>
      <c r="Z27" s="2341"/>
      <c r="AA27" s="2341"/>
      <c r="AB27" s="2341"/>
      <c r="AC27" s="2341"/>
      <c r="AD27" s="2341"/>
      <c r="AE27" s="2341"/>
      <c r="AF27" s="2341"/>
      <c r="AG27" s="2341"/>
      <c r="AH27" s="2341"/>
      <c r="AI27" s="2341"/>
      <c r="AJ27" s="2341"/>
      <c r="AK27" s="2341"/>
      <c r="AL27" s="2341"/>
      <c r="AM27" s="2341"/>
      <c r="AN27" s="2341"/>
      <c r="AO27" s="2341"/>
      <c r="AP27" s="2341"/>
      <c r="AQ27" s="2341"/>
      <c r="AR27" s="2341"/>
      <c r="AS27" s="1448"/>
    </row>
    <row customHeight="1" ht="14.25">
      <c r="Q28" s="428"/>
      <c r="R28" s="529"/>
      <c r="S28"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8" s="2342"/>
      <c r="U28" s="2342"/>
      <c r="V28" s="2342"/>
      <c r="W28" s="2342"/>
      <c r="X28" s="2342"/>
      <c r="Y28" s="2342"/>
      <c r="Z28" s="2342"/>
      <c r="AA28" s="2342"/>
      <c r="AB28" s="2342"/>
      <c r="AC28" s="2342"/>
      <c r="AD28" s="2342"/>
      <c r="AE28" s="2342"/>
      <c r="AF28" s="2342"/>
      <c r="AG28" s="2342"/>
      <c r="AH28" s="2342"/>
      <c r="AI28" s="2342"/>
      <c r="AJ28" s="2342"/>
      <c r="AK28" s="2342"/>
      <c r="AL28" s="2342"/>
      <c r="AM28" s="2342"/>
      <c r="AN28" s="2342"/>
      <c r="AO28" s="2342"/>
      <c r="AP28" s="2342"/>
      <c r="AQ28" s="2342"/>
      <c r="AR28" s="2342"/>
      <c r="AS28" s="1448"/>
    </row>
    <row customHeight="1" ht="14.25" hidden="1">
      <c r="Q29" s="428"/>
      <c r="R29" s="529"/>
      <c r="S29" s="1492"/>
      <c r="T29" s="513"/>
      <c r="U29" s="513"/>
      <c r="V29" s="468"/>
      <c r="W29" s="468"/>
      <c r="X29" s="468"/>
      <c r="Y29" s="468"/>
      <c r="Z29" s="468"/>
      <c r="AA29" s="468"/>
      <c r="AB29" s="468"/>
      <c r="AC29" s="468"/>
      <c r="AD29" s="468"/>
      <c r="AE29" s="468"/>
      <c r="AF29" s="468"/>
      <c r="AG29" s="468"/>
      <c r="AH29" s="468"/>
      <c r="AI29" s="468"/>
      <c r="AJ29" s="468"/>
      <c r="AK29" s="468"/>
      <c r="AL29" s="468"/>
      <c r="AM29" s="468"/>
      <c r="AN29" s="468"/>
      <c r="AO29" s="468"/>
      <c r="AP29" s="468"/>
      <c r="AQ29" s="468"/>
      <c r="AR29" s="468"/>
      <c r="AS29" s="468"/>
      <c r="AT29" s="673"/>
    </row>
    <row s="6550" customFormat="1" customHeight="1" ht="25.5" hidden="1">
      <c r="A30" s="1591"/>
      <c r="B30" s="1591"/>
      <c r="C30" s="1591"/>
      <c r="D30" s="1591"/>
      <c r="E30" s="1591"/>
      <c r="F30" s="1591"/>
      <c r="G30" s="1591"/>
      <c r="H30" s="1591"/>
      <c r="I30" s="1591"/>
      <c r="J30" s="1591"/>
      <c r="K30" s="1591"/>
      <c r="L30" s="1592"/>
      <c r="M30" s="1591"/>
      <c r="N30" s="1591"/>
      <c r="O30" s="1591"/>
      <c r="P30" s="1591"/>
      <c r="Q30" s="1591"/>
      <c r="S30" s="2343" t="s">
        <v>39</v>
      </c>
      <c r="T30" s="2343"/>
      <c r="U30" s="1595"/>
      <c r="V30" s="2344"/>
      <c r="W30" s="2344"/>
      <c r="X30" s="2344"/>
      <c r="Y30" s="2344"/>
      <c r="Z30" s="2344"/>
      <c r="AA30" s="474"/>
      <c r="AB30" s="2344" t="str">
        <f>IF(TITLE_NAME_OR_PR_CHANGE="",IF(TITLE_NAME_OR_PR="","",TITLE_NAME_OR_PR),TITLE_NAME_OR_PR_CHANGE)</f>
        <v/>
      </c>
      <c r="AC30" s="2344"/>
      <c r="AD30" s="2344"/>
      <c r="AE30" s="2344"/>
      <c r="AF30" s="2344"/>
      <c r="AG30" s="2344"/>
      <c r="AH30" s="2344"/>
      <c r="AI30" s="2344"/>
      <c r="AJ30" s="2344"/>
      <c r="AK30" s="2344"/>
      <c r="AL30" s="2344"/>
      <c r="AM30" s="2344"/>
      <c r="AN30" s="2344"/>
      <c r="AO30" s="2344"/>
      <c r="AP30" s="2344"/>
      <c r="AQ30" s="2344"/>
      <c r="AR30" s="2344"/>
      <c r="AS30" s="474"/>
      <c r="AT30" s="474"/>
      <c r="AU30" s="417"/>
      <c r="AV30" s="520"/>
      <c r="AW30" s="520"/>
      <c r="AX30" s="520"/>
      <c r="AY30" s="520"/>
      <c r="AZ30" s="520"/>
    </row>
    <row s="6550" customFormat="1" customHeight="1" ht="18.75" hidden="1">
      <c r="A31" s="1591"/>
      <c r="B31" s="1591"/>
      <c r="C31" s="1591"/>
      <c r="D31" s="1591"/>
      <c r="E31" s="1591"/>
      <c r="F31" s="1591"/>
      <c r="G31" s="1591"/>
      <c r="H31" s="1591"/>
      <c r="I31" s="1591"/>
      <c r="J31" s="1591"/>
      <c r="K31" s="1591"/>
      <c r="L31" s="1592"/>
      <c r="M31" s="1591"/>
      <c r="N31" s="1591"/>
      <c r="O31" s="1591"/>
      <c r="P31" s="1591"/>
      <c r="Q31" s="1591"/>
      <c r="S31" s="2343" t="s">
        <v>1492</v>
      </c>
      <c r="T31" s="2343"/>
      <c r="U31" s="1595"/>
      <c r="V31" s="2344"/>
      <c r="W31" s="2344"/>
      <c r="X31" s="2344"/>
      <c r="Y31" s="2344"/>
      <c r="Z31" s="2344"/>
      <c r="AA31" s="474"/>
      <c r="AB31" s="2344" t="str">
        <f>IF(TITLE_DATE_CHANGE_PERIOD="",IF(TITLE_DATE_PR="","",TITLE_DATE_PR),TITLE_DATE_CHANGE_PERIOD)</f>
        <v/>
      </c>
      <c r="AC31" s="2344"/>
      <c r="AD31" s="2344"/>
      <c r="AE31" s="2344"/>
      <c r="AF31" s="2344"/>
      <c r="AG31" s="2344"/>
      <c r="AH31" s="2344"/>
      <c r="AI31" s="2344"/>
      <c r="AJ31" s="2344"/>
      <c r="AK31" s="2344"/>
      <c r="AL31" s="2344"/>
      <c r="AM31" s="2344"/>
      <c r="AN31" s="2344"/>
      <c r="AO31" s="2344"/>
      <c r="AP31" s="2344"/>
      <c r="AQ31" s="2344"/>
      <c r="AR31" s="2344"/>
      <c r="AS31" s="474"/>
      <c r="AT31" s="474"/>
      <c r="AU31" s="417"/>
      <c r="AV31" s="520"/>
      <c r="AW31" s="520"/>
      <c r="AX31" s="520"/>
      <c r="AY31" s="520"/>
      <c r="AZ31" s="520"/>
    </row>
    <row s="6550" customFormat="1" customHeight="1" ht="18.75" hidden="1">
      <c r="A32" s="1591"/>
      <c r="B32" s="1591"/>
      <c r="C32" s="1591"/>
      <c r="D32" s="1591"/>
      <c r="E32" s="1591"/>
      <c r="F32" s="1591"/>
      <c r="G32" s="1591"/>
      <c r="H32" s="1591"/>
      <c r="I32" s="1591"/>
      <c r="J32" s="1591"/>
      <c r="K32" s="1591"/>
      <c r="L32" s="1592"/>
      <c r="M32" s="1591"/>
      <c r="N32" s="1591"/>
      <c r="O32" s="1591"/>
      <c r="P32" s="1591"/>
      <c r="Q32" s="1591"/>
      <c r="S32" s="2343" t="s">
        <v>1493</v>
      </c>
      <c r="T32" s="2343"/>
      <c r="U32" s="1595"/>
      <c r="V32" s="2344"/>
      <c r="W32" s="2344"/>
      <c r="X32" s="2344"/>
      <c r="Y32" s="2344"/>
      <c r="Z32" s="2344"/>
      <c r="AA32" s="474"/>
      <c r="AB32" s="2344" t="str">
        <f>IF(TITLE_NUMBER_PR_CHANGE="",IF(TITLE_NUMBER_PR="","",TITLE_NUMBER_PR),TITLE_NUMBER_PR_CHANGE)</f>
        <v/>
      </c>
      <c r="AC32" s="2344"/>
      <c r="AD32" s="2344"/>
      <c r="AE32" s="2344"/>
      <c r="AF32" s="2344"/>
      <c r="AG32" s="2344"/>
      <c r="AH32" s="2344"/>
      <c r="AI32" s="2344"/>
      <c r="AJ32" s="2344"/>
      <c r="AK32" s="2344"/>
      <c r="AL32" s="2344"/>
      <c r="AM32" s="2344"/>
      <c r="AN32" s="2344"/>
      <c r="AO32" s="2344"/>
      <c r="AP32" s="2344"/>
      <c r="AQ32" s="2344"/>
      <c r="AR32" s="2344"/>
      <c r="AS32" s="474"/>
      <c r="AT32" s="474"/>
      <c r="AU32" s="417"/>
      <c r="AV32" s="520"/>
      <c r="AW32" s="520"/>
      <c r="AX32" s="520"/>
      <c r="AY32" s="520"/>
      <c r="AZ32" s="520"/>
    </row>
    <row s="6550" customFormat="1" customHeight="1" ht="18.75" hidden="1">
      <c r="A33" s="1591"/>
      <c r="B33" s="1591"/>
      <c r="C33" s="1591"/>
      <c r="D33" s="1591"/>
      <c r="E33" s="1591"/>
      <c r="F33" s="1591"/>
      <c r="G33" s="1591"/>
      <c r="H33" s="1591"/>
      <c r="I33" s="1591"/>
      <c r="J33" s="1591"/>
      <c r="K33" s="1591"/>
      <c r="L33" s="1592"/>
      <c r="M33" s="1591"/>
      <c r="N33" s="1591"/>
      <c r="O33" s="1591"/>
      <c r="P33" s="1591"/>
      <c r="Q33" s="1591"/>
      <c r="S33" s="2343" t="s">
        <v>40</v>
      </c>
      <c r="T33" s="2343"/>
      <c r="U33" s="1595"/>
      <c r="V33" s="2344"/>
      <c r="W33" s="2344"/>
      <c r="X33" s="2344"/>
      <c r="Y33" s="2344"/>
      <c r="Z33" s="2344"/>
      <c r="AA33" s="474"/>
      <c r="AB33" s="2344" t="str">
        <f>IF(TITLE_IST_PUB_CHANGE="",IF(TITLE_IST_PUB="","",TITLE_IST_PUB),TITLE_IST_PUB_CHANGE)</f>
        <v/>
      </c>
      <c r="AC33" s="2344"/>
      <c r="AD33" s="2344"/>
      <c r="AE33" s="2344"/>
      <c r="AF33" s="2344"/>
      <c r="AG33" s="2344"/>
      <c r="AH33" s="2344"/>
      <c r="AI33" s="2344"/>
      <c r="AJ33" s="2344"/>
      <c r="AK33" s="2344"/>
      <c r="AL33" s="2344"/>
      <c r="AM33" s="2344"/>
      <c r="AN33" s="2344"/>
      <c r="AO33" s="2344"/>
      <c r="AP33" s="2344"/>
      <c r="AQ33" s="2344"/>
      <c r="AR33" s="2344"/>
      <c r="AS33" s="474"/>
      <c r="AT33" s="474"/>
      <c r="AU33" s="417"/>
      <c r="AV33" s="520"/>
      <c r="AW33" s="520"/>
      <c r="AX33" s="520"/>
      <c r="AY33" s="520"/>
      <c r="AZ33" s="520"/>
    </row>
    <row customHeight="1" ht="14.25" hidden="1">
      <c r="Q34" s="428"/>
      <c r="R34" s="529"/>
      <c r="S34" s="1492"/>
      <c r="T34" s="513"/>
      <c r="U34" s="513"/>
      <c r="V34" s="468"/>
      <c r="W34" s="468"/>
      <c r="X34" s="468"/>
      <c r="Y34" s="468"/>
      <c r="Z34" s="468"/>
      <c r="AA34" s="468"/>
      <c r="AB34" s="468"/>
      <c r="AC34" s="468"/>
      <c r="AD34" s="468"/>
      <c r="AE34" s="468"/>
      <c r="AF34" s="468"/>
      <c r="AG34" s="468"/>
      <c r="AH34" s="468"/>
      <c r="AI34" s="468"/>
      <c r="AJ34" s="468"/>
      <c r="AK34" s="468"/>
      <c r="AL34" s="468"/>
      <c r="AM34" s="468"/>
      <c r="AN34" s="468"/>
      <c r="AO34" s="468"/>
      <c r="AP34" s="468"/>
      <c r="AQ34" s="468"/>
      <c r="AR34" s="468"/>
      <c r="AS34" s="468"/>
      <c r="AT34" s="673"/>
    </row>
    <row s="6550" customFormat="1" customHeight="1" ht="18.75" hidden="1">
      <c r="A35" s="1591"/>
      <c r="B35" s="1591"/>
      <c r="C35" s="1591"/>
      <c r="D35" s="1591"/>
      <c r="E35" s="1591"/>
      <c r="F35" s="1591"/>
      <c r="G35" s="1591"/>
      <c r="H35" s="1591"/>
      <c r="I35" s="1591"/>
      <c r="J35" s="1591"/>
      <c r="K35" s="1591"/>
      <c r="L35" s="1592"/>
      <c r="M35" s="1591"/>
      <c r="N35" s="1591"/>
      <c r="O35" s="1591"/>
      <c r="P35" s="1591"/>
      <c r="Q35" s="1591"/>
      <c r="S35" s="2343" t="s">
        <v>1492</v>
      </c>
      <c r="T35" s="2343"/>
      <c r="U35" s="1595"/>
      <c r="V35" s="2344"/>
      <c r="W35" s="2344"/>
      <c r="X35" s="2344"/>
      <c r="Y35" s="2344"/>
      <c r="Z35" s="2344"/>
      <c r="AA35" s="474"/>
      <c r="AB35" s="2344" t="str">
        <f>IF(TITLE_DATE_CHANGE_PERIOD="",IF(TITLE_DATE_PR="","",TITLE_DATE_PR),TITLE_DATE_CHANGE_PERIOD)</f>
        <v/>
      </c>
      <c r="AC35" s="2344"/>
      <c r="AD35" s="2344"/>
      <c r="AE35" s="2344"/>
      <c r="AF35" s="2344"/>
      <c r="AG35" s="2344"/>
      <c r="AH35" s="2344"/>
      <c r="AI35" s="2344"/>
      <c r="AJ35" s="2344"/>
      <c r="AK35" s="2344"/>
      <c r="AL35" s="2344"/>
      <c r="AM35" s="2344"/>
      <c r="AN35" s="2344"/>
      <c r="AO35" s="2344"/>
      <c r="AP35" s="2344"/>
      <c r="AQ35" s="2344"/>
      <c r="AR35" s="2344"/>
      <c r="AS35" s="474"/>
      <c r="AT35" s="474"/>
      <c r="AU35" s="417"/>
      <c r="AV35" s="520"/>
      <c r="AW35" s="520"/>
      <c r="AX35" s="520"/>
      <c r="AY35" s="520"/>
      <c r="AZ35" s="520"/>
    </row>
    <row s="6550" customFormat="1" customHeight="1" ht="18" hidden="1">
      <c r="A36" s="1591"/>
      <c r="B36" s="1591"/>
      <c r="C36" s="1591"/>
      <c r="D36" s="1591"/>
      <c r="E36" s="1591"/>
      <c r="F36" s="1591"/>
      <c r="G36" s="1591"/>
      <c r="H36" s="1591"/>
      <c r="I36" s="1591"/>
      <c r="J36" s="1591"/>
      <c r="K36" s="1591"/>
      <c r="L36" s="1592"/>
      <c r="M36" s="1591"/>
      <c r="N36" s="1591"/>
      <c r="O36" s="1591"/>
      <c r="P36" s="1591"/>
      <c r="Q36" s="1591"/>
      <c r="S36" s="2343" t="s">
        <v>1493</v>
      </c>
      <c r="T36" s="2343"/>
      <c r="U36" s="1595"/>
      <c r="V36" s="2344"/>
      <c r="W36" s="2344"/>
      <c r="X36" s="2344"/>
      <c r="Y36" s="2344"/>
      <c r="Z36" s="2344"/>
      <c r="AA36" s="474"/>
      <c r="AB36" s="2344" t="str">
        <f>IF(TITLE_NUMBER_PR_CHANGE="",IF(TITLE_NUMBER_PR="","",TITLE_NUMBER_PR),TITLE_NUMBER_PR_CHANGE)</f>
        <v/>
      </c>
      <c r="AC36" s="2344"/>
      <c r="AD36" s="2344"/>
      <c r="AE36" s="2344"/>
      <c r="AF36" s="2344"/>
      <c r="AG36" s="2344"/>
      <c r="AH36" s="2344"/>
      <c r="AI36" s="2344"/>
      <c r="AJ36" s="2344"/>
      <c r="AK36" s="2344"/>
      <c r="AL36" s="2344"/>
      <c r="AM36" s="2344"/>
      <c r="AN36" s="2344"/>
      <c r="AO36" s="2344"/>
      <c r="AP36" s="2344"/>
      <c r="AQ36" s="2344"/>
      <c r="AR36" s="2344"/>
      <c r="AS36" s="474"/>
      <c r="AT36" s="474"/>
      <c r="AU36" s="417"/>
      <c r="AV36" s="520"/>
      <c r="AW36" s="520"/>
      <c r="AX36" s="520"/>
      <c r="AY36" s="520"/>
      <c r="AZ36" s="520"/>
    </row>
    <row s="6550" customFormat="1" customHeight="1" ht="0.75">
      <c r="A37" s="1591"/>
      <c r="B37" s="1591"/>
      <c r="C37" s="1591"/>
      <c r="D37" s="1591"/>
      <c r="E37" s="1591"/>
      <c r="F37" s="1591"/>
      <c r="G37" s="1591"/>
      <c r="H37" s="1591"/>
      <c r="I37" s="1591"/>
      <c r="J37" s="1591"/>
      <c r="K37" s="1591"/>
      <c r="L37" s="1592"/>
      <c r="M37" s="1591"/>
      <c r="N37" s="1591"/>
      <c r="O37" s="1591"/>
      <c r="P37" s="1591"/>
      <c r="Q37" s="1591"/>
      <c r="S37" s="470"/>
      <c r="T37" s="470"/>
      <c r="U37" s="1562"/>
      <c r="V37" s="474"/>
      <c r="W37" s="474"/>
      <c r="X37" s="474"/>
      <c r="Y37" s="474"/>
      <c r="Z37" s="474"/>
      <c r="AA37" s="415" t="s">
        <v>1496</v>
      </c>
      <c r="AB37" s="474"/>
      <c r="AC37" s="474"/>
      <c r="AD37" s="474"/>
      <c r="AE37" s="474"/>
      <c r="AF37" s="474"/>
      <c r="AG37" s="474"/>
      <c r="AH37" s="474"/>
      <c r="AI37" s="474"/>
      <c r="AJ37" s="474"/>
      <c r="AK37" s="474"/>
      <c r="AL37" s="474"/>
      <c r="AM37" s="474"/>
      <c r="AN37" s="474"/>
      <c r="AO37" s="474"/>
      <c r="AP37" s="474"/>
      <c r="AQ37" s="474"/>
      <c r="AR37" s="474"/>
      <c r="AS37" s="415" t="s">
        <v>1496</v>
      </c>
      <c r="AV37" s="520"/>
      <c r="AW37" s="520"/>
      <c r="AX37" s="520"/>
      <c r="AY37" s="520"/>
      <c r="AZ37" s="520"/>
    </row>
    <row customHeight="1" ht="14.25">
      <c r="Q38" s="428"/>
      <c r="R38" s="529"/>
      <c r="S38" s="1492"/>
      <c r="T38" s="513"/>
      <c r="U38" s="1449"/>
      <c r="V38" s="2345"/>
      <c r="W38" s="2345"/>
      <c r="X38" s="2345"/>
      <c r="Y38" s="2345"/>
      <c r="Z38" s="2345"/>
      <c r="AA38" s="2345"/>
      <c r="AB38" s="2345"/>
      <c r="AC38" s="2345"/>
      <c r="AD38" s="2345"/>
      <c r="AE38" s="2345"/>
      <c r="AF38" s="2345"/>
      <c r="AG38" s="2345"/>
      <c r="AH38" s="2345"/>
      <c r="AI38" s="2345"/>
      <c r="AJ38" s="2345"/>
      <c r="AK38" s="2345"/>
      <c r="AL38" s="2345"/>
      <c r="AM38" s="2345"/>
      <c r="AN38" s="2345"/>
      <c r="AO38" s="2345"/>
      <c r="AP38" s="2345"/>
      <c r="AQ38" s="2345"/>
      <c r="AR38" s="2345"/>
      <c r="AS38" s="2345"/>
    </row>
    <row customHeight="1" ht="14.25">
      <c r="Q39" s="428"/>
      <c r="R39" s="529"/>
      <c r="S39" s="2204" t="s">
        <v>300</v>
      </c>
      <c r="T39" s="2204"/>
      <c r="U39" s="2204"/>
      <c r="V39" s="2204"/>
      <c r="W39" s="2204"/>
      <c r="X39" s="2204"/>
      <c r="Y39" s="2204"/>
      <c r="Z39" s="2204"/>
      <c r="AA39" s="2204"/>
      <c r="AB39" s="2204"/>
      <c r="AC39" s="2204"/>
      <c r="AD39" s="2204"/>
      <c r="AE39" s="2204"/>
      <c r="AF39" s="2204"/>
      <c r="AG39" s="2204"/>
      <c r="AH39" s="2204"/>
      <c r="AI39" s="2204"/>
      <c r="AJ39" s="2204"/>
      <c r="AK39" s="2204"/>
      <c r="AL39" s="2204"/>
      <c r="AM39" s="2204"/>
      <c r="AN39" s="2204"/>
      <c r="AO39" s="2204"/>
      <c r="AP39" s="2204"/>
      <c r="AQ39" s="2204"/>
      <c r="AR39" s="2204"/>
      <c r="AS39" s="2204"/>
      <c r="AT39" s="2204"/>
      <c r="AU39" s="2204" t="s">
        <v>301</v>
      </c>
    </row>
    <row customHeight="1" ht="14.25">
      <c r="Q40" s="428"/>
      <c r="R40" s="529"/>
      <c r="S40" s="2367" t="s">
        <v>87</v>
      </c>
      <c r="T40" s="2228" t="s">
        <v>1497</v>
      </c>
      <c r="U40" s="438"/>
      <c r="V40" s="2369"/>
      <c r="W40" s="2369"/>
      <c r="X40" s="2369"/>
      <c r="Y40" s="2369"/>
      <c r="Z40" s="2370"/>
      <c r="AA40" s="2371" t="s">
        <v>1499</v>
      </c>
      <c r="AB40" s="2426" t="s">
        <v>1554</v>
      </c>
      <c r="AC40" s="2385"/>
      <c r="AD40" s="2385"/>
      <c r="AE40" s="2427"/>
      <c r="AF40" s="2426" t="s">
        <v>1555</v>
      </c>
      <c r="AG40" s="2385"/>
      <c r="AH40" s="2385"/>
      <c r="AI40" s="2427"/>
      <c r="AJ40" s="2426" t="s">
        <v>1556</v>
      </c>
      <c r="AK40" s="2385"/>
      <c r="AL40" s="2385"/>
      <c r="AM40" s="2427"/>
      <c r="AN40" s="2368" t="s">
        <v>1498</v>
      </c>
      <c r="AO40" s="2369"/>
      <c r="AP40" s="2369"/>
      <c r="AQ40" s="2369"/>
      <c r="AR40" s="2370"/>
      <c r="AS40" s="2371" t="s">
        <v>1499</v>
      </c>
      <c r="AT40" s="2374" t="s">
        <v>1501</v>
      </c>
      <c r="AU40" s="2204"/>
    </row>
    <row customHeight="1" ht="33.75">
      <c r="Q41" s="428"/>
      <c r="R41" s="529"/>
      <c r="S41" s="2367"/>
      <c r="T41" s="2228"/>
      <c r="U41" s="1216"/>
      <c r="V41" s="2217" t="s">
        <v>1557</v>
      </c>
      <c r="W41" s="2218"/>
      <c r="X41" s="2404" t="s">
        <v>1505</v>
      </c>
      <c r="Y41" s="2405"/>
      <c r="Z41" s="2406"/>
      <c r="AA41" s="2372"/>
      <c r="AB41" s="2428"/>
      <c r="AC41" s="2429"/>
      <c r="AD41" s="2429"/>
      <c r="AE41" s="2430"/>
      <c r="AF41" s="2428"/>
      <c r="AG41" s="2429"/>
      <c r="AH41" s="2429"/>
      <c r="AI41" s="2430"/>
      <c r="AJ41" s="2428"/>
      <c r="AK41" s="2429"/>
      <c r="AL41" s="2429"/>
      <c r="AM41" s="2430"/>
      <c r="AN41" s="2217" t="s">
        <v>1557</v>
      </c>
      <c r="AO41" s="2218"/>
      <c r="AP41" s="2404" t="s">
        <v>1505</v>
      </c>
      <c r="AQ41" s="2405"/>
      <c r="AR41" s="2406"/>
      <c r="AS41" s="2372"/>
      <c r="AT41" s="2375"/>
      <c r="AU41" s="2204"/>
    </row>
    <row customHeight="1" ht="14.25">
      <c r="Q42" s="428"/>
      <c r="R42" s="529"/>
      <c r="S42" s="2367"/>
      <c r="T42" s="2228"/>
      <c r="U42" s="1216"/>
      <c r="V42" s="2219"/>
      <c r="W42" s="2220"/>
      <c r="X42" s="2407"/>
      <c r="Y42" s="2408"/>
      <c r="Z42" s="2409"/>
      <c r="AA42" s="2372"/>
      <c r="AB42" s="2428"/>
      <c r="AC42" s="2429"/>
      <c r="AD42" s="2429"/>
      <c r="AE42" s="2430"/>
      <c r="AF42" s="2428"/>
      <c r="AG42" s="2429"/>
      <c r="AH42" s="2429"/>
      <c r="AI42" s="2430"/>
      <c r="AJ42" s="2428"/>
      <c r="AK42" s="2429"/>
      <c r="AL42" s="2429"/>
      <c r="AM42" s="2430"/>
      <c r="AN42" s="2219"/>
      <c r="AO42" s="2220"/>
      <c r="AP42" s="2407"/>
      <c r="AQ42" s="2408"/>
      <c r="AR42" s="2409"/>
      <c r="AS42" s="2372"/>
      <c r="AT42" s="2375"/>
      <c r="AU42" s="2204"/>
    </row>
    <row customHeight="1" ht="14.25">
      <c r="A43" s="1593"/>
      <c r="B43" s="1593" t="s">
        <v>144</v>
      </c>
      <c r="C43" s="1593" t="s">
        <v>145</v>
      </c>
      <c r="D43" s="1593" t="s">
        <v>146</v>
      </c>
      <c r="E43" s="1587" t="s">
        <v>1506</v>
      </c>
      <c r="F43" s="1587" t="s">
        <v>1507</v>
      </c>
      <c r="G43" s="1587" t="s">
        <v>1508</v>
      </c>
      <c r="H43" s="1587" t="s">
        <v>1509</v>
      </c>
      <c r="I43" s="1587" t="s">
        <v>1510</v>
      </c>
      <c r="J43" s="1587" t="s">
        <v>1511</v>
      </c>
      <c r="K43" s="1587" t="s">
        <v>1512</v>
      </c>
      <c r="L43" s="1587" t="s">
        <v>1487</v>
      </c>
      <c r="Q43" s="428"/>
      <c r="R43" s="529"/>
      <c r="S43" s="2367"/>
      <c r="T43" s="2228"/>
      <c r="U43" s="439"/>
      <c r="V43" s="1552" t="s">
        <v>1558</v>
      </c>
      <c r="W43" s="1552" t="s">
        <v>1559</v>
      </c>
      <c r="X43" s="1560" t="s">
        <v>1515</v>
      </c>
      <c r="Y43" s="2364" t="s">
        <v>1516</v>
      </c>
      <c r="Z43" s="2365"/>
      <c r="AA43" s="2373"/>
      <c r="AB43" s="2431"/>
      <c r="AC43" s="2432"/>
      <c r="AD43" s="2432"/>
      <c r="AE43" s="2433"/>
      <c r="AF43" s="2431"/>
      <c r="AG43" s="2432"/>
      <c r="AH43" s="2432"/>
      <c r="AI43" s="2433"/>
      <c r="AJ43" s="2431"/>
      <c r="AK43" s="2432"/>
      <c r="AL43" s="2432"/>
      <c r="AM43" s="2433"/>
      <c r="AN43" s="1552" t="s">
        <v>1558</v>
      </c>
      <c r="AO43" s="1552" t="s">
        <v>1559</v>
      </c>
      <c r="AP43" s="1560" t="s">
        <v>1515</v>
      </c>
      <c r="AQ43" s="2364" t="s">
        <v>1516</v>
      </c>
      <c r="AR43" s="2365"/>
      <c r="AS43" s="2373"/>
      <c r="AT43" s="2376"/>
      <c r="AU43" s="2204"/>
    </row>
    <row s="5794" customFormat="1" customHeight="1" ht="11.25" hidden="1">
      <c r="A44" s="1593"/>
      <c r="B44" s="1593"/>
      <c r="C44" s="1593"/>
      <c r="D44" s="1593"/>
      <c r="E44" s="1593"/>
      <c r="F44" s="1593"/>
      <c r="G44" s="1593"/>
      <c r="H44" s="1593"/>
      <c r="I44" s="1593"/>
      <c r="J44" s="1593"/>
      <c r="K44" s="1593"/>
      <c r="L44" s="1587"/>
      <c r="M44" s="1585"/>
      <c r="N44" s="1585"/>
      <c r="O44" s="1585"/>
      <c r="P44" s="674"/>
      <c r="Q44" s="1467"/>
      <c r="R44" s="1467">
        <v>1</v>
      </c>
      <c r="S44" s="1494" t="s">
        <v>118</v>
      </c>
      <c r="T44" s="1468" t="s">
        <v>102</v>
      </c>
      <c r="U44" s="1450" t="str">
        <f>OFFSET(U44,0,-1)</f>
        <v>2</v>
      </c>
      <c r="V44" s="1557">
        <f>OFFSET(V44,0,-1)+1</f>
        <v>3</v>
      </c>
      <c r="W44" s="1557">
        <f>OFFSET(W44,0,-1)+1</f>
        <v>4</v>
      </c>
      <c r="X44" s="1557">
        <f>OFFSET(X44,0,-1)+1</f>
        <v>5</v>
      </c>
      <c r="Y44" s="2366">
        <f>OFFSET(Y44,0,-1)+1</f>
        <v>6</v>
      </c>
      <c r="Z44" s="2366"/>
      <c r="AA44" s="1557">
        <f>OFFSET(AA44,0,-2)+1</f>
        <v>7</v>
      </c>
      <c r="AB44" s="1557">
        <f>OFFSET(AB44,0,-1)+1</f>
        <v>8</v>
      </c>
      <c r="AC44" s="1557"/>
      <c r="AD44" s="1557"/>
      <c r="AE44" s="1557"/>
      <c r="AF44" s="1557"/>
      <c r="AG44" s="1557"/>
      <c r="AH44" s="1557"/>
      <c r="AI44" s="1557"/>
      <c r="AJ44" s="1557"/>
      <c r="AK44" s="1557"/>
      <c r="AL44" s="1557"/>
      <c r="AM44" s="1557"/>
      <c r="AN44" s="1557">
        <f>OFFSET(AN44,0,-1)+1</f>
        <v>1</v>
      </c>
      <c r="AO44" s="1557">
        <f>OFFSET(AO44,0,-1)+1</f>
        <v>2</v>
      </c>
      <c r="AP44" s="1557">
        <f>OFFSET(AP44,0,-1)+1</f>
        <v>3</v>
      </c>
      <c r="AQ44" s="2366">
        <f>OFFSET(AQ44,0,-1)+1</f>
        <v>4</v>
      </c>
      <c r="AR44" s="2366"/>
      <c r="AS44" s="1557">
        <f>OFFSET(AS44,0,-2)+1</f>
        <v>5</v>
      </c>
      <c r="AT44" s="1450">
        <f>OFFSET(AT44,0,-1)</f>
        <v>5</v>
      </c>
      <c r="AU44" s="1557">
        <f>OFFSET(AU44,0,-1)+1</f>
        <v>6</v>
      </c>
      <c r="AV44" s="675"/>
      <c r="AW44" s="675"/>
      <c r="AX44" s="675"/>
      <c r="AY44" s="675"/>
      <c r="AZ44" s="675"/>
    </row>
    <row customHeight="1" ht="21">
      <c r="A45" s="1586" t="s">
        <v>212</v>
      </c>
      <c r="B45" s="1586"/>
      <c r="C45" s="1586"/>
      <c r="D45" s="1586"/>
      <c r="E45" s="2351">
        <v>1</v>
      </c>
      <c r="F45" s="1586"/>
      <c r="G45" s="1586"/>
      <c r="H45" s="1586"/>
      <c r="I45" s="1586"/>
      <c r="J45" s="1586"/>
      <c r="K45" s="1586"/>
      <c r="L45" s="1587"/>
      <c r="M45" s="1588"/>
      <c r="N45" s="1588"/>
      <c r="O45" s="1588"/>
      <c r="P45" s="1633"/>
      <c r="Q45" s="1047"/>
      <c r="R45" s="503"/>
      <c r="S45" s="1558">
        <f>INDEX(PT_DIFFERENTIATION_NUM_NTAR,MATCH(A45,PT_DIFFERENTIATION_NTAR_ID,0))</f>
        <v>0</v>
      </c>
      <c r="T45" s="435" t="s">
        <v>132</v>
      </c>
      <c r="U45" s="437"/>
      <c r="V45" s="3965"/>
      <c r="W45" s="3965"/>
      <c r="X45" s="3965"/>
      <c r="Y45" s="3965"/>
      <c r="Z45" s="3965"/>
      <c r="AA45" s="3966"/>
      <c r="AB45" s="3964" t="str">
        <f>INDEX(PT_DIFFERENTIATION_NTAR,MATCH(A45,PT_DIFFERENTIATION_NTAR_ID,0))</f>
        <v/>
      </c>
      <c r="AC45" s="3965"/>
      <c r="AD45" s="3965"/>
      <c r="AE45" s="3965"/>
      <c r="AF45" s="3965"/>
      <c r="AG45" s="3965"/>
      <c r="AH45" s="3965"/>
      <c r="AI45" s="3965"/>
      <c r="AJ45" s="3965"/>
      <c r="AK45" s="3965"/>
      <c r="AL45" s="3965"/>
      <c r="AM45" s="3965"/>
      <c r="AN45" s="3965"/>
      <c r="AO45" s="3965"/>
      <c r="AP45" s="3965"/>
      <c r="AQ45" s="3965"/>
      <c r="AR45" s="3965"/>
      <c r="AS45" s="3965"/>
      <c r="AT45" s="3966"/>
      <c r="AU45" s="1473" t="s">
        <v>1468</v>
      </c>
      <c r="AW45" s="664"/>
      <c r="AX45" s="664" t="str">
        <f>IF(T45="","",T45)</f>
        <v>Наименование тарифа</v>
      </c>
      <c r="AY45" s="664"/>
      <c r="AZ45" s="664"/>
    </row>
    <row customHeight="1" ht="21">
      <c r="A46" s="1586" t="s">
        <v>212</v>
      </c>
      <c r="B46" s="1586" t="s">
        <v>213</v>
      </c>
      <c r="C46" s="1586"/>
      <c r="D46" s="1586"/>
      <c r="E46" s="2352"/>
      <c r="F46" s="2351">
        <v>1</v>
      </c>
      <c r="G46" s="1586"/>
      <c r="H46" s="1586"/>
      <c r="I46" s="1586"/>
      <c r="J46" s="1586"/>
      <c r="K46" s="1586"/>
      <c r="L46" s="1587"/>
      <c r="M46" s="1588"/>
      <c r="N46" s="1588"/>
      <c r="O46" s="1588"/>
      <c r="P46" s="1634"/>
      <c r="Q46" s="1635"/>
      <c r="R46" s="501"/>
      <c r="S46" s="1558" t="str">
        <f>INDEX(PT_DIFFERENTIATION_NUM_TER,MATCH(B46,PT_DIFFERENTIATION_TER_ID,0))</f>
        <v>.</v>
      </c>
      <c r="T46" s="447" t="s">
        <v>1469</v>
      </c>
      <c r="U46" s="437"/>
      <c r="V46" s="3965"/>
      <c r="W46" s="3965"/>
      <c r="X46" s="3965"/>
      <c r="Y46" s="3965"/>
      <c r="Z46" s="3965"/>
      <c r="AA46" s="3966"/>
      <c r="AB46" s="3964" t="str">
        <f>INDEX(PT_DIFFERENTIATION_TER,MATCH(B46,PT_DIFFERENTIATION_TER_ID,0))</f>
        <v/>
      </c>
      <c r="AC46" s="3965"/>
      <c r="AD46" s="3965"/>
      <c r="AE46" s="3965"/>
      <c r="AF46" s="3965"/>
      <c r="AG46" s="3965"/>
      <c r="AH46" s="3965"/>
      <c r="AI46" s="3965"/>
      <c r="AJ46" s="3965"/>
      <c r="AK46" s="3965"/>
      <c r="AL46" s="3965"/>
      <c r="AM46" s="3965"/>
      <c r="AN46" s="3965"/>
      <c r="AO46" s="3965"/>
      <c r="AP46" s="3965"/>
      <c r="AQ46" s="3965"/>
      <c r="AR46" s="3965"/>
      <c r="AS46" s="3965"/>
      <c r="AT46" s="3966"/>
      <c r="AU46" s="1473" t="s">
        <v>1470</v>
      </c>
      <c r="AW46" s="664"/>
      <c r="AX46" s="664" t="str">
        <f>IF(T46="","",T46)</f>
        <v>Территория действия тарифа</v>
      </c>
      <c r="AY46" s="664"/>
      <c r="AZ46" s="664"/>
    </row>
    <row customHeight="1" ht="23.25">
      <c r="A47" s="1586" t="s">
        <v>212</v>
      </c>
      <c r="B47" s="1586" t="s">
        <v>213</v>
      </c>
      <c r="C47" s="1586" t="s">
        <v>214</v>
      </c>
      <c r="D47" s="1586"/>
      <c r="E47" s="2352"/>
      <c r="F47" s="2352"/>
      <c r="G47" s="2351">
        <v>1</v>
      </c>
      <c r="H47" s="1586"/>
      <c r="I47" s="1586"/>
      <c r="J47" s="1586"/>
      <c r="K47" s="1586"/>
      <c r="L47" s="1587"/>
      <c r="M47" s="1588"/>
      <c r="N47" s="1588"/>
      <c r="O47" s="1588"/>
      <c r="P47" s="1636"/>
      <c r="Q47" s="1635"/>
      <c r="R47" s="501"/>
      <c r="S47" s="1558" t="str">
        <f>INDEX(PT_DIFFERENTIATION_NUM_CS,MATCH(C47,PT_DIFFERENTIATION_CS_ID,0))</f>
        <v>..</v>
      </c>
      <c r="T47" s="448" t="s">
        <v>1471</v>
      </c>
      <c r="U47" s="437"/>
      <c r="V47" s="3965"/>
      <c r="W47" s="3965"/>
      <c r="X47" s="3965"/>
      <c r="Y47" s="3965"/>
      <c r="Z47" s="3965"/>
      <c r="AA47" s="3966"/>
      <c r="AB47" s="3964" t="str">
        <f>INDEX(PT_DIFFERENTIATION_CS,MATCH(C47,PT_DIFFERENTIATION_CS_ID,0))</f>
        <v/>
      </c>
      <c r="AC47" s="3965"/>
      <c r="AD47" s="3965"/>
      <c r="AE47" s="3965"/>
      <c r="AF47" s="3965"/>
      <c r="AG47" s="3965"/>
      <c r="AH47" s="3965"/>
      <c r="AI47" s="3965"/>
      <c r="AJ47" s="3965"/>
      <c r="AK47" s="3965"/>
      <c r="AL47" s="3965"/>
      <c r="AM47" s="3965"/>
      <c r="AN47" s="3965"/>
      <c r="AO47" s="3965"/>
      <c r="AP47" s="3965"/>
      <c r="AQ47" s="3965"/>
      <c r="AR47" s="3965"/>
      <c r="AS47" s="3965"/>
      <c r="AT47" s="3966"/>
      <c r="AU47" s="1473" t="s">
        <v>1472</v>
      </c>
      <c r="AW47" s="664"/>
      <c r="AX47" s="664" t="str">
        <f>IF(T47="","",T47)</f>
        <v>Наименование системы теплоснабжения </v>
      </c>
      <c r="AY47" s="664"/>
      <c r="AZ47" s="664"/>
    </row>
    <row customHeight="1" ht="21">
      <c r="A48" s="1586" t="s">
        <v>212</v>
      </c>
      <c r="B48" s="1586" t="s">
        <v>213</v>
      </c>
      <c r="C48" s="1586" t="s">
        <v>214</v>
      </c>
      <c r="D48" s="1586" t="s">
        <v>215</v>
      </c>
      <c r="E48" s="2352"/>
      <c r="F48" s="2352"/>
      <c r="G48" s="2352"/>
      <c r="H48" s="2351">
        <v>1</v>
      </c>
      <c r="I48" s="1586"/>
      <c r="J48" s="1586"/>
      <c r="K48" s="1586"/>
      <c r="L48" s="1587"/>
      <c r="M48" s="1588"/>
      <c r="N48" s="1588"/>
      <c r="O48" s="1588"/>
      <c r="P48" s="1636"/>
      <c r="Q48" s="1635"/>
      <c r="R48" s="501"/>
      <c r="S48" s="1558" t="str">
        <f>INDEX(PT_DIFFERENTIATION_NUM_IST_TE,MATCH(D48,PT_DIFFERENTIATION_IST_TE_ID,0))</f>
        <v>...</v>
      </c>
      <c r="T48" s="449" t="s">
        <v>1473</v>
      </c>
      <c r="U48" s="437"/>
      <c r="V48" s="3965"/>
      <c r="W48" s="3965"/>
      <c r="X48" s="3965"/>
      <c r="Y48" s="3965"/>
      <c r="Z48" s="3965"/>
      <c r="AA48" s="3966"/>
      <c r="AB48" s="3964" t="str">
        <f>INDEX(PT_DIFFERENTIATION_IST_TE,MATCH(D48,PT_DIFFERENTIATION_IST_TE_ID,0))</f>
        <v/>
      </c>
      <c r="AC48" s="3965"/>
      <c r="AD48" s="3965"/>
      <c r="AE48" s="3965"/>
      <c r="AF48" s="3965"/>
      <c r="AG48" s="3965"/>
      <c r="AH48" s="3965"/>
      <c r="AI48" s="3965"/>
      <c r="AJ48" s="3965"/>
      <c r="AK48" s="3965"/>
      <c r="AL48" s="3965"/>
      <c r="AM48" s="3965"/>
      <c r="AN48" s="3965"/>
      <c r="AO48" s="3965"/>
      <c r="AP48" s="3965"/>
      <c r="AQ48" s="3965"/>
      <c r="AR48" s="3965"/>
      <c r="AS48" s="3965"/>
      <c r="AT48" s="3966"/>
      <c r="AU48" s="1473" t="s">
        <v>1474</v>
      </c>
      <c r="AW48" s="664"/>
      <c r="AX48" s="664" t="str">
        <f>IF(T48="","",T48)</f>
        <v>Источник тепловой энергии  </v>
      </c>
      <c r="AY48" s="664"/>
      <c r="AZ48" s="664"/>
    </row>
    <row s="6608" customFormat="1" customHeight="1" ht="0">
      <c r="A49" s="1565" t="s">
        <v>212</v>
      </c>
      <c r="B49" s="1565" t="s">
        <v>213</v>
      </c>
      <c r="C49" s="1565" t="s">
        <v>214</v>
      </c>
      <c r="D49" s="1565" t="s">
        <v>215</v>
      </c>
      <c r="E49" s="2352"/>
      <c r="F49" s="2352"/>
      <c r="G49" s="2352"/>
      <c r="H49" s="2352"/>
      <c r="I49" s="2380" t="str">
        <f>S48&amp;".1"</f>
        <v>....1</v>
      </c>
      <c r="J49" s="1565"/>
      <c r="K49" s="1565"/>
      <c r="L49" s="1568" t="s">
        <v>1475</v>
      </c>
      <c r="M49" s="674"/>
      <c r="N49" s="674"/>
      <c r="O49" s="674"/>
      <c r="P49" s="2350">
        <v>1</v>
      </c>
      <c r="Q49" s="1553"/>
      <c r="R49" s="504"/>
      <c r="S49" s="1227"/>
      <c r="T49" s="1606"/>
      <c r="U49" s="1607"/>
      <c r="V49" s="2391"/>
      <c r="W49" s="2391"/>
      <c r="X49" s="2391"/>
      <c r="Y49" s="2391"/>
      <c r="Z49" s="2391"/>
      <c r="AA49" s="2392"/>
      <c r="AB49" s="2390"/>
      <c r="AC49" s="2391"/>
      <c r="AD49" s="2391"/>
      <c r="AE49" s="2391"/>
      <c r="AF49" s="2391"/>
      <c r="AG49" s="2391"/>
      <c r="AH49" s="2391"/>
      <c r="AI49" s="2391"/>
      <c r="AJ49" s="2391"/>
      <c r="AK49" s="2391"/>
      <c r="AL49" s="2391"/>
      <c r="AM49" s="2391"/>
      <c r="AN49" s="2391"/>
      <c r="AO49" s="2391"/>
      <c r="AP49" s="2391"/>
      <c r="AQ49" s="2391"/>
      <c r="AR49" s="2391"/>
      <c r="AS49" s="2391"/>
      <c r="AT49" s="2392"/>
      <c r="AU49" s="1608"/>
      <c r="AW49" s="664"/>
      <c r="AX49" s="664" t="str">
        <f>IF(T49="","",T49)</f>
        <v/>
      </c>
      <c r="AY49" s="664"/>
      <c r="AZ49" s="664"/>
    </row>
    <row s="6608" customFormat="1" customHeight="1" ht="0">
      <c r="A50" s="1565" t="s">
        <v>212</v>
      </c>
      <c r="B50" s="1565" t="s">
        <v>213</v>
      </c>
      <c r="C50" s="1565" t="s">
        <v>214</v>
      </c>
      <c r="D50" s="1565" t="s">
        <v>215</v>
      </c>
      <c r="E50" s="2352"/>
      <c r="F50" s="2352"/>
      <c r="G50" s="2352"/>
      <c r="H50" s="2352"/>
      <c r="I50" s="2381"/>
      <c r="J50" s="2349" t="str">
        <f>S48&amp;".1"</f>
        <v>....1</v>
      </c>
      <c r="K50" s="1565"/>
      <c r="L50" s="1568"/>
      <c r="M50" s="674"/>
      <c r="N50" s="674"/>
      <c r="O50" s="674"/>
      <c r="P50" s="2350"/>
      <c r="Q50" s="2350">
        <v>1</v>
      </c>
      <c r="R50" s="505"/>
      <c r="S50" s="1227"/>
      <c r="T50" s="1622"/>
      <c r="U50" s="1607"/>
      <c r="V50" s="2391"/>
      <c r="W50" s="2391"/>
      <c r="X50" s="2391"/>
      <c r="Y50" s="2391"/>
      <c r="Z50" s="2391"/>
      <c r="AA50" s="2392"/>
      <c r="AB50" s="2390"/>
      <c r="AC50" s="2391"/>
      <c r="AD50" s="2391"/>
      <c r="AE50" s="2391"/>
      <c r="AF50" s="2391"/>
      <c r="AG50" s="2391"/>
      <c r="AH50" s="2391"/>
      <c r="AI50" s="2391"/>
      <c r="AJ50" s="2391"/>
      <c r="AK50" s="2391"/>
      <c r="AL50" s="2391"/>
      <c r="AM50" s="2391"/>
      <c r="AN50" s="2391"/>
      <c r="AO50" s="2391"/>
      <c r="AP50" s="2391"/>
      <c r="AQ50" s="2391"/>
      <c r="AR50" s="2391"/>
      <c r="AS50" s="2391"/>
      <c r="AT50" s="2392"/>
      <c r="AU50" s="1608"/>
      <c r="AW50" s="664"/>
      <c r="AX50" s="664" t="str">
        <f>IF(T50="","",T50)</f>
        <v/>
      </c>
      <c r="AY50" s="664"/>
      <c r="AZ50" s="664"/>
    </row>
    <row customHeight="1" ht="21">
      <c r="A51" s="1586" t="s">
        <v>212</v>
      </c>
      <c r="B51" s="1586" t="s">
        <v>213</v>
      </c>
      <c r="C51" s="1586" t="s">
        <v>214</v>
      </c>
      <c r="D51" s="1586" t="s">
        <v>215</v>
      </c>
      <c r="E51" s="2352"/>
      <c r="F51" s="2352"/>
      <c r="G51" s="2352"/>
      <c r="H51" s="2352"/>
      <c r="I51" s="2381"/>
      <c r="J51" s="2382"/>
      <c r="K51" s="2349" t="str">
        <f>S48&amp;".1"</f>
        <v>....1</v>
      </c>
      <c r="L51" s="1587"/>
      <c r="P51" s="2350"/>
      <c r="Q51" s="2350"/>
      <c r="R51" s="505">
        <v>1</v>
      </c>
      <c r="S51" s="2434" t="str">
        <f>$K51</f>
        <v>....1</v>
      </c>
      <c r="T51" s="2437"/>
      <c r="U51" s="437"/>
      <c r="V51" s="3992"/>
      <c r="W51" s="3994"/>
      <c r="X51" s="1976"/>
      <c r="Y51" s="1683" t="s">
        <v>66</v>
      </c>
      <c r="Z51" s="1976"/>
      <c r="AA51" s="1683" t="s">
        <v>66</v>
      </c>
      <c r="AB51" s="2069" t="s">
        <v>56</v>
      </c>
      <c r="AC51" s="2423"/>
      <c r="AD51" s="2424">
        <v>1</v>
      </c>
      <c r="AE51" s="2441" t="s">
        <v>17</v>
      </c>
      <c r="AF51" s="2069" t="s">
        <v>56</v>
      </c>
      <c r="AG51" s="2423"/>
      <c r="AH51" s="2424">
        <v>1</v>
      </c>
      <c r="AI51" s="2441" t="s">
        <v>17</v>
      </c>
      <c r="AJ51" s="2069" t="s">
        <v>56</v>
      </c>
      <c r="AK51" s="450"/>
      <c r="AL51" s="1559">
        <v>1</v>
      </c>
      <c r="AM51" s="1625"/>
      <c r="AN51" s="3992"/>
      <c r="AO51" s="3994"/>
      <c r="AP51" s="1976"/>
      <c r="AQ51" s="1683" t="s">
        <v>66</v>
      </c>
      <c r="AR51" s="1976"/>
      <c r="AS51" s="1683" t="s">
        <v>66</v>
      </c>
      <c r="AT51" s="4093"/>
      <c r="AU51" s="2346" t="s">
        <v>1545</v>
      </c>
      <c r="AV51" s="675">
        <f>STRCHECKDATE(V54:AT54)</f>
      </c>
      <c r="AW51" s="664"/>
      <c r="AX51" s="664" t="str">
        <f>IF(T51="","",T51)</f>
        <v/>
      </c>
      <c r="AY51" s="664"/>
      <c r="AZ51" s="664"/>
    </row>
    <row customHeight="1" ht="11.25">
      <c r="A52" s="1586" t="s">
        <v>212</v>
      </c>
      <c r="B52" s="1586"/>
      <c r="C52" s="1586"/>
      <c r="D52" s="1586"/>
      <c r="E52" s="2352"/>
      <c r="F52" s="2352"/>
      <c r="G52" s="2352"/>
      <c r="H52" s="2352"/>
      <c r="I52" s="2381"/>
      <c r="J52" s="2382"/>
      <c r="K52" s="2349"/>
      <c r="L52" s="1587"/>
      <c r="P52" s="2350"/>
      <c r="Q52" s="2350"/>
      <c r="R52" s="505"/>
      <c r="S52" s="2435"/>
      <c r="T52" s="2438"/>
      <c r="U52" s="437"/>
      <c r="V52" s="4152"/>
      <c r="W52" s="4208"/>
      <c r="X52" s="4152"/>
      <c r="Y52" s="4152"/>
      <c r="Z52" s="4152"/>
      <c r="AA52" s="4152"/>
      <c r="AB52" s="2069"/>
      <c r="AC52" s="2423"/>
      <c r="AD52" s="2424"/>
      <c r="AE52" s="2441"/>
      <c r="AF52" s="2069"/>
      <c r="AG52" s="2423"/>
      <c r="AH52" s="2424"/>
      <c r="AI52" s="2441"/>
      <c r="AJ52" s="2069"/>
      <c r="AK52" s="457"/>
      <c r="AL52" s="579"/>
      <c r="AM52" s="578" t="s">
        <v>1546</v>
      </c>
      <c r="AN52" s="4152"/>
      <c r="AO52" s="4208"/>
      <c r="AP52" s="4152"/>
      <c r="AQ52" s="4152"/>
      <c r="AR52" s="4152"/>
      <c r="AS52" s="4152"/>
      <c r="AT52" s="4209"/>
      <c r="AU52" s="2347"/>
      <c r="AW52" s="664"/>
      <c r="AX52" s="664"/>
      <c r="AY52" s="664"/>
      <c r="AZ52" s="664"/>
    </row>
    <row customHeight="1" ht="11.25">
      <c r="A53" s="1586" t="s">
        <v>212</v>
      </c>
      <c r="B53" s="1586"/>
      <c r="C53" s="1586"/>
      <c r="D53" s="1586"/>
      <c r="E53" s="2352"/>
      <c r="F53" s="2352"/>
      <c r="G53" s="2352"/>
      <c r="H53" s="2352"/>
      <c r="I53" s="2381"/>
      <c r="J53" s="2382"/>
      <c r="K53" s="2349"/>
      <c r="L53" s="1587"/>
      <c r="P53" s="2350"/>
      <c r="Q53" s="2350"/>
      <c r="R53" s="505"/>
      <c r="S53" s="2435"/>
      <c r="T53" s="2438"/>
      <c r="U53" s="437"/>
      <c r="V53" s="4152"/>
      <c r="W53" s="4208"/>
      <c r="X53" s="4152"/>
      <c r="Y53" s="4152"/>
      <c r="Z53" s="4152"/>
      <c r="AA53" s="4152"/>
      <c r="AB53" s="2069"/>
      <c r="AC53" s="2423"/>
      <c r="AD53" s="2424"/>
      <c r="AE53" s="2441"/>
      <c r="AF53" s="2069"/>
      <c r="AG53" s="431"/>
      <c r="AH53" s="578"/>
      <c r="AI53" s="578" t="s">
        <v>1547</v>
      </c>
      <c r="AJ53" s="4152"/>
      <c r="AK53" s="4152"/>
      <c r="AL53" s="4152"/>
      <c r="AM53" s="4152"/>
      <c r="AN53" s="4152"/>
      <c r="AO53" s="4208"/>
      <c r="AP53" s="4152"/>
      <c r="AQ53" s="4152"/>
      <c r="AR53" s="4152"/>
      <c r="AS53" s="4152"/>
      <c r="AT53" s="4209"/>
      <c r="AU53" s="2347"/>
      <c r="AW53" s="664"/>
      <c r="AX53" s="664"/>
      <c r="AY53" s="664"/>
      <c r="AZ53" s="664"/>
    </row>
    <row customHeight="1" ht="11.25">
      <c r="A54" s="1586" t="s">
        <v>212</v>
      </c>
      <c r="B54" s="1586" t="s">
        <v>213</v>
      </c>
      <c r="C54" s="1586" t="s">
        <v>214</v>
      </c>
      <c r="D54" s="1586" t="s">
        <v>215</v>
      </c>
      <c r="E54" s="2352"/>
      <c r="F54" s="2352"/>
      <c r="G54" s="2352"/>
      <c r="H54" s="2352"/>
      <c r="I54" s="2381"/>
      <c r="J54" s="2382"/>
      <c r="K54" s="2349"/>
      <c r="L54" s="1587"/>
      <c r="P54" s="2350"/>
      <c r="Q54" s="2350"/>
      <c r="R54" s="505"/>
      <c r="S54" s="2436"/>
      <c r="T54" s="2439"/>
      <c r="U54" s="437"/>
      <c r="V54" s="4152"/>
      <c r="W54" s="4153" t="str">
        <f>X51&amp;"-"&amp;Z51</f>
        <v>-</v>
      </c>
      <c r="X54" s="4152"/>
      <c r="Y54" s="4152"/>
      <c r="Z54" s="4152"/>
      <c r="AA54" s="4152"/>
      <c r="AB54" s="2069"/>
      <c r="AC54" s="451"/>
      <c r="AD54" s="453"/>
      <c r="AE54" s="578" t="s">
        <v>1548</v>
      </c>
      <c r="AF54" s="4152"/>
      <c r="AG54" s="4152"/>
      <c r="AH54" s="4152"/>
      <c r="AI54" s="4152"/>
      <c r="AJ54" s="4152"/>
      <c r="AK54" s="4152"/>
      <c r="AL54" s="4152"/>
      <c r="AM54" s="4152"/>
      <c r="AN54" s="4152"/>
      <c r="AO54" s="4153" t="str">
        <f>AP51&amp;"-"&amp;AR51</f>
        <v>-</v>
      </c>
      <c r="AP54" s="4152"/>
      <c r="AQ54" s="4152"/>
      <c r="AR54" s="4152"/>
      <c r="AS54" s="4152"/>
      <c r="AT54" s="4096"/>
      <c r="AU54" s="2347"/>
      <c r="AW54" s="664"/>
      <c r="AX54" s="664" t="str">
        <f>IF(T54="","",T54)</f>
        <v/>
      </c>
      <c r="AY54" s="664"/>
      <c r="AZ54" s="664"/>
    </row>
    <row customHeight="1" ht="11.25">
      <c r="A55" s="1586" t="s">
        <v>212</v>
      </c>
      <c r="B55" s="1586" t="s">
        <v>213</v>
      </c>
      <c r="C55" s="1586" t="s">
        <v>214</v>
      </c>
      <c r="D55" s="1586" t="s">
        <v>215</v>
      </c>
      <c r="E55" s="2352"/>
      <c r="F55" s="2352"/>
      <c r="G55" s="2352"/>
      <c r="H55" s="2352"/>
      <c r="I55" s="2381"/>
      <c r="J55" s="2349"/>
      <c r="K55" s="1586"/>
      <c r="L55" s="1587"/>
      <c r="P55" s="2350"/>
      <c r="Q55" s="2350"/>
      <c r="R55" s="504"/>
      <c r="S55" s="1495"/>
      <c r="T55" s="424" t="s">
        <v>1549</v>
      </c>
      <c r="U55" s="519"/>
      <c r="V55" s="519"/>
      <c r="W55" s="519"/>
      <c r="X55" s="519"/>
      <c r="Y55" s="519"/>
      <c r="Z55" s="519"/>
      <c r="AA55" s="471"/>
      <c r="AB55" s="1729"/>
      <c r="AC55" s="519"/>
      <c r="AD55" s="519"/>
      <c r="AE55" s="519"/>
      <c r="AF55" s="519"/>
      <c r="AG55" s="519"/>
      <c r="AH55" s="519"/>
      <c r="AI55" s="519"/>
      <c r="AJ55" s="519"/>
      <c r="AK55" s="519"/>
      <c r="AL55" s="519"/>
      <c r="AM55" s="519"/>
      <c r="AN55" s="519"/>
      <c r="AO55" s="519"/>
      <c r="AP55" s="519"/>
      <c r="AQ55" s="519"/>
      <c r="AR55" s="519"/>
      <c r="AS55" s="519"/>
      <c r="AT55" s="471"/>
      <c r="AU55" s="2348"/>
      <c r="AW55" s="664"/>
      <c r="AX55" s="664" t="str">
        <f>IF(T55="","",T55)</f>
        <v>Добавить строку</v>
      </c>
      <c r="AY55" s="664"/>
      <c r="AZ55" s="664"/>
    </row>
    <row s="6608" customFormat="1" customHeight="1" ht="0">
      <c r="A56" s="1565" t="s">
        <v>212</v>
      </c>
      <c r="B56" s="1565" t="s">
        <v>213</v>
      </c>
      <c r="C56" s="1565" t="s">
        <v>214</v>
      </c>
      <c r="D56" s="1565" t="s">
        <v>215</v>
      </c>
      <c r="E56" s="2352"/>
      <c r="F56" s="2352"/>
      <c r="G56" s="2352"/>
      <c r="H56" s="2352"/>
      <c r="I56" s="2380"/>
      <c r="J56" s="1565"/>
      <c r="K56" s="1565"/>
      <c r="L56" s="1568"/>
      <c r="M56" s="674"/>
      <c r="N56" s="674"/>
      <c r="O56" s="674"/>
      <c r="P56" s="2350"/>
      <c r="Q56" s="1553"/>
      <c r="R56" s="504"/>
      <c r="S56" s="1609"/>
      <c r="T56" s="1610" t="s">
        <v>1484</v>
      </c>
      <c r="U56" s="1611"/>
      <c r="V56" s="1611"/>
      <c r="W56" s="1611"/>
      <c r="X56" s="1611"/>
      <c r="Y56" s="1611"/>
      <c r="Z56" s="1611"/>
      <c r="AA56" s="1611"/>
      <c r="AB56" s="1611"/>
      <c r="AC56" s="1611"/>
      <c r="AD56" s="1611"/>
      <c r="AE56" s="1611"/>
      <c r="AF56" s="1611"/>
      <c r="AG56" s="1611"/>
      <c r="AH56" s="1611"/>
      <c r="AI56" s="1611"/>
      <c r="AJ56" s="1611"/>
      <c r="AK56" s="1611"/>
      <c r="AL56" s="1611"/>
      <c r="AM56" s="1611"/>
      <c r="AN56" s="1611"/>
      <c r="AO56" s="1611"/>
      <c r="AP56" s="1611"/>
      <c r="AQ56" s="1611"/>
      <c r="AR56" s="1611"/>
      <c r="AS56" s="1611"/>
      <c r="AT56" s="1611"/>
      <c r="AU56" s="1612"/>
      <c r="AW56" s="664"/>
      <c r="AX56" s="664" t="str">
        <f>IF(T56="","",T56)</f>
        <v>Добавить группу потребителей</v>
      </c>
      <c r="AY56" s="664"/>
      <c r="AZ56" s="664"/>
    </row>
    <row s="5794" customFormat="1" customHeight="1" ht="0">
      <c r="A57" s="1565" t="s">
        <v>212</v>
      </c>
      <c r="B57" s="1565" t="s">
        <v>213</v>
      </c>
      <c r="C57" s="1565" t="s">
        <v>214</v>
      </c>
      <c r="D57" s="1565" t="s">
        <v>215</v>
      </c>
      <c r="E57" s="2352"/>
      <c r="F57" s="2352"/>
      <c r="G57" s="2352"/>
      <c r="H57" s="2351"/>
      <c r="I57" s="1565"/>
      <c r="J57" s="1565"/>
      <c r="K57" s="1565"/>
      <c r="L57" s="1568"/>
      <c r="M57" s="1537"/>
      <c r="N57" s="1537"/>
      <c r="O57" s="682"/>
      <c r="P57" s="537"/>
      <c r="Q57" s="1566"/>
      <c r="R57" s="1623"/>
      <c r="S57" s="1609"/>
      <c r="T57" s="1610"/>
      <c r="U57" s="1611"/>
      <c r="V57" s="1611"/>
      <c r="W57" s="1611"/>
      <c r="X57" s="1611"/>
      <c r="Y57" s="1611"/>
      <c r="Z57" s="1611"/>
      <c r="AA57" s="1611"/>
      <c r="AB57" s="1611"/>
      <c r="AC57" s="1611"/>
      <c r="AD57" s="1611"/>
      <c r="AE57" s="1611"/>
      <c r="AF57" s="1611"/>
      <c r="AG57" s="1611"/>
      <c r="AH57" s="1611"/>
      <c r="AI57" s="1611"/>
      <c r="AJ57" s="1611"/>
      <c r="AK57" s="1611"/>
      <c r="AL57" s="1611"/>
      <c r="AM57" s="1611"/>
      <c r="AN57" s="1611"/>
      <c r="AO57" s="1611"/>
      <c r="AP57" s="1611"/>
      <c r="AQ57" s="1611"/>
      <c r="AR57" s="1611"/>
      <c r="AS57" s="1611"/>
      <c r="AT57" s="1611"/>
      <c r="AU57" s="1612"/>
      <c r="AV57" s="675"/>
      <c r="AW57" s="664"/>
      <c r="AX57" s="664" t="str">
        <f>IF(T57="","",T57)</f>
        <v/>
      </c>
      <c r="AY57" s="664"/>
      <c r="AZ57" s="664"/>
    </row>
    <row s="6520" customFormat="1" customHeight="1" ht="0">
      <c r="A58" s="1565" t="s">
        <v>212</v>
      </c>
      <c r="B58" s="1565" t="s">
        <v>213</v>
      </c>
      <c r="C58" s="1565" t="s">
        <v>214</v>
      </c>
      <c r="D58" s="1536"/>
      <c r="E58" s="2352"/>
      <c r="F58" s="2352"/>
      <c r="G58" s="2351"/>
      <c r="H58" s="1536"/>
      <c r="I58" s="1536"/>
      <c r="J58" s="1536"/>
      <c r="K58" s="1536"/>
      <c r="L58" s="1561"/>
      <c r="M58" s="1537"/>
      <c r="N58" s="1537"/>
      <c r="P58" s="1538"/>
      <c r="Q58" s="1539"/>
      <c r="R58" s="1538"/>
      <c r="S58" s="1544"/>
      <c r="T58" s="1547" t="s">
        <v>1444</v>
      </c>
      <c r="U58" s="1546"/>
      <c r="V58" s="1546"/>
      <c r="W58" s="1546"/>
      <c r="X58" s="1546"/>
      <c r="Y58" s="1546"/>
      <c r="Z58" s="1546"/>
      <c r="AA58" s="1546"/>
      <c r="AB58" s="1546"/>
      <c r="AC58" s="1546"/>
      <c r="AD58" s="1546"/>
      <c r="AE58" s="1546"/>
      <c r="AF58" s="1546"/>
      <c r="AG58" s="1546"/>
      <c r="AH58" s="1546"/>
      <c r="AI58" s="1546"/>
      <c r="AJ58" s="1546"/>
      <c r="AK58" s="1546"/>
      <c r="AL58" s="1546"/>
      <c r="AM58" s="1546"/>
      <c r="AN58" s="1546"/>
      <c r="AO58" s="1546"/>
      <c r="AP58" s="1546"/>
      <c r="AQ58" s="1546"/>
      <c r="AR58" s="1546"/>
      <c r="AS58" s="1546"/>
      <c r="AT58" s="1546"/>
      <c r="AU58" s="1546"/>
      <c r="AW58" s="956"/>
      <c r="AX58" s="956" t="str">
        <f>IF(T58="","",T58)</f>
        <v>Добавить источник для дифференциации</v>
      </c>
      <c r="AY58" s="956"/>
      <c r="AZ58" s="956"/>
    </row>
    <row s="6520" customFormat="1" customHeight="1" ht="0">
      <c r="A59" s="1565" t="s">
        <v>212</v>
      </c>
      <c r="B59" s="1565" t="s">
        <v>213</v>
      </c>
      <c r="C59" s="1536"/>
      <c r="D59" s="1536"/>
      <c r="E59" s="2352"/>
      <c r="F59" s="2351"/>
      <c r="G59" s="1536"/>
      <c r="H59" s="1536"/>
      <c r="I59" s="1536"/>
      <c r="J59" s="1536"/>
      <c r="K59" s="1536"/>
      <c r="L59" s="1561"/>
      <c r="M59" s="1543"/>
      <c r="N59" s="1543"/>
      <c r="P59" s="1538"/>
      <c r="Q59" s="1539"/>
      <c r="R59" s="1538"/>
      <c r="S59" s="1544"/>
      <c r="T59" s="1547" t="s">
        <v>1445</v>
      </c>
      <c r="U59" s="1546"/>
      <c r="V59" s="1546"/>
      <c r="W59" s="1546"/>
      <c r="X59" s="1546"/>
      <c r="Y59" s="1546"/>
      <c r="Z59" s="1546"/>
      <c r="AA59" s="1546"/>
      <c r="AB59" s="1546"/>
      <c r="AC59" s="1546"/>
      <c r="AD59" s="1546"/>
      <c r="AE59" s="1546"/>
      <c r="AF59" s="1546"/>
      <c r="AG59" s="1546"/>
      <c r="AH59" s="1546"/>
      <c r="AI59" s="1546"/>
      <c r="AJ59" s="1546"/>
      <c r="AK59" s="1546"/>
      <c r="AL59" s="1546"/>
      <c r="AM59" s="1546"/>
      <c r="AN59" s="1546"/>
      <c r="AO59" s="1546"/>
      <c r="AP59" s="1546"/>
      <c r="AQ59" s="1546"/>
      <c r="AR59" s="1546"/>
      <c r="AS59" s="1546"/>
      <c r="AT59" s="1546"/>
      <c r="AU59" s="1546"/>
      <c r="AW59" s="956"/>
      <c r="AX59" s="956" t="str">
        <f>IF(T59="","",T59)</f>
        <v>Добавить централизованную систему для дифференциации</v>
      </c>
      <c r="AY59" s="956"/>
      <c r="AZ59" s="956"/>
    </row>
    <row s="6608" customFormat="1" customHeight="1" ht="0">
      <c r="A60" s="1565" t="s">
        <v>212</v>
      </c>
      <c r="B60" s="1565"/>
      <c r="C60" s="1565"/>
      <c r="D60" s="1565"/>
      <c r="E60" s="2352"/>
      <c r="F60" s="1565"/>
      <c r="G60" s="1565"/>
      <c r="H60" s="1565"/>
      <c r="I60" s="1565"/>
      <c r="J60" s="1565"/>
      <c r="K60" s="1565"/>
      <c r="L60" s="1568"/>
      <c r="M60" s="1543"/>
      <c r="N60" s="1543"/>
      <c r="O60" s="682"/>
      <c r="P60" s="537"/>
      <c r="Q60" s="1566"/>
      <c r="R60" s="537"/>
      <c r="S60" s="1544"/>
      <c r="T60" s="1547" t="s">
        <v>1446</v>
      </c>
      <c r="U60" s="1546"/>
      <c r="V60" s="1546"/>
      <c r="W60" s="1546"/>
      <c r="X60" s="1546"/>
      <c r="Y60" s="1546"/>
      <c r="Z60" s="1546"/>
      <c r="AA60" s="1546"/>
      <c r="AB60" s="1546"/>
      <c r="AC60" s="1546"/>
      <c r="AD60" s="1546"/>
      <c r="AE60" s="1546"/>
      <c r="AF60" s="1546"/>
      <c r="AG60" s="1546"/>
      <c r="AH60" s="1546"/>
      <c r="AI60" s="1546"/>
      <c r="AJ60" s="1546"/>
      <c r="AK60" s="1546"/>
      <c r="AL60" s="1546"/>
      <c r="AM60" s="1546"/>
      <c r="AN60" s="1546"/>
      <c r="AO60" s="1546"/>
      <c r="AP60" s="1546"/>
      <c r="AQ60" s="1546"/>
      <c r="AR60" s="1546"/>
      <c r="AS60" s="1546"/>
      <c r="AT60" s="1546"/>
      <c r="AU60" s="1546"/>
      <c r="AW60" s="664"/>
      <c r="AX60" s="664" t="str">
        <f>IF(T60="","",T60)</f>
        <v>Добавить территорию для дифференциации</v>
      </c>
      <c r="AY60" s="664"/>
      <c r="AZ60" s="664"/>
    </row>
    <row s="6608" customFormat="1" customHeight="1" ht="0">
      <c r="A61" s="1565" t="s">
        <v>212</v>
      </c>
      <c r="B61" s="1565"/>
      <c r="C61" s="1565"/>
      <c r="D61" s="1565"/>
      <c r="E61" s="2351"/>
      <c r="F61" s="1565"/>
      <c r="G61" s="1565"/>
      <c r="H61" s="1565"/>
      <c r="I61" s="1565"/>
      <c r="J61" s="1565"/>
      <c r="K61" s="1565"/>
      <c r="L61" s="1568"/>
      <c r="M61" s="1543"/>
      <c r="N61" s="1543"/>
      <c r="O61" s="682"/>
      <c r="P61" s="537"/>
      <c r="Q61" s="1566"/>
      <c r="R61" s="537"/>
      <c r="S61" s="1544"/>
      <c r="T61" s="1547" t="s">
        <v>1446</v>
      </c>
      <c r="U61" s="1546"/>
      <c r="V61" s="1546"/>
      <c r="W61" s="1546"/>
      <c r="X61" s="1546"/>
      <c r="Y61" s="1546"/>
      <c r="Z61" s="1546"/>
      <c r="AA61" s="1546"/>
      <c r="AB61" s="1546"/>
      <c r="AC61" s="1546"/>
      <c r="AD61" s="1546"/>
      <c r="AE61" s="1546"/>
      <c r="AF61" s="1546"/>
      <c r="AG61" s="1546"/>
      <c r="AH61" s="1546"/>
      <c r="AI61" s="1546"/>
      <c r="AJ61" s="1546"/>
      <c r="AK61" s="1546"/>
      <c r="AL61" s="1546"/>
      <c r="AM61" s="1546"/>
      <c r="AN61" s="1546"/>
      <c r="AO61" s="1546"/>
      <c r="AP61" s="1546"/>
      <c r="AQ61" s="1546"/>
      <c r="AR61" s="1546"/>
      <c r="AS61" s="1546"/>
      <c r="AT61" s="1546"/>
      <c r="AU61" s="1546"/>
      <c r="AW61" s="664"/>
      <c r="AX61" s="664" t="str">
        <f>IF(T61="","",T61)</f>
        <v>Добавить территорию для дифференциации</v>
      </c>
      <c r="AY61" s="664"/>
      <c r="AZ61" s="664"/>
    </row>
    <row s="6520" customFormat="1" customHeight="1" ht="0">
      <c r="A62" s="1536"/>
      <c r="B62" s="1536"/>
      <c r="C62" s="1536"/>
      <c r="D62" s="1536"/>
      <c r="E62" s="1565"/>
      <c r="F62" s="1536"/>
      <c r="G62" s="1536"/>
      <c r="H62" s="1536"/>
      <c r="I62" s="1536"/>
      <c r="J62" s="1536"/>
      <c r="K62" s="1536"/>
      <c r="L62" s="1561"/>
      <c r="M62" s="1543"/>
      <c r="N62" s="1543"/>
      <c r="P62" s="1538"/>
      <c r="Q62" s="1539"/>
      <c r="R62" s="1538"/>
      <c r="S62" s="1544"/>
      <c r="T62" s="1547" t="s">
        <v>1447</v>
      </c>
      <c r="U62" s="1546"/>
      <c r="V62" s="1546"/>
      <c r="W62" s="1546"/>
      <c r="X62" s="1546"/>
      <c r="Y62" s="1546"/>
      <c r="Z62" s="1546"/>
      <c r="AA62" s="1546"/>
      <c r="AB62" s="1546"/>
      <c r="AC62" s="1546"/>
      <c r="AD62" s="1546"/>
      <c r="AE62" s="1546"/>
      <c r="AF62" s="1546"/>
      <c r="AG62" s="1546"/>
      <c r="AH62" s="1546"/>
      <c r="AI62" s="1546"/>
      <c r="AJ62" s="1546"/>
      <c r="AK62" s="1546"/>
      <c r="AL62" s="1546"/>
      <c r="AM62" s="1546"/>
      <c r="AN62" s="1546"/>
      <c r="AO62" s="1546"/>
      <c r="AP62" s="1546"/>
      <c r="AQ62" s="1546"/>
      <c r="AR62" s="1546"/>
      <c r="AS62" s="1546"/>
      <c r="AT62" s="1546"/>
      <c r="AU62" s="1546"/>
      <c r="AW62" s="956"/>
      <c r="AX62" s="956" t="str">
        <f>IF(T62="","",T62)</f>
        <v>Добавить наименование тарифа</v>
      </c>
      <c r="AY62" s="956"/>
      <c r="AZ62" s="956"/>
    </row>
    <row customHeight="1" ht="11.25" hidden="1">
      <c r="M63" s="1348"/>
      <c r="N63" s="1348"/>
      <c r="O63" s="701"/>
      <c r="P63" s="1348"/>
      <c r="Q63" s="1348"/>
      <c r="R63" s="1343"/>
      <c r="S63" s="1343"/>
      <c r="AV63" s="1343"/>
      <c r="AW63" s="1343"/>
      <c r="AX63" s="1343"/>
      <c r="AY63" s="1343"/>
      <c r="AZ63" s="1343"/>
    </row>
    <row customHeight="1" ht="18.75" hidden="1">
      <c r="O64" s="701"/>
      <c r="S64" s="1460" t="s">
        <v>1517</v>
      </c>
      <c r="T64" s="2379" t="s">
        <v>1560</v>
      </c>
      <c r="U64" s="2379"/>
      <c r="V64" s="2379"/>
      <c r="W64" s="2379"/>
      <c r="X64" s="2379"/>
      <c r="Y64" s="2379"/>
      <c r="Z64" s="2379"/>
      <c r="AA64" s="2379"/>
      <c r="AB64" s="2379"/>
      <c r="AC64" s="2379"/>
      <c r="AD64" s="2379"/>
      <c r="AE64" s="2379"/>
      <c r="AF64" s="2379"/>
      <c r="AG64" s="2379"/>
      <c r="AH64" s="2379"/>
      <c r="AI64" s="2379"/>
      <c r="AJ64" s="2379"/>
      <c r="AK64" s="2379"/>
      <c r="AL64" s="2379"/>
      <c r="AM64" s="2379"/>
      <c r="AN64" s="2379"/>
      <c r="AO64" s="2379"/>
      <c r="AP64" s="2379"/>
      <c r="AQ64" s="2379"/>
      <c r="AR64" s="2379"/>
      <c r="AS64" s="2379"/>
      <c r="AT64" s="2379"/>
      <c r="AU64" s="2379"/>
    </row>
    <row customHeight="1" ht="19.5" hidden="1">
      <c r="O65" s="701"/>
      <c r="T65" s="2379" t="s">
        <v>1543</v>
      </c>
      <c r="U65" s="2379"/>
      <c r="V65" s="2379"/>
      <c r="W65" s="2379"/>
      <c r="X65" s="2379"/>
      <c r="Y65" s="2379"/>
      <c r="Z65" s="2379"/>
      <c r="AA65" s="2379"/>
      <c r="AB65" s="2379"/>
      <c r="AC65" s="2379"/>
      <c r="AD65" s="2379"/>
      <c r="AE65" s="2379"/>
      <c r="AF65" s="2379"/>
      <c r="AG65" s="2379"/>
      <c r="AH65" s="2379"/>
      <c r="AI65" s="2379"/>
      <c r="AJ65" s="2379"/>
      <c r="AK65" s="2379"/>
      <c r="AL65" s="2379"/>
      <c r="AM65" s="2379"/>
      <c r="AN65" s="2379"/>
      <c r="AO65" s="2379"/>
      <c r="AP65" s="2379"/>
      <c r="AQ65" s="2379"/>
      <c r="AR65" s="2379"/>
      <c r="AS65" s="2379"/>
      <c r="AT65" s="2379"/>
      <c r="AU65" s="2379"/>
    </row>
    <row customHeight="1" ht="14.25" hidden="1">
      <c r="O66" s="701"/>
      <c r="T66" s="1555"/>
      <c r="U66" s="1555"/>
      <c r="V66" s="1555"/>
      <c r="W66" s="1555"/>
      <c r="X66" s="1555"/>
      <c r="Y66" s="1555"/>
      <c r="Z66" s="1555"/>
      <c r="AA66" s="1555"/>
      <c r="AB66" s="1555"/>
      <c r="AC66" s="1555"/>
      <c r="AD66" s="1555"/>
      <c r="AE66" s="1555"/>
      <c r="AF66" s="1555"/>
      <c r="AG66" s="1555"/>
      <c r="AH66" s="1555"/>
      <c r="AI66" s="1555"/>
      <c r="AJ66" s="1555"/>
      <c r="AK66" s="1555"/>
      <c r="AL66" s="1555"/>
      <c r="AM66" s="1555"/>
      <c r="AN66" s="1555"/>
      <c r="AO66" s="1555"/>
      <c r="AP66" s="1555"/>
      <c r="AQ66" s="1555"/>
      <c r="AR66" s="1555"/>
      <c r="AS66" s="1555"/>
      <c r="AT66" s="1555"/>
      <c r="AU66" s="1555"/>
    </row>
    <row customHeight="1" ht="18.75" hidden="1">
      <c r="O67" s="701"/>
      <c r="T67" s="2379" t="s">
        <v>1561</v>
      </c>
      <c r="U67" s="2379"/>
      <c r="V67" s="2379"/>
      <c r="W67" s="2379"/>
      <c r="X67" s="2379"/>
      <c r="Y67" s="2379"/>
      <c r="Z67" s="2379"/>
      <c r="AA67" s="2379"/>
      <c r="AB67" s="2379"/>
      <c r="AC67" s="2379"/>
      <c r="AD67" s="2379"/>
      <c r="AE67" s="2379"/>
      <c r="AF67" s="2379"/>
      <c r="AG67" s="2379"/>
      <c r="AH67" s="2379"/>
      <c r="AI67" s="2379"/>
      <c r="AJ67" s="2379"/>
      <c r="AK67" s="2379"/>
      <c r="AL67" s="2379"/>
      <c r="AM67" s="2379"/>
      <c r="AN67" s="2379"/>
      <c r="AO67" s="2379"/>
      <c r="AP67" s="2379"/>
      <c r="AQ67" s="2379"/>
      <c r="AR67" s="2379"/>
      <c r="AS67" s="2379"/>
      <c r="AT67" s="2379"/>
      <c r="AU67" s="2379"/>
    </row>
    <row customHeight="1" ht="15.75" hidden="1">
      <c r="O68" s="701"/>
      <c r="T68" s="2379" t="s">
        <v>1543</v>
      </c>
      <c r="U68" s="2379"/>
      <c r="V68" s="2379"/>
      <c r="W68" s="2379"/>
      <c r="X68" s="2379"/>
      <c r="Y68" s="2379"/>
      <c r="Z68" s="2379"/>
      <c r="AA68" s="2379"/>
      <c r="AB68" s="2379"/>
      <c r="AC68" s="2379"/>
      <c r="AD68" s="2379"/>
      <c r="AE68" s="2379"/>
      <c r="AF68" s="2379"/>
      <c r="AG68" s="2379"/>
      <c r="AH68" s="2379"/>
      <c r="AI68" s="2379"/>
      <c r="AJ68" s="2379"/>
      <c r="AK68" s="2379"/>
      <c r="AL68" s="2379"/>
      <c r="AM68" s="2379"/>
      <c r="AN68" s="2379"/>
      <c r="AO68" s="2379"/>
      <c r="AP68" s="2379"/>
      <c r="AQ68" s="2379"/>
      <c r="AR68" s="2379"/>
      <c r="AS68" s="2379"/>
      <c r="AT68" s="2379"/>
      <c r="AU68" s="2379"/>
    </row>
    <row customHeight="1" ht="14.25">
      <c r="O69" s="701"/>
    </row>
  </sheetData>
  <sheetProtection formatColumns="0" formatRows="0" autoFilter="0" sort="0" insertRows="0" insertColumns="1" deleteRows="0" deleteColumns="0"/>
  <mergeCells count="117">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N41:AO42"/>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8">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32FBA5-84CF-88A2-37BF-A0709FECDEEF}"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2.28125" hidden="1" customWidth="1"/>
    <col min="6" max="8" style="6617" width="12.28125" hidden="1" customWidth="1"/>
    <col min="9" max="9" style="6802" width="3.7109375" customWidth="1"/>
    <col min="10" max="11" style="6619" width="3.7109375" customWidth="1"/>
    <col min="12" max="12" style="6620" width="12.7109375" customWidth="1"/>
    <col min="13" max="13" style="6104" width="32.00390625" customWidth="1"/>
    <col min="14" max="14" style="6104" width="1.7109375" customWidth="1"/>
    <col min="15" max="18" style="6104" width="24.7109375" customWidth="1"/>
    <col min="19" max="19" style="6104" width="11.7109375" customWidth="1"/>
    <col min="20" max="20" style="6104" width="3.7109375" customWidth="1"/>
    <col min="21" max="21" style="6104" width="11.7109375" customWidth="1"/>
    <col min="22" max="22" style="6104" width="8.57421875" customWidth="1"/>
    <col min="23" max="23" style="6104" width="4.7109375" customWidth="1"/>
    <col min="24" max="24" style="6104" width="115.7109375" customWidth="1"/>
    <col min="25" max="26" style="6608" width="10.57421875"/>
    <col min="27" max="27" style="6608" width="11.140625" customWidth="1"/>
    <col min="28" max="29" style="6608" width="10.57421875"/>
  </cols>
  <sheetData>
    <row customHeight="1" ht="14.25" hidden="1">
      <c r="R1" s="475"/>
      <c r="S1" s="475"/>
    </row>
    <row customHeight="1" ht="14.25" hidden="1">
      <c r="V2" s="475"/>
    </row>
    <row customHeight="1" ht="14.25" hidden="1"/>
    <row customHeight="1" ht="14.25">
      <c r="J4" s="529"/>
      <c r="K4" s="529"/>
      <c r="L4" s="1492"/>
      <c r="M4" s="513"/>
      <c r="N4" s="513"/>
      <c r="O4" s="673"/>
      <c r="P4" s="673"/>
      <c r="Q4" s="673"/>
      <c r="R4" s="673"/>
      <c r="S4" s="673"/>
      <c r="T4" s="673"/>
      <c r="U4" s="673"/>
      <c r="V4" s="673"/>
    </row>
    <row customHeight="1" ht="64.5">
      <c r="J5" s="529"/>
      <c r="K5" s="529"/>
      <c r="L5" s="2341" t="s">
        <v>423</v>
      </c>
      <c r="M5" s="2341"/>
      <c r="N5" s="2341"/>
      <c r="O5" s="2341"/>
      <c r="P5" s="2341"/>
      <c r="Q5" s="2341"/>
      <c r="R5" s="2341"/>
      <c r="S5" s="2341"/>
      <c r="T5" s="2341"/>
      <c r="U5" s="2341"/>
      <c r="V5" s="1448"/>
    </row>
    <row customHeight="1" ht="14.25">
      <c r="J6" s="529"/>
      <c r="K6" s="529"/>
      <c r="L6"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342"/>
      <c r="N6" s="2342"/>
      <c r="O6" s="2342"/>
      <c r="P6" s="2342"/>
      <c r="Q6" s="2342"/>
      <c r="R6" s="2342"/>
      <c r="S6" s="2342"/>
      <c r="T6" s="2342"/>
      <c r="U6" s="2342"/>
      <c r="V6" s="1448"/>
    </row>
    <row customHeight="1" ht="14.25">
      <c r="J7" s="529"/>
      <c r="K7" s="529"/>
      <c r="L7" s="1492"/>
      <c r="M7" s="513"/>
      <c r="N7" s="513"/>
      <c r="O7" s="468"/>
      <c r="P7" s="468"/>
      <c r="Q7" s="468"/>
      <c r="R7" s="468"/>
      <c r="S7" s="468"/>
      <c r="T7" s="468"/>
      <c r="U7" s="468"/>
      <c r="V7" s="468"/>
      <c r="W7" s="673"/>
    </row>
    <row s="6550" customFormat="1" customHeight="1" ht="45">
      <c r="A8" s="1591"/>
      <c r="B8" s="1591"/>
      <c r="C8" s="1591"/>
      <c r="D8" s="1591"/>
      <c r="E8" s="1591"/>
      <c r="F8" s="1591"/>
      <c r="G8" s="1591"/>
      <c r="H8" s="1591"/>
      <c r="L8" s="1493"/>
      <c r="M8" s="432" t="s">
        <v>39</v>
      </c>
      <c r="N8" s="441"/>
      <c r="O8" s="2344" t="str">
        <f>IF(TITLE_NAME_OR_PR_CHANGE="",IF(TITLE_NAME_OR_PR="","",TITLE_NAME_OR_PR),TITLE_NAME_OR_PR_CHANGE)</f>
        <v/>
      </c>
      <c r="P8" s="2344"/>
      <c r="Q8" s="2344"/>
      <c r="R8" s="2344"/>
      <c r="S8" s="2344"/>
      <c r="T8" s="2344"/>
      <c r="U8" s="2344"/>
      <c r="V8" s="474"/>
      <c r="W8" s="474"/>
      <c r="X8" s="417"/>
      <c r="Y8" s="520"/>
      <c r="Z8" s="520"/>
      <c r="AA8" s="520"/>
      <c r="AB8" s="520"/>
      <c r="AC8" s="520"/>
    </row>
    <row s="6550" customFormat="1" customHeight="1" ht="22.5">
      <c r="A9" s="1591"/>
      <c r="B9" s="1591"/>
      <c r="C9" s="1591"/>
      <c r="D9" s="1591"/>
      <c r="E9" s="1591"/>
      <c r="F9" s="1591"/>
      <c r="G9" s="1591"/>
      <c r="H9" s="1591"/>
      <c r="L9" s="1493"/>
      <c r="M9" s="432" t="s">
        <v>1492</v>
      </c>
      <c r="N9" s="441"/>
      <c r="O9" s="2344" t="str">
        <f>IF(TITLE_DATE_CHANGE_PERIOD="",IF(TITLE_DATE_PR="","",TITLE_DATE_PR),TITLE_DATE_CHANGE_PERIOD)</f>
        <v/>
      </c>
      <c r="P9" s="2344"/>
      <c r="Q9" s="2344"/>
      <c r="R9" s="2344"/>
      <c r="S9" s="2344"/>
      <c r="T9" s="2344"/>
      <c r="U9" s="2344"/>
      <c r="V9" s="474"/>
      <c r="W9" s="474"/>
      <c r="X9" s="417"/>
      <c r="Y9" s="520"/>
      <c r="Z9" s="520"/>
      <c r="AA9" s="520"/>
      <c r="AB9" s="520"/>
      <c r="AC9" s="520"/>
    </row>
    <row s="6550" customFormat="1" customHeight="1" ht="22.5">
      <c r="A10" s="1591"/>
      <c r="B10" s="1591"/>
      <c r="C10" s="1591"/>
      <c r="D10" s="1591"/>
      <c r="E10" s="1591"/>
      <c r="F10" s="1591"/>
      <c r="G10" s="1591"/>
      <c r="H10" s="1591"/>
      <c r="L10" s="1456"/>
      <c r="M10" s="432" t="s">
        <v>1493</v>
      </c>
      <c r="N10" s="441"/>
      <c r="O10" s="2344" t="str">
        <f>IF(TITLE_NUMBER_PR_CHANGE="",IF(TITLE_NUMBER_PR="","",TITLE_NUMBER_PR),TITLE_NUMBER_PR_CHANGE)</f>
        <v/>
      </c>
      <c r="P10" s="2344"/>
      <c r="Q10" s="2344"/>
      <c r="R10" s="2344"/>
      <c r="S10" s="2344"/>
      <c r="T10" s="2344"/>
      <c r="U10" s="2344"/>
      <c r="V10" s="474"/>
      <c r="W10" s="474"/>
      <c r="X10" s="417"/>
      <c r="Y10" s="520"/>
      <c r="Z10" s="520"/>
      <c r="AA10" s="520"/>
      <c r="AB10" s="520"/>
      <c r="AC10" s="520"/>
    </row>
    <row s="6550" customFormat="1" customHeight="1" ht="22.5">
      <c r="A11" s="1591"/>
      <c r="B11" s="1591"/>
      <c r="C11" s="1591"/>
      <c r="D11" s="1591"/>
      <c r="E11" s="1591"/>
      <c r="F11" s="1591"/>
      <c r="G11" s="1591"/>
      <c r="H11" s="1591"/>
      <c r="L11" s="1456"/>
      <c r="M11" s="432" t="s">
        <v>40</v>
      </c>
      <c r="N11" s="441"/>
      <c r="O11" s="2344" t="str">
        <f>IF(TITLE_IST_PUB_CHANGE="",IF(TITLE_IST_PUB="","",TITLE_IST_PUB),TITLE_IST_PUB_CHANGE)</f>
        <v/>
      </c>
      <c r="P11" s="2344"/>
      <c r="Q11" s="2344"/>
      <c r="R11" s="2344"/>
      <c r="S11" s="2344"/>
      <c r="T11" s="2344"/>
      <c r="U11" s="2344"/>
      <c r="V11" s="474"/>
      <c r="W11" s="474"/>
      <c r="X11" s="417"/>
      <c r="Y11" s="520"/>
      <c r="Z11" s="520"/>
      <c r="AA11" s="520"/>
      <c r="AB11" s="520"/>
      <c r="AC11" s="520"/>
    </row>
    <row s="6550" customFormat="1" customHeight="1" ht="11.25" hidden="1">
      <c r="A12" s="1591"/>
      <c r="B12" s="1591"/>
      <c r="C12" s="1591"/>
      <c r="D12" s="1591"/>
      <c r="E12" s="1591"/>
      <c r="F12" s="1591"/>
      <c r="G12" s="1591"/>
      <c r="H12" s="1591"/>
      <c r="L12" s="2444"/>
      <c r="M12" s="2444"/>
      <c r="N12" s="1504"/>
      <c r="O12" s="474"/>
      <c r="P12" s="474"/>
      <c r="Q12" s="474"/>
      <c r="R12" s="474"/>
      <c r="S12" s="474"/>
      <c r="T12" s="474"/>
      <c r="U12" s="474"/>
      <c r="V12" s="415" t="s">
        <v>1496</v>
      </c>
      <c r="Y12" s="520"/>
      <c r="Z12" s="520"/>
      <c r="AA12" s="520"/>
      <c r="AB12" s="520"/>
      <c r="AC12" s="520"/>
    </row>
    <row customHeight="1" ht="14.25">
      <c r="J13" s="529"/>
      <c r="K13" s="529"/>
      <c r="L13" s="1492"/>
      <c r="M13" s="513"/>
      <c r="N13" s="1449"/>
      <c r="O13" s="2345"/>
      <c r="P13" s="2345"/>
      <c r="Q13" s="2345"/>
      <c r="R13" s="2345"/>
      <c r="S13" s="2345"/>
      <c r="T13" s="2345"/>
      <c r="U13" s="2345"/>
      <c r="V13" s="2345"/>
    </row>
    <row customHeight="1" ht="14.25">
      <c r="J14" s="529"/>
      <c r="K14" s="529"/>
      <c r="L14" s="2204" t="s">
        <v>300</v>
      </c>
      <c r="M14" s="2204"/>
      <c r="N14" s="2204"/>
      <c r="O14" s="2204"/>
      <c r="P14" s="2204"/>
      <c r="Q14" s="2204"/>
      <c r="R14" s="2204"/>
      <c r="S14" s="2204"/>
      <c r="T14" s="2204"/>
      <c r="U14" s="2204"/>
      <c r="V14" s="2204"/>
      <c r="W14" s="2204"/>
      <c r="X14" s="2204" t="s">
        <v>301</v>
      </c>
    </row>
    <row customHeight="1" ht="14.25">
      <c r="J15" s="529"/>
      <c r="K15" s="529"/>
      <c r="L15" s="2367" t="s">
        <v>87</v>
      </c>
      <c r="M15" s="2228" t="s">
        <v>1497</v>
      </c>
      <c r="N15" s="438"/>
      <c r="O15" s="2368" t="s">
        <v>1562</v>
      </c>
      <c r="P15" s="2369"/>
      <c r="Q15" s="2369"/>
      <c r="R15" s="2369"/>
      <c r="S15" s="2369"/>
      <c r="T15" s="2369"/>
      <c r="U15" s="2370"/>
      <c r="V15" s="2371" t="s">
        <v>1499</v>
      </c>
      <c r="W15" s="2374" t="s">
        <v>1563</v>
      </c>
      <c r="X15" s="2204"/>
    </row>
    <row customHeight="1" ht="33.75">
      <c r="J16" s="529"/>
      <c r="K16" s="529"/>
      <c r="L16" s="2367"/>
      <c r="M16" s="2228"/>
      <c r="N16" s="1216"/>
      <c r="O16" s="2353" t="s">
        <v>1502</v>
      </c>
      <c r="P16" s="2353" t="s">
        <v>1503</v>
      </c>
      <c r="Q16" s="2355" t="s">
        <v>1504</v>
      </c>
      <c r="R16" s="2356"/>
      <c r="S16" s="2361" t="s">
        <v>1523</v>
      </c>
      <c r="T16" s="2362"/>
      <c r="U16" s="2363"/>
      <c r="V16" s="2372"/>
      <c r="W16" s="2375"/>
      <c r="X16" s="2204"/>
    </row>
    <row customHeight="1" ht="33.75">
      <c r="A17" s="1593" t="s">
        <v>143</v>
      </c>
      <c r="B17" s="1593" t="s">
        <v>144</v>
      </c>
      <c r="C17" s="1593" t="s">
        <v>145</v>
      </c>
      <c r="D17" s="1593" t="s">
        <v>146</v>
      </c>
      <c r="E17" s="1593"/>
      <c r="J17" s="529"/>
      <c r="K17" s="529"/>
      <c r="L17" s="2367"/>
      <c r="M17" s="2228"/>
      <c r="N17" s="439"/>
      <c r="O17" s="2354"/>
      <c r="P17" s="2354"/>
      <c r="Q17" s="1424" t="s">
        <v>1513</v>
      </c>
      <c r="R17" s="1424" t="s">
        <v>1514</v>
      </c>
      <c r="S17" s="1509" t="s">
        <v>1515</v>
      </c>
      <c r="T17" s="2364" t="s">
        <v>1516</v>
      </c>
      <c r="U17" s="2365"/>
      <c r="V17" s="2373"/>
      <c r="W17" s="2376"/>
      <c r="X17" s="2204"/>
    </row>
    <row s="5794" customFormat="1" customHeight="1" ht="11.25">
      <c r="A18" s="1593"/>
      <c r="B18" s="1593"/>
      <c r="C18" s="1593"/>
      <c r="D18" s="1593"/>
      <c r="E18" s="1593"/>
      <c r="F18" s="1585"/>
      <c r="G18" s="1585"/>
      <c r="H18" s="1585"/>
      <c r="I18" s="1451"/>
      <c r="J18" s="1452"/>
      <c r="K18" s="1467">
        <v>1</v>
      </c>
      <c r="L18" s="1494" t="s">
        <v>118</v>
      </c>
      <c r="M18" s="1468" t="s">
        <v>102</v>
      </c>
      <c r="N18" s="1450" t="str">
        <f>OFFSET(N18,0,-1)</f>
        <v>2</v>
      </c>
      <c r="O18" s="1506">
        <f>OFFSET(O18,0,-1)+1</f>
        <v>3</v>
      </c>
      <c r="P18" s="1506"/>
      <c r="Q18" s="1506">
        <f>OFFSET(Q18,0,-1)+1</f>
        <v>1</v>
      </c>
      <c r="R18" s="1506">
        <f>OFFSET(R18,0,-1)+1</f>
        <v>2</v>
      </c>
      <c r="S18" s="1506">
        <f>OFFSET(S18,0,-1)+1</f>
        <v>3</v>
      </c>
      <c r="T18" s="2366">
        <f>OFFSET(T18,0,-1)+1</f>
        <v>4</v>
      </c>
      <c r="U18" s="2366"/>
      <c r="V18" s="1506">
        <f>OFFSET(V18,0,-2)+1</f>
        <v>5</v>
      </c>
      <c r="W18" s="1450">
        <f>OFFSET(W18,0,-1)</f>
        <v>5</v>
      </c>
      <c r="X18" s="1506">
        <f>OFFSET(X18,0,-1)+1</f>
        <v>6</v>
      </c>
      <c r="Y18" s="675"/>
      <c r="Z18" s="675"/>
      <c r="AA18" s="675"/>
      <c r="AB18" s="675"/>
      <c r="AC18" s="675"/>
    </row>
    <row customHeight="1" ht="21">
      <c r="A19" s="1586" t="s">
        <v>179</v>
      </c>
      <c r="B19" s="1586" t="s">
        <v>180</v>
      </c>
      <c r="C19" s="1586" t="s">
        <v>181</v>
      </c>
      <c r="D19" s="1586" t="s">
        <v>182</v>
      </c>
      <c r="E19" s="1586"/>
      <c r="F19" s="1588"/>
      <c r="G19" s="1588"/>
      <c r="H19" s="1588"/>
      <c r="I19" s="509"/>
      <c r="J19" s="508"/>
      <c r="K19" s="503"/>
      <c r="L19" s="1510">
        <f>INDEX(PT_DIFFERENTIATION_NUM_NTAR,MATCH(A19,PT_DIFFERENTIATION_NTAR_ID,0))</f>
        <v>0</v>
      </c>
      <c r="M19" s="435" t="s">
        <v>132</v>
      </c>
      <c r="N19" s="437"/>
      <c r="O19" s="4255" t="str">
        <f>INDEX(PT_DIFFERENTIATION_NTAR,MATCH(A19,PT_DIFFERENTIATION_NTAR_ID,0))</f>
        <v/>
      </c>
      <c r="P19" s="4255"/>
      <c r="Q19" s="4255"/>
      <c r="R19" s="4255"/>
      <c r="S19" s="4255"/>
      <c r="T19" s="4255"/>
      <c r="U19" s="4255"/>
      <c r="V19" s="4255"/>
      <c r="W19" s="4255"/>
      <c r="X19" s="1473" t="s">
        <v>1468</v>
      </c>
      <c r="Z19" s="664"/>
      <c r="AA19" s="664" t="str">
        <f>IF(M19="","",M19)</f>
        <v>Наименование тарифа</v>
      </c>
      <c r="AB19" s="664"/>
      <c r="AC19" s="664"/>
    </row>
    <row customHeight="1" ht="21">
      <c r="A20" s="1586" t="s">
        <v>179</v>
      </c>
      <c r="B20" s="1586" t="s">
        <v>180</v>
      </c>
      <c r="C20" s="1586" t="s">
        <v>181</v>
      </c>
      <c r="D20" s="1586" t="s">
        <v>182</v>
      </c>
      <c r="E20" s="1586"/>
      <c r="F20" s="1588"/>
      <c r="G20" s="1588"/>
      <c r="H20" s="1588"/>
      <c r="I20" s="1507"/>
      <c r="J20" s="500"/>
      <c r="K20" s="501"/>
      <c r="L20" s="1510" t="str">
        <f>INDEX(PT_DIFFERENTIATION_NUM_TER,MATCH(B19,PT_DIFFERENTIATION_TER_ID,0))</f>
        <v>.</v>
      </c>
      <c r="M20" s="447" t="s">
        <v>1469</v>
      </c>
      <c r="N20" s="437"/>
      <c r="O20" s="4255" t="str">
        <f>INDEX(PT_DIFFERENTIATION_TER,MATCH(B19,PT_DIFFERENTIATION_TER_ID,0))</f>
        <v/>
      </c>
      <c r="P20" s="4255"/>
      <c r="Q20" s="4255"/>
      <c r="R20" s="4255"/>
      <c r="S20" s="4255"/>
      <c r="T20" s="4255"/>
      <c r="U20" s="4255"/>
      <c r="V20" s="4255"/>
      <c r="W20" s="4255"/>
      <c r="X20" s="1473" t="s">
        <v>1470</v>
      </c>
      <c r="Z20" s="664"/>
      <c r="AA20" s="664" t="str">
        <f>IF(M20="","",M20)</f>
        <v>Территория действия тарифа</v>
      </c>
      <c r="AB20" s="664"/>
      <c r="AC20" s="664"/>
    </row>
    <row customHeight="1" ht="22.5">
      <c r="A21" s="1586" t="s">
        <v>179</v>
      </c>
      <c r="B21" s="1586" t="s">
        <v>180</v>
      </c>
      <c r="C21" s="1586" t="s">
        <v>181</v>
      </c>
      <c r="D21" s="1586" t="s">
        <v>182</v>
      </c>
      <c r="E21" s="1586"/>
      <c r="F21" s="1588"/>
      <c r="G21" s="1588"/>
      <c r="H21" s="1588"/>
      <c r="I21" s="502"/>
      <c r="J21" s="500"/>
      <c r="K21" s="501"/>
      <c r="L21" s="1510" t="str">
        <f>INDEX(PT_DIFFERENTIATION_NUM_CS,MATCH(C19,PT_DIFFERENTIATION_CS_ID,0))</f>
        <v>..</v>
      </c>
      <c r="M21" s="448" t="s">
        <v>1471</v>
      </c>
      <c r="N21" s="437"/>
      <c r="O21" s="4255" t="str">
        <f>INDEX(PT_DIFFERENTIATION_CS,MATCH(C19,PT_DIFFERENTIATION_CS_ID,0))</f>
        <v/>
      </c>
      <c r="P21" s="4255"/>
      <c r="Q21" s="4255"/>
      <c r="R21" s="4255"/>
      <c r="S21" s="4255"/>
      <c r="T21" s="4255"/>
      <c r="U21" s="4255"/>
      <c r="V21" s="4255"/>
      <c r="W21" s="4255"/>
      <c r="X21" s="1473" t="s">
        <v>1472</v>
      </c>
      <c r="Z21" s="664"/>
      <c r="AA21" s="664" t="str">
        <f>IF(M21="","",M21)</f>
        <v>Наименование системы теплоснабжения </v>
      </c>
      <c r="AB21" s="664"/>
      <c r="AC21" s="664"/>
    </row>
    <row customHeight="1" ht="21">
      <c r="A22" s="1586" t="s">
        <v>179</v>
      </c>
      <c r="B22" s="1586" t="s">
        <v>180</v>
      </c>
      <c r="C22" s="1586" t="s">
        <v>181</v>
      </c>
      <c r="D22" s="1586" t="s">
        <v>182</v>
      </c>
      <c r="E22" s="1586"/>
      <c r="F22" s="1588"/>
      <c r="G22" s="1588"/>
      <c r="H22" s="1588"/>
      <c r="I22" s="502"/>
      <c r="J22" s="500"/>
      <c r="K22" s="501"/>
      <c r="L22" s="1510" t="str">
        <f>INDEX(PT_DIFFERENTIATION_NUM_IST_TE,MATCH(D19,PT_DIFFERENTIATION_IST_TE_ID,0))</f>
        <v>...</v>
      </c>
      <c r="M22" s="449" t="s">
        <v>1473</v>
      </c>
      <c r="N22" s="437"/>
      <c r="O22" s="4255" t="str">
        <f>INDEX(PT_DIFFERENTIATION_IST_TE,MATCH(D19,PT_DIFFERENTIATION_IST_TE_ID,0))</f>
        <v/>
      </c>
      <c r="P22" s="4255"/>
      <c r="Q22" s="4255"/>
      <c r="R22" s="4255"/>
      <c r="S22" s="4255"/>
      <c r="T22" s="4255"/>
      <c r="U22" s="4255"/>
      <c r="V22" s="4255"/>
      <c r="W22" s="4255"/>
      <c r="X22" s="1473" t="s">
        <v>1474</v>
      </c>
      <c r="Z22" s="664"/>
      <c r="AA22" s="664" t="str">
        <f>IF(M22="","",M22)</f>
        <v>Источник тепловой энергии  </v>
      </c>
      <c r="AB22" s="664"/>
      <c r="AC22" s="664"/>
    </row>
    <row customHeight="1" ht="94.5">
      <c r="A23" s="1586" t="s">
        <v>179</v>
      </c>
      <c r="B23" s="1586" t="s">
        <v>180</v>
      </c>
      <c r="C23" s="1586" t="s">
        <v>181</v>
      </c>
      <c r="D23" s="1586" t="s">
        <v>182</v>
      </c>
      <c r="E23" s="1586"/>
      <c r="F23" s="2446" t="str">
        <f>L22&amp;".1"</f>
        <v>....1</v>
      </c>
      <c r="I23" s="2350">
        <v>1</v>
      </c>
      <c r="J23" s="1508"/>
      <c r="K23" s="504"/>
      <c r="L23" s="1510" t="str">
        <f>$F$23</f>
        <v>....1</v>
      </c>
      <c r="M23" s="422" t="s">
        <v>1476</v>
      </c>
      <c r="N23" s="437"/>
      <c r="O23" s="2447"/>
      <c r="P23" s="2447"/>
      <c r="Q23" s="2447"/>
      <c r="R23" s="2447"/>
      <c r="S23" s="2447"/>
      <c r="T23" s="2447"/>
      <c r="U23" s="2447"/>
      <c r="V23" s="2447"/>
      <c r="W23" s="2447"/>
      <c r="X23" s="1473" t="s">
        <v>1477</v>
      </c>
      <c r="Z23" s="664"/>
      <c r="AA23" s="664" t="str">
        <f>IF(M23="","",M23)</f>
        <v>Схема подключения теплопотребляющей установки к коллектору источника тепловой энергии</v>
      </c>
      <c r="AB23" s="664"/>
      <c r="AC23" s="664"/>
    </row>
    <row customHeight="1" ht="84">
      <c r="A24" s="1586" t="s">
        <v>179</v>
      </c>
      <c r="B24" s="1586" t="s">
        <v>180</v>
      </c>
      <c r="C24" s="1586" t="s">
        <v>181</v>
      </c>
      <c r="D24" s="1586" t="s">
        <v>182</v>
      </c>
      <c r="E24" s="1586"/>
      <c r="F24" s="2446"/>
      <c r="G24" s="2442" t="str">
        <f>F23&amp;".1"</f>
        <v>....1.1</v>
      </c>
      <c r="I24" s="2350"/>
      <c r="J24" s="2350">
        <v>1</v>
      </c>
      <c r="K24" s="505"/>
      <c r="L24" s="1510" t="str">
        <f>$G$24</f>
        <v>....1.1</v>
      </c>
      <c r="M24" s="423" t="s">
        <v>1479</v>
      </c>
      <c r="N24" s="437"/>
      <c r="O24" s="2448"/>
      <c r="P24" s="2449"/>
      <c r="Q24" s="2449"/>
      <c r="R24" s="2449"/>
      <c r="S24" s="2449"/>
      <c r="T24" s="2449"/>
      <c r="U24" s="2449"/>
      <c r="V24" s="2449"/>
      <c r="W24" s="2450"/>
      <c r="X24" s="1473" t="s">
        <v>1480</v>
      </c>
      <c r="Z24" s="664"/>
      <c r="AA24" s="664" t="str">
        <f>IF(M24="","",M24)</f>
        <v>Группа потребителей</v>
      </c>
      <c r="AB24" s="664"/>
      <c r="AC24" s="664"/>
    </row>
    <row customHeight="1" ht="11.25">
      <c r="A25" s="1586" t="s">
        <v>179</v>
      </c>
      <c r="B25" s="1586" t="s">
        <v>180</v>
      </c>
      <c r="C25" s="1586" t="s">
        <v>181</v>
      </c>
      <c r="D25" s="1586" t="s">
        <v>182</v>
      </c>
      <c r="E25" s="1586"/>
      <c r="F25" s="2446"/>
      <c r="G25" s="2442"/>
      <c r="H25" s="2442" t="str">
        <f>G24&amp;".1"</f>
        <v>....1.1.1</v>
      </c>
      <c r="I25" s="2350"/>
      <c r="J25" s="2350"/>
      <c r="K25" s="505">
        <v>1</v>
      </c>
      <c r="L25" s="1510" t="str">
        <f>$H$25</f>
        <v>....1.1.1</v>
      </c>
      <c r="M25" s="1474"/>
      <c r="N25" s="437"/>
      <c r="O25" s="3992"/>
      <c r="P25" s="3993"/>
      <c r="Q25" s="3992"/>
      <c r="R25" s="3994"/>
      <c r="S25" s="2443"/>
      <c r="T25" s="2069" t="s">
        <v>66</v>
      </c>
      <c r="U25" s="2443"/>
      <c r="V25" s="2069" t="s">
        <v>56</v>
      </c>
      <c r="W25" s="3993"/>
      <c r="X25" s="2346" t="s">
        <v>1482</v>
      </c>
      <c r="Y25" s="675">
        <f>STRCHECKDATE(O26:W26)</f>
      </c>
      <c r="Z25" s="664"/>
      <c r="AA25" s="664" t="str">
        <f>IF(M25="","",M25)</f>
        <v/>
      </c>
      <c r="AB25" s="664"/>
      <c r="AC25" s="664"/>
    </row>
    <row customHeight="1" ht="11.25">
      <c r="A26" s="1586" t="s">
        <v>179</v>
      </c>
      <c r="B26" s="1586" t="s">
        <v>180</v>
      </c>
      <c r="C26" s="1586" t="s">
        <v>181</v>
      </c>
      <c r="D26" s="1586" t="s">
        <v>182</v>
      </c>
      <c r="E26" s="1586"/>
      <c r="F26" s="2446"/>
      <c r="G26" s="2442"/>
      <c r="H26" s="2442"/>
      <c r="I26" s="2350"/>
      <c r="J26" s="2350"/>
      <c r="K26" s="505"/>
      <c r="L26" s="1511"/>
      <c r="M26" s="437"/>
      <c r="N26" s="437"/>
      <c r="O26" s="3993"/>
      <c r="P26" s="3993"/>
      <c r="Q26" s="3993"/>
      <c r="R26" s="3998" t="str">
        <f>S25&amp;"-"&amp;U25</f>
        <v>-</v>
      </c>
      <c r="S26" s="2358"/>
      <c r="T26" s="2069"/>
      <c r="U26" s="2358"/>
      <c r="V26" s="2069"/>
      <c r="W26" s="3993"/>
      <c r="X26" s="2347"/>
      <c r="Z26" s="664"/>
      <c r="AA26" s="664" t="str">
        <f>IF(M26="","",M26)</f>
        <v/>
      </c>
      <c r="AB26" s="664"/>
      <c r="AC26" s="664"/>
    </row>
    <row customHeight="1" ht="15">
      <c r="A27" s="1586" t="s">
        <v>179</v>
      </c>
      <c r="B27" s="1586" t="s">
        <v>180</v>
      </c>
      <c r="C27" s="1586" t="s">
        <v>181</v>
      </c>
      <c r="D27" s="1586" t="s">
        <v>182</v>
      </c>
      <c r="E27" s="1586"/>
      <c r="F27" s="2446"/>
      <c r="G27" s="2442"/>
      <c r="I27" s="2350"/>
      <c r="J27" s="2350"/>
      <c r="K27" s="504"/>
      <c r="L27" s="1495"/>
      <c r="M27" s="425" t="s">
        <v>1483</v>
      </c>
      <c r="N27" s="519"/>
      <c r="O27" s="519"/>
      <c r="P27" s="519"/>
      <c r="Q27" s="519"/>
      <c r="R27" s="519"/>
      <c r="S27" s="519"/>
      <c r="T27" s="519"/>
      <c r="U27" s="519"/>
      <c r="V27" s="519"/>
      <c r="W27" s="471"/>
      <c r="X27" s="2348"/>
      <c r="Z27" s="664"/>
      <c r="AA27" s="664" t="str">
        <f>IF(M27="","",M27)</f>
        <v>Добавить вид теплоносителя (параметры теплоносителя)</v>
      </c>
      <c r="AB27" s="664"/>
      <c r="AC27" s="664"/>
    </row>
    <row customHeight="1" ht="15">
      <c r="A28" s="1586" t="s">
        <v>179</v>
      </c>
      <c r="B28" s="1586" t="s">
        <v>180</v>
      </c>
      <c r="C28" s="1586" t="s">
        <v>181</v>
      </c>
      <c r="D28" s="1586" t="s">
        <v>182</v>
      </c>
      <c r="E28" s="1586"/>
      <c r="F28" s="2446"/>
      <c r="I28" s="2350"/>
      <c r="J28" s="1508"/>
      <c r="K28" s="504"/>
      <c r="L28" s="1495"/>
      <c r="M28" s="424" t="s">
        <v>1484</v>
      </c>
      <c r="N28" s="519"/>
      <c r="O28" s="519"/>
      <c r="P28" s="519"/>
      <c r="Q28" s="519"/>
      <c r="R28" s="519"/>
      <c r="S28" s="519"/>
      <c r="T28" s="519"/>
      <c r="U28" s="519"/>
      <c r="V28" s="518"/>
      <c r="W28" s="519"/>
      <c r="X28" s="440"/>
      <c r="Z28" s="664"/>
      <c r="AA28" s="664" t="str">
        <f>IF(M28="","",M28)</f>
        <v>Добавить группу потребителей</v>
      </c>
      <c r="AB28" s="664"/>
      <c r="AC28" s="664"/>
    </row>
    <row customHeight="1" ht="14.25">
      <c r="A29" s="1586" t="s">
        <v>179</v>
      </c>
      <c r="B29" s="1586" t="s">
        <v>180</v>
      </c>
      <c r="C29" s="1586" t="s">
        <v>181</v>
      </c>
      <c r="D29" s="1586" t="s">
        <v>182</v>
      </c>
      <c r="E29" s="1586"/>
      <c r="F29" s="1588"/>
      <c r="G29" s="1588"/>
      <c r="H29" s="701"/>
      <c r="I29" s="508"/>
      <c r="J29" s="528"/>
      <c r="K29" s="503"/>
      <c r="L29" s="1495"/>
      <c r="M29" s="516" t="s">
        <v>1485</v>
      </c>
      <c r="N29" s="519"/>
      <c r="O29" s="519"/>
      <c r="P29" s="519"/>
      <c r="Q29" s="519"/>
      <c r="R29" s="519"/>
      <c r="S29" s="519"/>
      <c r="T29" s="519"/>
      <c r="U29" s="519"/>
      <c r="V29" s="518"/>
      <c r="W29" s="519"/>
      <c r="X29" s="440"/>
      <c r="Z29" s="664"/>
      <c r="AA29" s="664" t="str">
        <f>IF(M29="","",M29)</f>
        <v>Добавить схему подключения</v>
      </c>
      <c r="AB29" s="664"/>
      <c r="AC29" s="664"/>
    </row>
    <row customHeight="1" ht="14.25">
      <c r="A30" s="1586" t="s">
        <v>179</v>
      </c>
      <c r="B30" s="1586" t="s">
        <v>180</v>
      </c>
      <c r="C30" s="1586" t="s">
        <v>181</v>
      </c>
      <c r="D30" s="1586"/>
      <c r="E30" s="1586" t="s">
        <v>1564</v>
      </c>
      <c r="F30" s="1588"/>
      <c r="G30" s="1588"/>
      <c r="H30" s="701"/>
      <c r="I30" s="508"/>
      <c r="J30" s="528"/>
      <c r="K30" s="503"/>
      <c r="L30" s="1496"/>
      <c r="M30" s="1485"/>
      <c r="N30" s="1486"/>
      <c r="O30" s="1486"/>
      <c r="P30" s="1486"/>
      <c r="Q30" s="1486"/>
      <c r="R30" s="1486"/>
      <c r="S30" s="1486"/>
      <c r="T30" s="1486"/>
      <c r="U30" s="1486"/>
      <c r="V30" s="1487"/>
      <c r="W30" s="1486"/>
      <c r="X30" s="1488"/>
      <c r="Z30" s="664"/>
      <c r="AA30" s="664" t="str">
        <f>IF(M30="","",M30)</f>
        <v/>
      </c>
      <c r="AB30" s="664"/>
      <c r="AC30" s="664"/>
    </row>
    <row customHeight="1" ht="14.25">
      <c r="A31" s="1586" t="s">
        <v>179</v>
      </c>
      <c r="B31" s="1586" t="s">
        <v>180</v>
      </c>
      <c r="C31" s="1586"/>
      <c r="D31" s="1586"/>
      <c r="E31" s="1586" t="s">
        <v>1565</v>
      </c>
      <c r="F31" s="1745"/>
      <c r="G31" s="1745"/>
      <c r="H31" s="701"/>
      <c r="I31" s="506"/>
      <c r="J31" s="528"/>
      <c r="K31" s="507"/>
      <c r="L31" s="1496"/>
      <c r="M31" s="1489"/>
      <c r="N31" s="1486"/>
      <c r="O31" s="1486"/>
      <c r="P31" s="1486"/>
      <c r="Q31" s="1486"/>
      <c r="R31" s="1486"/>
      <c r="S31" s="1486"/>
      <c r="T31" s="1486"/>
      <c r="U31" s="1486"/>
      <c r="V31" s="1487"/>
      <c r="W31" s="1486"/>
      <c r="X31" s="1488"/>
      <c r="Z31" s="664"/>
      <c r="AA31" s="664" t="str">
        <f>IF(M31="","",M31)</f>
        <v/>
      </c>
      <c r="AB31" s="664"/>
      <c r="AC31" s="664"/>
    </row>
    <row customHeight="1" ht="14.25">
      <c r="A32" s="1586" t="s">
        <v>1566</v>
      </c>
      <c r="B32" s="1586"/>
      <c r="C32" s="1586"/>
      <c r="D32" s="1586"/>
      <c r="E32" s="1586" t="s">
        <v>113</v>
      </c>
      <c r="F32" s="1745"/>
      <c r="G32" s="1745"/>
      <c r="H32" s="701"/>
      <c r="I32" s="508"/>
      <c r="J32" s="528"/>
      <c r="K32" s="503"/>
      <c r="L32" s="1496"/>
      <c r="M32" s="1490"/>
      <c r="N32" s="1486"/>
      <c r="O32" s="1486"/>
      <c r="P32" s="1486"/>
      <c r="Q32" s="1486"/>
      <c r="R32" s="1486"/>
      <c r="S32" s="1486"/>
      <c r="T32" s="1486"/>
      <c r="U32" s="1486"/>
      <c r="V32" s="1487"/>
      <c r="W32" s="1486"/>
      <c r="X32" s="1488"/>
      <c r="Z32" s="664"/>
      <c r="AA32" s="664" t="str">
        <f>IF(M32="","",M32)</f>
        <v/>
      </c>
      <c r="AB32" s="664"/>
      <c r="AC32" s="664"/>
    </row>
    <row s="6050" customFormat="1" customHeight="1" ht="11.25">
      <c r="A33" s="1586"/>
      <c r="B33" s="1586"/>
      <c r="C33" s="1586"/>
      <c r="D33" s="1586"/>
      <c r="E33" s="1586" t="s">
        <v>1447</v>
      </c>
      <c r="F33" s="1746"/>
      <c r="G33" s="1747"/>
      <c r="H33" s="701"/>
      <c r="L33" s="1497"/>
      <c r="M33" s="1491"/>
      <c r="N33" s="1486"/>
      <c r="O33" s="1486"/>
      <c r="P33" s="1486"/>
      <c r="Q33" s="1486"/>
      <c r="R33" s="1486"/>
      <c r="S33" s="1486"/>
      <c r="T33" s="1486"/>
      <c r="U33" s="1486"/>
      <c r="V33" s="1487"/>
      <c r="W33" s="1486"/>
      <c r="X33" s="1488"/>
      <c r="Y33" s="535"/>
      <c r="Z33" s="535"/>
      <c r="AA33" s="535"/>
      <c r="AB33" s="535"/>
      <c r="AC33" s="535"/>
    </row>
    <row customHeight="1" ht="11.25">
      <c r="F34" s="1348"/>
      <c r="G34" s="1348"/>
      <c r="H34" s="701"/>
      <c r="I34" s="1343"/>
      <c r="J34" s="1343"/>
      <c r="K34" s="1343"/>
      <c r="Y34" s="1343"/>
      <c r="Z34" s="1343"/>
      <c r="AA34" s="1343"/>
      <c r="AB34" s="1343"/>
      <c r="AC34" s="1343"/>
    </row>
    <row customHeight="1" ht="27">
      <c r="H35" s="701"/>
      <c r="L35" s="1505" t="s">
        <v>1517</v>
      </c>
      <c r="M35" s="2379" t="s">
        <v>1524</v>
      </c>
      <c r="N35" s="2379"/>
      <c r="O35" s="2379"/>
      <c r="P35" s="2379"/>
      <c r="Q35" s="2379"/>
      <c r="R35" s="2379"/>
      <c r="S35" s="2379"/>
      <c r="T35" s="2379"/>
      <c r="U35" s="2379"/>
      <c r="V35" s="2379"/>
      <c r="W35" s="2379"/>
      <c r="X35" s="2379"/>
    </row>
    <row customHeight="1" ht="104.25">
      <c r="H36" s="701"/>
      <c r="I36" s="1524"/>
      <c r="M36" s="2379" t="s">
        <v>1519</v>
      </c>
      <c r="N36" s="2379"/>
      <c r="O36" s="2379"/>
      <c r="P36" s="2379"/>
      <c r="Q36" s="2379"/>
      <c r="R36" s="2379"/>
      <c r="S36" s="2379"/>
      <c r="T36" s="2379"/>
      <c r="U36" s="2379"/>
      <c r="V36" s="2379"/>
      <c r="W36" s="2379"/>
      <c r="X36" s="2379"/>
    </row>
    <row customHeight="1" ht="14.25">
      <c r="H37" s="701"/>
    </row>
    <row customHeight="1" ht="14.25">
      <c r="H38" s="701"/>
    </row>
    <row customHeight="1" ht="14.25">
      <c r="H39" s="701"/>
    </row>
    <row customHeight="1" ht="14.25">
      <c r="H40" s="701"/>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985906-71ED-7FE6-CAD5-A31A41137146}"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6104" width="11.57421875" customWidth="1"/>
    <col min="2" max="2" style="6104" width="10.7109375" customWidth="1"/>
    <col min="3" max="3" style="6104" width="10.00390625" customWidth="1"/>
    <col min="4" max="4" style="6104" width="12.8515625" customWidth="1"/>
    <col min="5" max="5" style="6104" width="12.28125" customWidth="1"/>
    <col min="6" max="8" style="6802" width="12.28125" customWidth="1"/>
    <col min="9" max="9" style="6802" width="3.7109375" customWidth="1"/>
    <col min="10" max="11" style="6619" width="3.7109375" customWidth="1"/>
    <col min="12" max="12" style="6620" width="12.7109375" customWidth="1"/>
    <col min="13" max="13" style="6104" width="32.00390625" customWidth="1"/>
    <col min="14" max="14" style="6104" width="1.7109375" customWidth="1"/>
    <col min="15" max="18" style="6104" width="24.7109375" customWidth="1"/>
    <col min="19" max="19" style="6104" width="11.7109375" customWidth="1"/>
    <col min="20" max="20" style="6104" width="3.7109375" customWidth="1"/>
    <col min="21" max="21" style="6104" width="11.7109375" customWidth="1"/>
    <col min="22" max="22" style="6104" width="8.57421875" customWidth="1"/>
    <col min="23" max="23" style="6104" width="4.7109375" customWidth="1"/>
    <col min="24" max="24" style="6104" width="115.7109375" customWidth="1"/>
    <col min="25" max="26" style="6608" width="10.57421875"/>
    <col min="27" max="27" style="6608" width="11.140625" customWidth="1"/>
    <col min="28" max="29" style="6608" width="10.57421875"/>
  </cols>
  <sheetData>
    <row customHeight="1" ht="14.25" hidden="1">
      <c r="R1" s="475"/>
      <c r="S1" s="475"/>
    </row>
    <row customHeight="1" ht="14.25" hidden="1">
      <c r="V2" s="475"/>
    </row>
    <row customHeight="1" ht="14.25" hidden="1"/>
    <row customHeight="1" ht="14.25">
      <c r="J4" s="529"/>
      <c r="K4" s="529"/>
      <c r="L4" s="1492"/>
      <c r="M4" s="513"/>
      <c r="N4" s="513"/>
      <c r="O4" s="673"/>
      <c r="P4" s="673"/>
      <c r="Q4" s="673"/>
      <c r="R4" s="673"/>
      <c r="S4" s="673"/>
      <c r="T4" s="673"/>
      <c r="U4" s="673"/>
      <c r="V4" s="673"/>
    </row>
    <row customHeight="1" ht="64.5">
      <c r="J5" s="529"/>
      <c r="K5" s="529"/>
      <c r="L5" s="2341" t="s">
        <v>423</v>
      </c>
      <c r="M5" s="2341"/>
      <c r="N5" s="2341"/>
      <c r="O5" s="2341"/>
      <c r="P5" s="2341"/>
      <c r="Q5" s="2341"/>
      <c r="R5" s="2341"/>
      <c r="S5" s="2341"/>
      <c r="T5" s="2341"/>
      <c r="U5" s="2341"/>
      <c r="V5" s="1448"/>
    </row>
    <row customHeight="1" ht="14.25">
      <c r="J6" s="529"/>
      <c r="K6" s="529"/>
      <c r="L6"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342"/>
      <c r="N6" s="2342"/>
      <c r="O6" s="2342"/>
      <c r="P6" s="2342"/>
      <c r="Q6" s="2342"/>
      <c r="R6" s="2342"/>
      <c r="S6" s="2342"/>
      <c r="T6" s="2342"/>
      <c r="U6" s="2342"/>
      <c r="V6" s="1448"/>
    </row>
    <row customHeight="1" ht="14.25">
      <c r="J7" s="529"/>
      <c r="K7" s="529"/>
      <c r="L7" s="1492"/>
      <c r="M7" s="513"/>
      <c r="N7" s="513"/>
      <c r="O7" s="468"/>
      <c r="P7" s="468"/>
      <c r="Q7" s="468"/>
      <c r="R7" s="468"/>
      <c r="S7" s="468"/>
      <c r="T7" s="468"/>
      <c r="U7" s="468"/>
      <c r="V7" s="468"/>
      <c r="W7" s="673"/>
    </row>
    <row s="6550" customFormat="1" customHeight="1" ht="45">
      <c r="F8" s="1454"/>
      <c r="G8" s="1454"/>
      <c r="H8" s="1454"/>
      <c r="L8" s="1493"/>
      <c r="M8" s="432" t="s">
        <v>39</v>
      </c>
      <c r="N8" s="441"/>
      <c r="O8" s="2344" t="str">
        <f>IF(TITLE_NAME_OR_PR_CHANGE="",IF(TITLE_NAME_OR_PR="","",TITLE_NAME_OR_PR),TITLE_NAME_OR_PR_CHANGE)</f>
        <v/>
      </c>
      <c r="P8" s="2344"/>
      <c r="Q8" s="2344"/>
      <c r="R8" s="2344"/>
      <c r="S8" s="2344"/>
      <c r="T8" s="2344"/>
      <c r="U8" s="2344"/>
      <c r="V8" s="474"/>
      <c r="W8" s="474"/>
      <c r="X8" s="417"/>
      <c r="Y8" s="520"/>
      <c r="Z8" s="520"/>
      <c r="AA8" s="520"/>
      <c r="AB8" s="520"/>
      <c r="AC8" s="520"/>
    </row>
    <row s="6550" customFormat="1" customHeight="1" ht="22.5">
      <c r="F9" s="1454"/>
      <c r="G9" s="1454"/>
      <c r="H9" s="1454"/>
      <c r="L9" s="1493"/>
      <c r="M9" s="432" t="s">
        <v>1492</v>
      </c>
      <c r="N9" s="441"/>
      <c r="O9" s="2344" t="str">
        <f>IF(TITLE_DATE_CHANGE_PERIOD="",IF(TITLE_DATE_PR="","",TITLE_DATE_PR),TITLE_DATE_CHANGE_PERIOD)</f>
        <v/>
      </c>
      <c r="P9" s="2344"/>
      <c r="Q9" s="2344"/>
      <c r="R9" s="2344"/>
      <c r="S9" s="2344"/>
      <c r="T9" s="2344"/>
      <c r="U9" s="2344"/>
      <c r="V9" s="474"/>
      <c r="W9" s="474"/>
      <c r="X9" s="417"/>
      <c r="Y9" s="520"/>
      <c r="Z9" s="520"/>
      <c r="AA9" s="520"/>
      <c r="AB9" s="520"/>
      <c r="AC9" s="520"/>
    </row>
    <row s="6550" customFormat="1" customHeight="1" ht="22.5">
      <c r="F10" s="1454"/>
      <c r="G10" s="1454"/>
      <c r="H10" s="1454"/>
      <c r="L10" s="1456"/>
      <c r="M10" s="432" t="s">
        <v>1493</v>
      </c>
      <c r="N10" s="441"/>
      <c r="O10" s="2344" t="str">
        <f>IF(TITLE_NUMBER_PR_CHANGE="",IF(TITLE_NUMBER_PR="","",TITLE_NUMBER_PR),TITLE_NUMBER_PR_CHANGE)</f>
        <v/>
      </c>
      <c r="P10" s="2344"/>
      <c r="Q10" s="2344"/>
      <c r="R10" s="2344"/>
      <c r="S10" s="2344"/>
      <c r="T10" s="2344"/>
      <c r="U10" s="2344"/>
      <c r="V10" s="474"/>
      <c r="W10" s="474"/>
      <c r="X10" s="417"/>
      <c r="Y10" s="520"/>
      <c r="Z10" s="520"/>
      <c r="AA10" s="520"/>
      <c r="AB10" s="520"/>
      <c r="AC10" s="520"/>
    </row>
    <row s="6550" customFormat="1" customHeight="1" ht="22.5">
      <c r="F11" s="1454"/>
      <c r="G11" s="1454"/>
      <c r="H11" s="1454"/>
      <c r="L11" s="1456"/>
      <c r="M11" s="432" t="s">
        <v>40</v>
      </c>
      <c r="N11" s="441"/>
      <c r="O11" s="2344" t="str">
        <f>IF(TITLE_IST_PUB_CHANGE="",IF(TITLE_IST_PUB="","",TITLE_IST_PUB),TITLE_IST_PUB_CHANGE)</f>
        <v/>
      </c>
      <c r="P11" s="2344"/>
      <c r="Q11" s="2344"/>
      <c r="R11" s="2344"/>
      <c r="S11" s="2344"/>
      <c r="T11" s="2344"/>
      <c r="U11" s="2344"/>
      <c r="V11" s="474"/>
      <c r="W11" s="474"/>
      <c r="X11" s="417"/>
      <c r="Y11" s="520"/>
      <c r="Z11" s="520"/>
      <c r="AA11" s="520"/>
      <c r="AB11" s="520"/>
      <c r="AC11" s="520"/>
    </row>
    <row s="6550" customFormat="1" customHeight="1" ht="11.25" hidden="1">
      <c r="F12" s="1454"/>
      <c r="G12" s="1454"/>
      <c r="H12" s="1454"/>
      <c r="L12" s="2444"/>
      <c r="M12" s="2444"/>
      <c r="N12" s="1504"/>
      <c r="O12" s="474"/>
      <c r="P12" s="474"/>
      <c r="Q12" s="474"/>
      <c r="R12" s="474"/>
      <c r="S12" s="474"/>
      <c r="T12" s="474"/>
      <c r="U12" s="474"/>
      <c r="V12" s="415" t="s">
        <v>1496</v>
      </c>
      <c r="Y12" s="520"/>
      <c r="Z12" s="520"/>
      <c r="AA12" s="520"/>
      <c r="AB12" s="520"/>
      <c r="AC12" s="520"/>
    </row>
    <row customHeight="1" ht="14.25">
      <c r="J13" s="529"/>
      <c r="K13" s="529"/>
      <c r="L13" s="1492"/>
      <c r="M13" s="513"/>
      <c r="N13" s="1449"/>
      <c r="O13" s="2345"/>
      <c r="P13" s="2345"/>
      <c r="Q13" s="2345"/>
      <c r="R13" s="2345"/>
      <c r="S13" s="2345"/>
      <c r="T13" s="2345"/>
      <c r="U13" s="2345"/>
      <c r="V13" s="2345"/>
    </row>
    <row customHeight="1" ht="14.25">
      <c r="J14" s="529"/>
      <c r="K14" s="529"/>
      <c r="L14" s="2204" t="s">
        <v>300</v>
      </c>
      <c r="M14" s="2204"/>
      <c r="N14" s="2204"/>
      <c r="O14" s="2204"/>
      <c r="P14" s="2204"/>
      <c r="Q14" s="2204"/>
      <c r="R14" s="2204"/>
      <c r="S14" s="2204"/>
      <c r="T14" s="2204"/>
      <c r="U14" s="2204"/>
      <c r="V14" s="2204"/>
      <c r="W14" s="2204"/>
      <c r="X14" s="2204" t="s">
        <v>301</v>
      </c>
    </row>
    <row customHeight="1" ht="14.25">
      <c r="J15" s="529"/>
      <c r="K15" s="529"/>
      <c r="L15" s="2367" t="s">
        <v>87</v>
      </c>
      <c r="M15" s="2228" t="s">
        <v>1497</v>
      </c>
      <c r="N15" s="438"/>
      <c r="O15" s="2368" t="s">
        <v>1562</v>
      </c>
      <c r="P15" s="2369"/>
      <c r="Q15" s="2369"/>
      <c r="R15" s="2369"/>
      <c r="S15" s="2369"/>
      <c r="T15" s="2369"/>
      <c r="U15" s="2370"/>
      <c r="V15" s="2371" t="s">
        <v>1499</v>
      </c>
      <c r="W15" s="2374" t="s">
        <v>1563</v>
      </c>
      <c r="X15" s="2204"/>
    </row>
    <row customHeight="1" ht="33.75">
      <c r="J16" s="529"/>
      <c r="K16" s="529"/>
      <c r="L16" s="2367"/>
      <c r="M16" s="2228"/>
      <c r="N16" s="1216"/>
      <c r="O16" s="2353" t="s">
        <v>1502</v>
      </c>
      <c r="P16" s="2353" t="s">
        <v>1503</v>
      </c>
      <c r="Q16" s="2355" t="s">
        <v>1504</v>
      </c>
      <c r="R16" s="2356"/>
      <c r="S16" s="2361" t="s">
        <v>1523</v>
      </c>
      <c r="T16" s="2362"/>
      <c r="U16" s="2363"/>
      <c r="V16" s="2372"/>
      <c r="W16" s="2375"/>
      <c r="X16" s="2204"/>
    </row>
    <row customHeight="1" ht="33.75">
      <c r="A17" s="1475" t="s">
        <v>143</v>
      </c>
      <c r="B17" s="1475" t="s">
        <v>144</v>
      </c>
      <c r="C17" s="1475" t="s">
        <v>145</v>
      </c>
      <c r="D17" s="1475" t="s">
        <v>146</v>
      </c>
      <c r="E17" s="1475"/>
      <c r="J17" s="529"/>
      <c r="K17" s="529"/>
      <c r="L17" s="2367"/>
      <c r="M17" s="2228"/>
      <c r="N17" s="439"/>
      <c r="O17" s="2354"/>
      <c r="P17" s="2354"/>
      <c r="Q17" s="1424" t="s">
        <v>1513</v>
      </c>
      <c r="R17" s="1424" t="s">
        <v>1514</v>
      </c>
      <c r="S17" s="1509" t="s">
        <v>1515</v>
      </c>
      <c r="T17" s="2364" t="s">
        <v>1516</v>
      </c>
      <c r="U17" s="2365"/>
      <c r="V17" s="2373"/>
      <c r="W17" s="2376"/>
      <c r="X17" s="2204"/>
    </row>
    <row s="5794" customFormat="1" customHeight="1" ht="11.25">
      <c r="A18" s="1475"/>
      <c r="B18" s="1475"/>
      <c r="C18" s="1475"/>
      <c r="D18" s="1475"/>
      <c r="E18" s="1475"/>
      <c r="F18" s="1503"/>
      <c r="G18" s="1503"/>
      <c r="H18" s="1503"/>
      <c r="I18" s="1451"/>
      <c r="J18" s="1452"/>
      <c r="K18" s="1467">
        <v>1</v>
      </c>
      <c r="L18" s="1494" t="s">
        <v>118</v>
      </c>
      <c r="M18" s="1468" t="s">
        <v>102</v>
      </c>
      <c r="N18" s="1450" t="str">
        <f>OFFSET(N18,0,-1)</f>
        <v>2</v>
      </c>
      <c r="O18" s="1506">
        <f>OFFSET(O18,0,-1)+1</f>
        <v>3</v>
      </c>
      <c r="P18" s="1506"/>
      <c r="Q18" s="1506">
        <f>OFFSET(Q18,0,-1)+1</f>
        <v>1</v>
      </c>
      <c r="R18" s="1506">
        <f>OFFSET(R18,0,-1)+1</f>
        <v>2</v>
      </c>
      <c r="S18" s="1506">
        <f>OFFSET(S18,0,-1)+1</f>
        <v>3</v>
      </c>
      <c r="T18" s="2366">
        <f>OFFSET(T18,0,-1)+1</f>
        <v>4</v>
      </c>
      <c r="U18" s="2366"/>
      <c r="V18" s="1506">
        <f>OFFSET(V18,0,-2)+1</f>
        <v>5</v>
      </c>
      <c r="W18" s="1450">
        <f>OFFSET(W18,0,-1)</f>
        <v>5</v>
      </c>
      <c r="X18" s="1506">
        <f>OFFSET(X18,0,-1)+1</f>
        <v>6</v>
      </c>
      <c r="Y18" s="675"/>
      <c r="Z18" s="675"/>
      <c r="AA18" s="675"/>
      <c r="AB18" s="675"/>
      <c r="AC18" s="675"/>
    </row>
    <row customHeight="1" ht="21">
      <c r="A19" s="1483" t="s">
        <v>1567</v>
      </c>
      <c r="B19" s="1483" t="s">
        <v>1568</v>
      </c>
      <c r="C19" s="1483" t="s">
        <v>1569</v>
      </c>
      <c r="D19" s="1483" t="s">
        <v>1570</v>
      </c>
      <c r="E19" s="1483"/>
      <c r="F19" s="852"/>
      <c r="G19" s="852"/>
      <c r="H19" s="852"/>
      <c r="I19" s="509"/>
      <c r="J19" s="508"/>
      <c r="K19" s="503"/>
      <c r="L19" s="1510">
        <f>INDEX(PT_DIFFERENTIATION_NUM_NTAR,MATCH(A19,PT_DIFFERENTIATION_NTAR_ID,0))</f>
      </c>
      <c r="M19" s="435" t="s">
        <v>132</v>
      </c>
      <c r="N19" s="437"/>
      <c r="O19" s="4255">
        <f>INDEX(PT_DIFFERENTIATION_NTAR,MATCH(A19,PT_DIFFERENTIATION_NTAR_ID,0))</f>
      </c>
      <c r="P19" s="4255"/>
      <c r="Q19" s="4255"/>
      <c r="R19" s="4255"/>
      <c r="S19" s="4255"/>
      <c r="T19" s="4255"/>
      <c r="U19" s="4255"/>
      <c r="V19" s="4255"/>
      <c r="W19" s="4255"/>
      <c r="X19" s="1473" t="s">
        <v>1468</v>
      </c>
      <c r="Z19" s="664"/>
      <c r="AA19" s="664" t="str">
        <f>IF(M19="","",M19)</f>
        <v>Наименование тарифа</v>
      </c>
      <c r="AB19" s="664"/>
      <c r="AC19" s="664"/>
    </row>
    <row customHeight="1" ht="21">
      <c r="A20" s="1483" t="s">
        <v>1567</v>
      </c>
      <c r="B20" s="1483" t="s">
        <v>1568</v>
      </c>
      <c r="C20" s="1483" t="s">
        <v>1569</v>
      </c>
      <c r="D20" s="1483" t="s">
        <v>1570</v>
      </c>
      <c r="E20" s="1483"/>
      <c r="F20" s="852"/>
      <c r="G20" s="852"/>
      <c r="H20" s="852"/>
      <c r="I20" s="1507"/>
      <c r="J20" s="500"/>
      <c r="K20" s="501"/>
      <c r="L20" s="1510">
        <f>INDEX(PT_DIFFERENTIATION_NUM_TER,MATCH(B19,PT_DIFFERENTIATION_TER_ID,0))</f>
      </c>
      <c r="M20" s="447" t="s">
        <v>1469</v>
      </c>
      <c r="N20" s="437"/>
      <c r="O20" s="4255">
        <f>INDEX(PT_DIFFERENTIATION_TER,MATCH(B19,PT_DIFFERENTIATION_TER_ID,0))</f>
      </c>
      <c r="P20" s="4255"/>
      <c r="Q20" s="4255"/>
      <c r="R20" s="4255"/>
      <c r="S20" s="4255"/>
      <c r="T20" s="4255"/>
      <c r="U20" s="4255"/>
      <c r="V20" s="4255"/>
      <c r="W20" s="4255"/>
      <c r="X20" s="1473" t="s">
        <v>1470</v>
      </c>
      <c r="Z20" s="664"/>
      <c r="AA20" s="664" t="str">
        <f>IF(M20="","",M20)</f>
        <v>Территория действия тарифа</v>
      </c>
      <c r="AB20" s="664"/>
      <c r="AC20" s="664"/>
    </row>
    <row customHeight="1" ht="22.5">
      <c r="A21" s="1483" t="s">
        <v>1567</v>
      </c>
      <c r="B21" s="1483" t="s">
        <v>1568</v>
      </c>
      <c r="C21" s="1483" t="s">
        <v>1569</v>
      </c>
      <c r="D21" s="1483" t="s">
        <v>1570</v>
      </c>
      <c r="E21" s="1483"/>
      <c r="F21" s="852"/>
      <c r="G21" s="852"/>
      <c r="H21" s="852"/>
      <c r="I21" s="502"/>
      <c r="J21" s="500"/>
      <c r="K21" s="501"/>
      <c r="L21" s="1510">
        <f>INDEX(PT_DIFFERENTIATION_NUM_CS,MATCH(C19,PT_DIFFERENTIATION_CS_ID,0))</f>
      </c>
      <c r="M21" s="448" t="s">
        <v>1471</v>
      </c>
      <c r="N21" s="437"/>
      <c r="O21" s="4255">
        <f>INDEX(PT_DIFFERENTIATION_CS,MATCH(C19,PT_DIFFERENTIATION_CS_ID,0))</f>
      </c>
      <c r="P21" s="4255"/>
      <c r="Q21" s="4255"/>
      <c r="R21" s="4255"/>
      <c r="S21" s="4255"/>
      <c r="T21" s="4255"/>
      <c r="U21" s="4255"/>
      <c r="V21" s="4255"/>
      <c r="W21" s="4255"/>
      <c r="X21" s="1473" t="s">
        <v>1472</v>
      </c>
      <c r="Z21" s="664"/>
      <c r="AA21" s="664" t="str">
        <f>IF(M21="","",M21)</f>
        <v>Наименование системы теплоснабжения </v>
      </c>
      <c r="AB21" s="664"/>
      <c r="AC21" s="664"/>
    </row>
    <row customHeight="1" ht="21">
      <c r="A22" s="1483" t="s">
        <v>1567</v>
      </c>
      <c r="B22" s="1483" t="s">
        <v>1568</v>
      </c>
      <c r="C22" s="1483" t="s">
        <v>1569</v>
      </c>
      <c r="D22" s="1483" t="s">
        <v>1570</v>
      </c>
      <c r="E22" s="1483"/>
      <c r="F22" s="852"/>
      <c r="G22" s="852"/>
      <c r="H22" s="852"/>
      <c r="I22" s="502"/>
      <c r="J22" s="500"/>
      <c r="K22" s="501"/>
      <c r="L22" s="1510">
        <f>INDEX(PT_DIFFERENTIATION_NUM_IST_TE,MATCH(D19,PT_DIFFERENTIATION_IST_TE_ID,0))</f>
      </c>
      <c r="M22" s="449" t="s">
        <v>1473</v>
      </c>
      <c r="N22" s="437"/>
      <c r="O22" s="4255">
        <f>INDEX(PT_DIFFERENTIATION_IST_TE,MATCH(D19,PT_DIFFERENTIATION_IST_TE_ID,0))</f>
      </c>
      <c r="P22" s="4255"/>
      <c r="Q22" s="4255"/>
      <c r="R22" s="4255"/>
      <c r="S22" s="4255"/>
      <c r="T22" s="4255"/>
      <c r="U22" s="4255"/>
      <c r="V22" s="4255"/>
      <c r="W22" s="4255"/>
      <c r="X22" s="1473" t="s">
        <v>1474</v>
      </c>
      <c r="Z22" s="664"/>
      <c r="AA22" s="664" t="str">
        <f>IF(M22="","",M22)</f>
        <v>Источник тепловой энергии  </v>
      </c>
      <c r="AB22" s="664"/>
      <c r="AC22" s="664"/>
    </row>
    <row customHeight="1" ht="94.5">
      <c r="A23" s="1483" t="s">
        <v>1567</v>
      </c>
      <c r="B23" s="1483" t="s">
        <v>1568</v>
      </c>
      <c r="C23" s="1483" t="s">
        <v>1569</v>
      </c>
      <c r="D23" s="1483" t="s">
        <v>1570</v>
      </c>
      <c r="E23" s="1483"/>
      <c r="F23" s="2451">
        <f>L22&amp;".1"</f>
      </c>
      <c r="I23" s="2350">
        <v>1</v>
      </c>
      <c r="J23" s="1508"/>
      <c r="K23" s="504"/>
      <c r="L23" s="1510">
        <f>$F$23</f>
      </c>
      <c r="M23" s="422" t="s">
        <v>1476</v>
      </c>
      <c r="N23" s="437"/>
      <c r="O23" s="2447"/>
      <c r="P23" s="2447"/>
      <c r="Q23" s="2447"/>
      <c r="R23" s="2447"/>
      <c r="S23" s="2447"/>
      <c r="T23" s="2447"/>
      <c r="U23" s="2447"/>
      <c r="V23" s="2447"/>
      <c r="W23" s="2447"/>
      <c r="X23" s="1473" t="s">
        <v>1477</v>
      </c>
      <c r="Z23" s="664"/>
      <c r="AA23" s="664" t="str">
        <f>IF(M23="","",M23)</f>
        <v>Схема подключения теплопотребляющей установки к коллектору источника тепловой энергии</v>
      </c>
      <c r="AB23" s="664"/>
      <c r="AC23" s="664"/>
    </row>
    <row customHeight="1" ht="84">
      <c r="A24" s="1483" t="s">
        <v>1567</v>
      </c>
      <c r="B24" s="1483" t="s">
        <v>1568</v>
      </c>
      <c r="C24" s="1483" t="s">
        <v>1569</v>
      </c>
      <c r="D24" s="1483" t="s">
        <v>1570</v>
      </c>
      <c r="E24" s="1483"/>
      <c r="F24" s="2451"/>
      <c r="G24" s="2452">
        <f>F23&amp;".1"</f>
      </c>
      <c r="I24" s="2350"/>
      <c r="J24" s="2350">
        <v>1</v>
      </c>
      <c r="K24" s="505"/>
      <c r="L24" s="1510">
        <f>$G$24</f>
      </c>
      <c r="M24" s="423" t="s">
        <v>1479</v>
      </c>
      <c r="N24" s="437"/>
      <c r="O24" s="2448"/>
      <c r="P24" s="2449"/>
      <c r="Q24" s="2449"/>
      <c r="R24" s="2449"/>
      <c r="S24" s="2449"/>
      <c r="T24" s="2449"/>
      <c r="U24" s="2449"/>
      <c r="V24" s="2449"/>
      <c r="W24" s="2450"/>
      <c r="X24" s="1473" t="s">
        <v>1480</v>
      </c>
      <c r="Z24" s="664"/>
      <c r="AA24" s="664" t="str">
        <f>IF(M24="","",M24)</f>
        <v>Группа потребителей</v>
      </c>
      <c r="AB24" s="664"/>
      <c r="AC24" s="664"/>
    </row>
    <row customHeight="1" ht="11.25">
      <c r="A25" s="1483" t="s">
        <v>1567</v>
      </c>
      <c r="B25" s="1483" t="s">
        <v>1568</v>
      </c>
      <c r="C25" s="1483" t="s">
        <v>1569</v>
      </c>
      <c r="D25" s="1483" t="s">
        <v>1570</v>
      </c>
      <c r="E25" s="1483"/>
      <c r="F25" s="2451"/>
      <c r="G25" s="2452"/>
      <c r="H25" s="2452">
        <f>G24&amp;".1"</f>
      </c>
      <c r="I25" s="2350"/>
      <c r="J25" s="2350"/>
      <c r="K25" s="505">
        <v>1</v>
      </c>
      <c r="L25" s="1510">
        <f>$H$25</f>
      </c>
      <c r="M25" s="1474"/>
      <c r="N25" s="437"/>
      <c r="O25" s="3992"/>
      <c r="P25" s="3993"/>
      <c r="Q25" s="3992"/>
      <c r="R25" s="3994"/>
      <c r="S25" s="2443"/>
      <c r="T25" s="2069" t="s">
        <v>66</v>
      </c>
      <c r="U25" s="2443"/>
      <c r="V25" s="2069" t="s">
        <v>56</v>
      </c>
      <c r="W25" s="3993"/>
      <c r="X25" s="2346" t="s">
        <v>1482</v>
      </c>
      <c r="Y25" s="675">
        <f>STRCHECKDATE(O26:W26)</f>
      </c>
      <c r="Z25" s="664"/>
      <c r="AA25" s="664" t="str">
        <f>IF(M25="","",M25)</f>
        <v/>
      </c>
      <c r="AB25" s="664"/>
      <c r="AC25" s="664"/>
    </row>
    <row customHeight="1" ht="11.25">
      <c r="A26" s="1483" t="s">
        <v>1567</v>
      </c>
      <c r="B26" s="1483" t="s">
        <v>1568</v>
      </c>
      <c r="C26" s="1483" t="s">
        <v>1569</v>
      </c>
      <c r="D26" s="1483" t="s">
        <v>1570</v>
      </c>
      <c r="E26" s="1483"/>
      <c r="F26" s="2451"/>
      <c r="G26" s="2452"/>
      <c r="H26" s="2452"/>
      <c r="I26" s="2350"/>
      <c r="J26" s="2350"/>
      <c r="K26" s="505"/>
      <c r="L26" s="1511"/>
      <c r="M26" s="437"/>
      <c r="N26" s="437"/>
      <c r="O26" s="3993"/>
      <c r="P26" s="3993"/>
      <c r="Q26" s="3993"/>
      <c r="R26" s="3998" t="str">
        <f>S25&amp;"-"&amp;U25</f>
        <v>-</v>
      </c>
      <c r="S26" s="2358"/>
      <c r="T26" s="2069"/>
      <c r="U26" s="2358"/>
      <c r="V26" s="2069"/>
      <c r="W26" s="3993"/>
      <c r="X26" s="2347"/>
      <c r="Z26" s="664"/>
      <c r="AA26" s="664" t="str">
        <f>IF(M26="","",M26)</f>
        <v/>
      </c>
      <c r="AB26" s="664"/>
      <c r="AC26" s="664"/>
    </row>
    <row customHeight="1" ht="15">
      <c r="A27" s="1483" t="s">
        <v>1567</v>
      </c>
      <c r="B27" s="1483" t="s">
        <v>1568</v>
      </c>
      <c r="C27" s="1483" t="s">
        <v>1569</v>
      </c>
      <c r="D27" s="1483" t="s">
        <v>1570</v>
      </c>
      <c r="E27" s="1483"/>
      <c r="F27" s="2451"/>
      <c r="G27" s="2452"/>
      <c r="I27" s="2350"/>
      <c r="J27" s="2350"/>
      <c r="K27" s="504"/>
      <c r="L27" s="1495"/>
      <c r="M27" s="425" t="s">
        <v>1483</v>
      </c>
      <c r="N27" s="519"/>
      <c r="O27" s="519"/>
      <c r="P27" s="519"/>
      <c r="Q27" s="519"/>
      <c r="R27" s="519"/>
      <c r="S27" s="519"/>
      <c r="T27" s="519"/>
      <c r="U27" s="519"/>
      <c r="V27" s="519"/>
      <c r="W27" s="471"/>
      <c r="X27" s="2348"/>
      <c r="Z27" s="664"/>
      <c r="AA27" s="664" t="str">
        <f>IF(M27="","",M27)</f>
        <v>Добавить вид теплоносителя (параметры теплоносителя)</v>
      </c>
      <c r="AB27" s="664"/>
      <c r="AC27" s="664"/>
    </row>
    <row customHeight="1" ht="15">
      <c r="A28" s="1483" t="s">
        <v>1567</v>
      </c>
      <c r="B28" s="1483" t="s">
        <v>1568</v>
      </c>
      <c r="C28" s="1483" t="s">
        <v>1569</v>
      </c>
      <c r="D28" s="1483" t="s">
        <v>1570</v>
      </c>
      <c r="E28" s="1483"/>
      <c r="F28" s="2451"/>
      <c r="I28" s="2350"/>
      <c r="J28" s="1508"/>
      <c r="K28" s="504"/>
      <c r="L28" s="1495"/>
      <c r="M28" s="424" t="s">
        <v>1484</v>
      </c>
      <c r="N28" s="519"/>
      <c r="O28" s="519"/>
      <c r="P28" s="519"/>
      <c r="Q28" s="519"/>
      <c r="R28" s="519"/>
      <c r="S28" s="519"/>
      <c r="T28" s="519"/>
      <c r="U28" s="519"/>
      <c r="V28" s="518"/>
      <c r="W28" s="519"/>
      <c r="X28" s="440"/>
      <c r="Z28" s="664"/>
      <c r="AA28" s="664" t="str">
        <f>IF(M28="","",M28)</f>
        <v>Добавить группу потребителей</v>
      </c>
      <c r="AB28" s="664"/>
      <c r="AC28" s="664"/>
    </row>
    <row customHeight="1" ht="14.25">
      <c r="A29" s="1483" t="s">
        <v>1567</v>
      </c>
      <c r="B29" s="1483" t="s">
        <v>1568</v>
      </c>
      <c r="C29" s="1483" t="s">
        <v>1569</v>
      </c>
      <c r="D29" s="1483" t="s">
        <v>1570</v>
      </c>
      <c r="E29" s="1483"/>
      <c r="F29" s="852"/>
      <c r="G29" s="852"/>
      <c r="H29" s="673"/>
      <c r="I29" s="508"/>
      <c r="J29" s="528"/>
      <c r="K29" s="503"/>
      <c r="L29" s="1495"/>
      <c r="M29" s="516" t="s">
        <v>1485</v>
      </c>
      <c r="N29" s="519"/>
      <c r="O29" s="519"/>
      <c r="P29" s="519"/>
      <c r="Q29" s="519"/>
      <c r="R29" s="519"/>
      <c r="S29" s="519"/>
      <c r="T29" s="519"/>
      <c r="U29" s="519"/>
      <c r="V29" s="518"/>
      <c r="W29" s="519"/>
      <c r="X29" s="440"/>
      <c r="Z29" s="664"/>
      <c r="AA29" s="664" t="str">
        <f>IF(M29="","",M29)</f>
        <v>Добавить схему подключения</v>
      </c>
      <c r="AB29" s="664"/>
      <c r="AC29" s="664"/>
    </row>
    <row customHeight="1" ht="14.25">
      <c r="A30" s="1483" t="s">
        <v>1567</v>
      </c>
      <c r="B30" s="1483" t="s">
        <v>1568</v>
      </c>
      <c r="C30" s="1483" t="s">
        <v>1569</v>
      </c>
      <c r="D30" s="1483"/>
      <c r="E30" s="1483" t="s">
        <v>1564</v>
      </c>
      <c r="F30" s="852"/>
      <c r="G30" s="852"/>
      <c r="H30" s="673"/>
      <c r="I30" s="508"/>
      <c r="J30" s="528"/>
      <c r="K30" s="503"/>
      <c r="L30" s="1496"/>
      <c r="M30" s="1485"/>
      <c r="N30" s="1486"/>
      <c r="O30" s="1486"/>
      <c r="P30" s="1486"/>
      <c r="Q30" s="1486"/>
      <c r="R30" s="1486"/>
      <c r="S30" s="1486"/>
      <c r="T30" s="1486"/>
      <c r="U30" s="1486"/>
      <c r="V30" s="1487"/>
      <c r="W30" s="1486"/>
      <c r="X30" s="1488"/>
      <c r="Z30" s="664"/>
      <c r="AA30" s="664" t="str">
        <f>IF(M30="","",M30)</f>
        <v/>
      </c>
      <c r="AB30" s="664"/>
      <c r="AC30" s="664"/>
    </row>
    <row customHeight="1" ht="14.25">
      <c r="A31" s="1483" t="s">
        <v>1567</v>
      </c>
      <c r="B31" s="1483" t="s">
        <v>1568</v>
      </c>
      <c r="C31" s="1483"/>
      <c r="D31" s="1483"/>
      <c r="E31" s="1483" t="s">
        <v>1565</v>
      </c>
      <c r="F31" s="1470"/>
      <c r="G31" s="1470"/>
      <c r="H31" s="673"/>
      <c r="I31" s="506"/>
      <c r="J31" s="528"/>
      <c r="K31" s="507"/>
      <c r="L31" s="1496"/>
      <c r="M31" s="1489"/>
      <c r="N31" s="1486"/>
      <c r="O31" s="1486"/>
      <c r="P31" s="1486"/>
      <c r="Q31" s="1486"/>
      <c r="R31" s="1486"/>
      <c r="S31" s="1486"/>
      <c r="T31" s="1486"/>
      <c r="U31" s="1486"/>
      <c r="V31" s="1487"/>
      <c r="W31" s="1486"/>
      <c r="X31" s="1488"/>
      <c r="Z31" s="664"/>
      <c r="AA31" s="664" t="str">
        <f>IF(M31="","",M31)</f>
        <v/>
      </c>
      <c r="AB31" s="664"/>
      <c r="AC31" s="664"/>
    </row>
    <row customHeight="1" ht="14.25">
      <c r="A32" s="1483" t="s">
        <v>1571</v>
      </c>
      <c r="B32" s="1483"/>
      <c r="C32" s="1483"/>
      <c r="D32" s="1483"/>
      <c r="E32" s="1483" t="s">
        <v>113</v>
      </c>
      <c r="F32" s="1470"/>
      <c r="G32" s="1470"/>
      <c r="H32" s="673"/>
      <c r="I32" s="508"/>
      <c r="J32" s="528"/>
      <c r="K32" s="503"/>
      <c r="L32" s="1496"/>
      <c r="M32" s="1490"/>
      <c r="N32" s="1486"/>
      <c r="O32" s="1486"/>
      <c r="P32" s="1486"/>
      <c r="Q32" s="1486"/>
      <c r="R32" s="1486"/>
      <c r="S32" s="1486"/>
      <c r="T32" s="1486"/>
      <c r="U32" s="1486"/>
      <c r="V32" s="1487"/>
      <c r="W32" s="1486"/>
      <c r="X32" s="1488"/>
      <c r="Z32" s="664"/>
      <c r="AA32" s="664" t="str">
        <f>IF(M32="","",M32)</f>
        <v/>
      </c>
      <c r="AB32" s="664"/>
      <c r="AC32" s="664"/>
    </row>
    <row s="6050" customFormat="1" customHeight="1" ht="11.25">
      <c r="A33" s="1483"/>
      <c r="B33" s="1483"/>
      <c r="C33" s="1483"/>
      <c r="D33" s="1483"/>
      <c r="E33" s="1483" t="s">
        <v>1447</v>
      </c>
      <c r="F33" s="1484"/>
      <c r="G33" s="1471"/>
      <c r="H33" s="673"/>
      <c r="L33" s="1497"/>
      <c r="M33" s="1491"/>
      <c r="N33" s="1486"/>
      <c r="O33" s="1486"/>
      <c r="P33" s="1486"/>
      <c r="Q33" s="1486"/>
      <c r="R33" s="1486"/>
      <c r="S33" s="1486"/>
      <c r="T33" s="1486"/>
      <c r="U33" s="1486"/>
      <c r="V33" s="1487"/>
      <c r="W33" s="1486"/>
      <c r="X33" s="1488"/>
      <c r="Y33" s="535"/>
      <c r="Z33" s="535"/>
      <c r="AA33" s="535"/>
      <c r="AB33" s="535"/>
      <c r="AC33" s="535"/>
    </row>
    <row customHeight="1" ht="11.25">
      <c r="F34" s="1343"/>
      <c r="G34" s="1343"/>
      <c r="H34" s="673"/>
      <c r="I34" s="1343"/>
      <c r="J34" s="1343"/>
      <c r="K34" s="1343"/>
      <c r="Y34" s="1343"/>
      <c r="Z34" s="1343"/>
      <c r="AA34" s="1343"/>
      <c r="AB34" s="1343"/>
      <c r="AC34" s="1343"/>
    </row>
    <row customHeight="1" ht="27">
      <c r="H35" s="673"/>
      <c r="L35" s="1505" t="s">
        <v>1517</v>
      </c>
      <c r="M35" s="2379" t="s">
        <v>1524</v>
      </c>
      <c r="N35" s="2379"/>
      <c r="O35" s="2379"/>
      <c r="P35" s="2379"/>
      <c r="Q35" s="2379"/>
      <c r="R35" s="2379"/>
      <c r="S35" s="2379"/>
      <c r="T35" s="2379"/>
      <c r="U35" s="2379"/>
      <c r="V35" s="2379"/>
      <c r="W35" s="2379"/>
      <c r="X35" s="2379"/>
    </row>
    <row customHeight="1" ht="104.25">
      <c r="F36" s="1524"/>
      <c r="G36" s="1524"/>
      <c r="H36" s="673"/>
      <c r="I36" s="1524"/>
      <c r="M36" s="2379" t="s">
        <v>1519</v>
      </c>
      <c r="N36" s="2379"/>
      <c r="O36" s="2379"/>
      <c r="P36" s="2379"/>
      <c r="Q36" s="2379"/>
      <c r="R36" s="2379"/>
      <c r="S36" s="2379"/>
      <c r="T36" s="2379"/>
      <c r="U36" s="2379"/>
      <c r="V36" s="2379"/>
      <c r="W36" s="2379"/>
      <c r="X36" s="2379"/>
    </row>
    <row customHeight="1" ht="14.25">
      <c r="H37" s="673"/>
    </row>
    <row customHeight="1" ht="14.25">
      <c r="H38" s="673"/>
    </row>
    <row customHeight="1" ht="14.25">
      <c r="H39" s="673"/>
    </row>
    <row customHeight="1" ht="14.25">
      <c r="H40" s="673"/>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FC19AB-A124-3E38-204B-254882E38152}"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6104" width="10.57421875"/>
    <col min="2" max="2" style="6104" width="11.00390625" customWidth="1"/>
    <col min="3" max="3" style="6104" width="10.57421875"/>
    <col min="4" max="4" style="6104" width="11.8515625" customWidth="1"/>
    <col min="5" max="5" style="6104" width="12.28125" customWidth="1"/>
    <col min="6" max="8" style="6802" width="12.28125" customWidth="1"/>
    <col min="9" max="9" style="6802" width="3.7109375" customWidth="1"/>
    <col min="10" max="11" style="6619" width="3.7109375" customWidth="1"/>
    <col min="12" max="12" style="6620" width="12.7109375" customWidth="1"/>
    <col min="13" max="13" style="6104" width="32.00390625" customWidth="1"/>
    <col min="14" max="14" style="6104" width="1.7109375" customWidth="1"/>
    <col min="15" max="18" style="6104" width="24.7109375" customWidth="1"/>
    <col min="19" max="19" style="6104" width="11.7109375" customWidth="1"/>
    <col min="20" max="20" style="6104" width="3.7109375" customWidth="1"/>
    <col min="21" max="21" style="6104" width="11.7109375" customWidth="1"/>
    <col min="22" max="22" style="6104" width="8.57421875" customWidth="1"/>
    <col min="23" max="23" style="6104" width="4.7109375" customWidth="1"/>
    <col min="24" max="24" style="6104" width="115.7109375" customWidth="1"/>
    <col min="25" max="26" style="6608" width="10.57421875"/>
    <col min="27" max="27" style="6608" width="11.140625" customWidth="1"/>
    <col min="28" max="29" style="6608" width="10.57421875"/>
  </cols>
  <sheetData>
    <row customHeight="1" ht="14.25" hidden="1">
      <c r="R1" s="475"/>
      <c r="S1" s="475"/>
    </row>
    <row customHeight="1" ht="14.25" hidden="1">
      <c r="V2" s="475"/>
    </row>
    <row customHeight="1" ht="14.25" hidden="1"/>
    <row customHeight="1" ht="14.25">
      <c r="J4" s="529"/>
      <c r="K4" s="529"/>
      <c r="L4" s="1492"/>
      <c r="M4" s="513"/>
      <c r="N4" s="513"/>
      <c r="O4" s="673"/>
      <c r="P4" s="673"/>
      <c r="Q4" s="673"/>
      <c r="R4" s="673"/>
      <c r="S4" s="673"/>
      <c r="T4" s="673"/>
      <c r="U4" s="673"/>
      <c r="V4" s="673"/>
    </row>
    <row customHeight="1" ht="64.5">
      <c r="J5" s="529"/>
      <c r="K5" s="529"/>
      <c r="L5" s="2341" t="s">
        <v>423</v>
      </c>
      <c r="M5" s="2341"/>
      <c r="N5" s="2341"/>
      <c r="O5" s="2341"/>
      <c r="P5" s="2341"/>
      <c r="Q5" s="2341"/>
      <c r="R5" s="2341"/>
      <c r="S5" s="2341"/>
      <c r="T5" s="2341"/>
      <c r="U5" s="2341"/>
      <c r="V5" s="1448"/>
    </row>
    <row customHeight="1" ht="14.25">
      <c r="J6" s="529"/>
      <c r="K6" s="529"/>
      <c r="L6"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M6" s="2342"/>
      <c r="N6" s="2342"/>
      <c r="O6" s="2342"/>
      <c r="P6" s="2342"/>
      <c r="Q6" s="2342"/>
      <c r="R6" s="2342"/>
      <c r="S6" s="2342"/>
      <c r="T6" s="2342"/>
      <c r="U6" s="2342"/>
      <c r="V6" s="1448"/>
    </row>
    <row customHeight="1" ht="14.25">
      <c r="J7" s="529"/>
      <c r="K7" s="529"/>
      <c r="L7" s="1492"/>
      <c r="M7" s="513"/>
      <c r="N7" s="513"/>
      <c r="O7" s="468"/>
      <c r="P7" s="468"/>
      <c r="Q7" s="468"/>
      <c r="R7" s="468"/>
      <c r="S7" s="468"/>
      <c r="T7" s="468"/>
      <c r="U7" s="468"/>
      <c r="V7" s="468"/>
      <c r="W7" s="673"/>
    </row>
    <row s="6550" customFormat="1" customHeight="1" ht="45">
      <c r="F8" s="1454"/>
      <c r="G8" s="1454"/>
      <c r="H8" s="1454"/>
      <c r="L8" s="1493"/>
      <c r="M8" s="432" t="s">
        <v>39</v>
      </c>
      <c r="N8" s="441"/>
      <c r="O8" s="2344" t="str">
        <f>IF(TITLE_NAME_OR_PR_CHANGE="",IF(TITLE_NAME_OR_PR="","",TITLE_NAME_OR_PR),TITLE_NAME_OR_PR_CHANGE)</f>
        <v/>
      </c>
      <c r="P8" s="2344"/>
      <c r="Q8" s="2344"/>
      <c r="R8" s="2344"/>
      <c r="S8" s="2344"/>
      <c r="T8" s="2344"/>
      <c r="U8" s="2344"/>
      <c r="V8" s="474"/>
      <c r="W8" s="474"/>
      <c r="X8" s="417"/>
      <c r="Y8" s="520"/>
      <c r="Z8" s="520"/>
      <c r="AA8" s="520"/>
      <c r="AB8" s="520"/>
      <c r="AC8" s="520"/>
    </row>
    <row s="6550" customFormat="1" customHeight="1" ht="22.5">
      <c r="F9" s="1454"/>
      <c r="G9" s="1454"/>
      <c r="H9" s="1454"/>
      <c r="L9" s="1493"/>
      <c r="M9" s="432" t="s">
        <v>1492</v>
      </c>
      <c r="N9" s="441"/>
      <c r="O9" s="2344" t="str">
        <f>IF(TITLE_DATE_CHANGE_PERIOD="",IF(TITLE_DATE_PR="","",TITLE_DATE_PR),TITLE_DATE_CHANGE_PERIOD)</f>
        <v/>
      </c>
      <c r="P9" s="2344"/>
      <c r="Q9" s="2344"/>
      <c r="R9" s="2344"/>
      <c r="S9" s="2344"/>
      <c r="T9" s="2344"/>
      <c r="U9" s="2344"/>
      <c r="V9" s="474"/>
      <c r="W9" s="474"/>
      <c r="X9" s="417"/>
      <c r="Y9" s="520"/>
      <c r="Z9" s="520"/>
      <c r="AA9" s="520"/>
      <c r="AB9" s="520"/>
      <c r="AC9" s="520"/>
    </row>
    <row s="6550" customFormat="1" customHeight="1" ht="22.5">
      <c r="F10" s="1454"/>
      <c r="G10" s="1454"/>
      <c r="H10" s="1454"/>
      <c r="L10" s="1456"/>
      <c r="M10" s="432" t="s">
        <v>1493</v>
      </c>
      <c r="N10" s="441"/>
      <c r="O10" s="2344" t="str">
        <f>IF(TITLE_NUMBER_PR_CHANGE="",IF(TITLE_NUMBER_PR="","",TITLE_NUMBER_PR),TITLE_NUMBER_PR_CHANGE)</f>
        <v/>
      </c>
      <c r="P10" s="2344"/>
      <c r="Q10" s="2344"/>
      <c r="R10" s="2344"/>
      <c r="S10" s="2344"/>
      <c r="T10" s="2344"/>
      <c r="U10" s="2344"/>
      <c r="V10" s="474"/>
      <c r="W10" s="474"/>
      <c r="X10" s="417"/>
      <c r="Y10" s="520"/>
      <c r="Z10" s="520"/>
      <c r="AA10" s="520"/>
      <c r="AB10" s="520"/>
      <c r="AC10" s="520"/>
    </row>
    <row s="6550" customFormat="1" customHeight="1" ht="22.5">
      <c r="F11" s="1454"/>
      <c r="G11" s="1454"/>
      <c r="H11" s="1454"/>
      <c r="L11" s="1456"/>
      <c r="M11" s="432" t="s">
        <v>40</v>
      </c>
      <c r="N11" s="441"/>
      <c r="O11" s="2344" t="str">
        <f>IF(TITLE_IST_PUB_CHANGE="",IF(TITLE_IST_PUB="","",TITLE_IST_PUB),TITLE_IST_PUB_CHANGE)</f>
        <v/>
      </c>
      <c r="P11" s="2344"/>
      <c r="Q11" s="2344"/>
      <c r="R11" s="2344"/>
      <c r="S11" s="2344"/>
      <c r="T11" s="2344"/>
      <c r="U11" s="2344"/>
      <c r="V11" s="474"/>
      <c r="W11" s="474"/>
      <c r="X11" s="417"/>
      <c r="Y11" s="520"/>
      <c r="Z11" s="520"/>
      <c r="AA11" s="520"/>
      <c r="AB11" s="520"/>
      <c r="AC11" s="520"/>
    </row>
    <row s="6550" customFormat="1" customHeight="1" ht="11.25" hidden="1">
      <c r="F12" s="1454"/>
      <c r="G12" s="1454"/>
      <c r="H12" s="1454"/>
      <c r="L12" s="2444"/>
      <c r="M12" s="2444"/>
      <c r="N12" s="1504"/>
      <c r="O12" s="474"/>
      <c r="P12" s="474"/>
      <c r="Q12" s="474"/>
      <c r="R12" s="474"/>
      <c r="S12" s="474"/>
      <c r="T12" s="474"/>
      <c r="U12" s="474"/>
      <c r="V12" s="415" t="s">
        <v>1496</v>
      </c>
      <c r="Y12" s="520"/>
      <c r="Z12" s="520"/>
      <c r="AA12" s="520"/>
      <c r="AB12" s="520"/>
      <c r="AC12" s="520"/>
    </row>
    <row customHeight="1" ht="14.25">
      <c r="J13" s="529"/>
      <c r="K13" s="529"/>
      <c r="L13" s="1492"/>
      <c r="M13" s="513"/>
      <c r="N13" s="1449"/>
      <c r="O13" s="2345"/>
      <c r="P13" s="2345"/>
      <c r="Q13" s="2345"/>
      <c r="R13" s="2345"/>
      <c r="S13" s="2345"/>
      <c r="T13" s="2345"/>
      <c r="U13" s="2345"/>
      <c r="V13" s="2345"/>
    </row>
    <row customHeight="1" ht="14.25">
      <c r="J14" s="529"/>
      <c r="K14" s="529"/>
      <c r="L14" s="2204" t="s">
        <v>300</v>
      </c>
      <c r="M14" s="2204"/>
      <c r="N14" s="2204"/>
      <c r="O14" s="2204"/>
      <c r="P14" s="2204"/>
      <c r="Q14" s="2204"/>
      <c r="R14" s="2204"/>
      <c r="S14" s="2204"/>
      <c r="T14" s="2204"/>
      <c r="U14" s="2204"/>
      <c r="V14" s="2204"/>
      <c r="W14" s="2204"/>
      <c r="X14" s="2204" t="s">
        <v>301</v>
      </c>
    </row>
    <row customHeight="1" ht="14.25">
      <c r="J15" s="529"/>
      <c r="K15" s="529"/>
      <c r="L15" s="2367" t="s">
        <v>87</v>
      </c>
      <c r="M15" s="2228" t="s">
        <v>1497</v>
      </c>
      <c r="N15" s="438"/>
      <c r="O15" s="2368" t="s">
        <v>1562</v>
      </c>
      <c r="P15" s="2369"/>
      <c r="Q15" s="2369"/>
      <c r="R15" s="2369"/>
      <c r="S15" s="2369"/>
      <c r="T15" s="2369"/>
      <c r="U15" s="2370"/>
      <c r="V15" s="2371" t="s">
        <v>1499</v>
      </c>
      <c r="W15" s="2374" t="s">
        <v>1563</v>
      </c>
      <c r="X15" s="2204"/>
    </row>
    <row customHeight="1" ht="33.75">
      <c r="J16" s="529"/>
      <c r="K16" s="529"/>
      <c r="L16" s="2367"/>
      <c r="M16" s="2228"/>
      <c r="N16" s="1216"/>
      <c r="O16" s="2353" t="s">
        <v>1502</v>
      </c>
      <c r="P16" s="2353" t="s">
        <v>1503</v>
      </c>
      <c r="Q16" s="2355" t="s">
        <v>1504</v>
      </c>
      <c r="R16" s="2356"/>
      <c r="S16" s="2361" t="s">
        <v>1523</v>
      </c>
      <c r="T16" s="2362"/>
      <c r="U16" s="2363"/>
      <c r="V16" s="2372"/>
      <c r="W16" s="2375"/>
      <c r="X16" s="2204"/>
    </row>
    <row customHeight="1" ht="33.75">
      <c r="A17" s="1475" t="s">
        <v>143</v>
      </c>
      <c r="B17" s="1475" t="s">
        <v>144</v>
      </c>
      <c r="C17" s="1475" t="s">
        <v>145</v>
      </c>
      <c r="D17" s="1475" t="s">
        <v>146</v>
      </c>
      <c r="E17" s="1475"/>
      <c r="J17" s="529"/>
      <c r="K17" s="529"/>
      <c r="L17" s="2367"/>
      <c r="M17" s="2228"/>
      <c r="N17" s="439"/>
      <c r="O17" s="2354"/>
      <c r="P17" s="2354"/>
      <c r="Q17" s="1424" t="s">
        <v>1513</v>
      </c>
      <c r="R17" s="1424" t="s">
        <v>1514</v>
      </c>
      <c r="S17" s="1509" t="s">
        <v>1515</v>
      </c>
      <c r="T17" s="2364" t="s">
        <v>1516</v>
      </c>
      <c r="U17" s="2365"/>
      <c r="V17" s="2373"/>
      <c r="W17" s="2376"/>
      <c r="X17" s="2204"/>
    </row>
    <row s="5794" customFormat="1" customHeight="1" ht="11.25">
      <c r="A18" s="1475"/>
      <c r="B18" s="1475"/>
      <c r="C18" s="1475"/>
      <c r="D18" s="1475"/>
      <c r="E18" s="1475"/>
      <c r="F18" s="1503"/>
      <c r="G18" s="1503"/>
      <c r="H18" s="1503"/>
      <c r="I18" s="1451"/>
      <c r="J18" s="1452"/>
      <c r="K18" s="1467">
        <v>1</v>
      </c>
      <c r="L18" s="1494" t="s">
        <v>118</v>
      </c>
      <c r="M18" s="1468" t="s">
        <v>102</v>
      </c>
      <c r="N18" s="1450" t="str">
        <f>OFFSET(N18,0,-1)</f>
        <v>2</v>
      </c>
      <c r="O18" s="1506">
        <f>OFFSET(O18,0,-1)+1</f>
        <v>3</v>
      </c>
      <c r="P18" s="1506"/>
      <c r="Q18" s="1506">
        <f>OFFSET(Q18,0,-1)+1</f>
        <v>1</v>
      </c>
      <c r="R18" s="1506">
        <f>OFFSET(R18,0,-1)+1</f>
        <v>2</v>
      </c>
      <c r="S18" s="1506">
        <f>OFFSET(S18,0,-1)+1</f>
        <v>3</v>
      </c>
      <c r="T18" s="2366">
        <f>OFFSET(T18,0,-1)+1</f>
        <v>4</v>
      </c>
      <c r="U18" s="2366"/>
      <c r="V18" s="1506">
        <f>OFFSET(V18,0,-2)+1</f>
        <v>5</v>
      </c>
      <c r="W18" s="1450">
        <f>OFFSET(W18,0,-1)</f>
        <v>5</v>
      </c>
      <c r="X18" s="1506">
        <f>OFFSET(X18,0,-1)+1</f>
        <v>6</v>
      </c>
      <c r="Y18" s="675"/>
      <c r="Z18" s="675"/>
      <c r="AA18" s="675"/>
      <c r="AB18" s="675"/>
      <c r="AC18" s="675"/>
    </row>
    <row customHeight="1" ht="21">
      <c r="A19" s="1483" t="s">
        <v>1572</v>
      </c>
      <c r="B19" s="1483" t="s">
        <v>1573</v>
      </c>
      <c r="C19" s="1483" t="s">
        <v>1574</v>
      </c>
      <c r="D19" s="1483" t="s">
        <v>1575</v>
      </c>
      <c r="E19" s="1483"/>
      <c r="F19" s="852"/>
      <c r="G19" s="852"/>
      <c r="H19" s="852"/>
      <c r="I19" s="509"/>
      <c r="J19" s="508"/>
      <c r="K19" s="503"/>
      <c r="L19" s="1510">
        <f>INDEX(PT_DIFFERENTIATION_NUM_NTAR,MATCH(A19,PT_DIFFERENTIATION_NTAR_ID,0))</f>
      </c>
      <c r="M19" s="435" t="s">
        <v>132</v>
      </c>
      <c r="N19" s="437"/>
      <c r="O19" s="4255">
        <f>INDEX(PT_DIFFERENTIATION_NTAR,MATCH(A19,PT_DIFFERENTIATION_NTAR_ID,0))</f>
      </c>
      <c r="P19" s="4255"/>
      <c r="Q19" s="4255"/>
      <c r="R19" s="4255"/>
      <c r="S19" s="4255"/>
      <c r="T19" s="4255"/>
      <c r="U19" s="4255"/>
      <c r="V19" s="4255"/>
      <c r="W19" s="4255"/>
      <c r="X19" s="1473" t="s">
        <v>1468</v>
      </c>
      <c r="Z19" s="664"/>
      <c r="AA19" s="664" t="str">
        <f>IF(M19="","",M19)</f>
        <v>Наименование тарифа</v>
      </c>
      <c r="AB19" s="664"/>
      <c r="AC19" s="664"/>
    </row>
    <row customHeight="1" ht="21">
      <c r="A20" s="1483" t="s">
        <v>1572</v>
      </c>
      <c r="B20" s="1483" t="s">
        <v>1573</v>
      </c>
      <c r="C20" s="1483" t="s">
        <v>1574</v>
      </c>
      <c r="D20" s="1483" t="s">
        <v>1575</v>
      </c>
      <c r="E20" s="1483"/>
      <c r="F20" s="852"/>
      <c r="G20" s="852"/>
      <c r="H20" s="852"/>
      <c r="I20" s="1507"/>
      <c r="J20" s="500"/>
      <c r="K20" s="501"/>
      <c r="L20" s="1510">
        <f>INDEX(PT_DIFFERENTIATION_NUM_TER,MATCH(B19,PT_DIFFERENTIATION_TER_ID,0))</f>
      </c>
      <c r="M20" s="447" t="s">
        <v>1469</v>
      </c>
      <c r="N20" s="437"/>
      <c r="O20" s="4255">
        <f>INDEX(PT_DIFFERENTIATION_TER,MATCH(B19,PT_DIFFERENTIATION_TER_ID,0))</f>
      </c>
      <c r="P20" s="4255"/>
      <c r="Q20" s="4255"/>
      <c r="R20" s="4255"/>
      <c r="S20" s="4255"/>
      <c r="T20" s="4255"/>
      <c r="U20" s="4255"/>
      <c r="V20" s="4255"/>
      <c r="W20" s="4255"/>
      <c r="X20" s="1473" t="s">
        <v>1470</v>
      </c>
      <c r="Z20" s="664"/>
      <c r="AA20" s="664" t="str">
        <f>IF(M20="","",M20)</f>
        <v>Территория действия тарифа</v>
      </c>
      <c r="AB20" s="664"/>
      <c r="AC20" s="664"/>
    </row>
    <row customHeight="1" ht="22.5">
      <c r="A21" s="1483" t="s">
        <v>1572</v>
      </c>
      <c r="B21" s="1483" t="s">
        <v>1573</v>
      </c>
      <c r="C21" s="1483" t="s">
        <v>1574</v>
      </c>
      <c r="D21" s="1483" t="s">
        <v>1575</v>
      </c>
      <c r="E21" s="1483"/>
      <c r="F21" s="852"/>
      <c r="G21" s="852"/>
      <c r="H21" s="852"/>
      <c r="I21" s="502"/>
      <c r="J21" s="500"/>
      <c r="K21" s="501"/>
      <c r="L21" s="1510">
        <f>INDEX(PT_DIFFERENTIATION_NUM_CS,MATCH(C19,PT_DIFFERENTIATION_CS_ID,0))</f>
      </c>
      <c r="M21" s="448" t="s">
        <v>1471</v>
      </c>
      <c r="N21" s="437"/>
      <c r="O21" s="4255">
        <f>INDEX(PT_DIFFERENTIATION_CS,MATCH(C19,PT_DIFFERENTIATION_CS_ID,0))</f>
      </c>
      <c r="P21" s="4255"/>
      <c r="Q21" s="4255"/>
      <c r="R21" s="4255"/>
      <c r="S21" s="4255"/>
      <c r="T21" s="4255"/>
      <c r="U21" s="4255"/>
      <c r="V21" s="4255"/>
      <c r="W21" s="4255"/>
      <c r="X21" s="1473" t="s">
        <v>1472</v>
      </c>
      <c r="Z21" s="664"/>
      <c r="AA21" s="664" t="str">
        <f>IF(M21="","",M21)</f>
        <v>Наименование системы теплоснабжения </v>
      </c>
      <c r="AB21" s="664"/>
      <c r="AC21" s="664"/>
    </row>
    <row customHeight="1" ht="21">
      <c r="A22" s="1483" t="s">
        <v>1572</v>
      </c>
      <c r="B22" s="1483" t="s">
        <v>1573</v>
      </c>
      <c r="C22" s="1483" t="s">
        <v>1574</v>
      </c>
      <c r="D22" s="1483" t="s">
        <v>1575</v>
      </c>
      <c r="E22" s="1483"/>
      <c r="F22" s="852"/>
      <c r="G22" s="852"/>
      <c r="H22" s="852"/>
      <c r="I22" s="502"/>
      <c r="J22" s="500"/>
      <c r="K22" s="501"/>
      <c r="L22" s="1510">
        <f>INDEX(PT_DIFFERENTIATION_NUM_IST_TE,MATCH(D19,PT_DIFFERENTIATION_IST_TE_ID,0))</f>
      </c>
      <c r="M22" s="449" t="s">
        <v>1473</v>
      </c>
      <c r="N22" s="437"/>
      <c r="O22" s="4255">
        <f>INDEX(PT_DIFFERENTIATION_IST_TE,MATCH(D19,PT_DIFFERENTIATION_IST_TE_ID,0))</f>
      </c>
      <c r="P22" s="4255"/>
      <c r="Q22" s="4255"/>
      <c r="R22" s="4255"/>
      <c r="S22" s="4255"/>
      <c r="T22" s="4255"/>
      <c r="U22" s="4255"/>
      <c r="V22" s="4255"/>
      <c r="W22" s="4255"/>
      <c r="X22" s="1473" t="s">
        <v>1474</v>
      </c>
      <c r="Z22" s="664"/>
      <c r="AA22" s="664" t="str">
        <f>IF(M22="","",M22)</f>
        <v>Источник тепловой энергии  </v>
      </c>
      <c r="AB22" s="664"/>
      <c r="AC22" s="664"/>
    </row>
    <row customHeight="1" ht="94.5">
      <c r="A23" s="1483" t="s">
        <v>1572</v>
      </c>
      <c r="B23" s="1483" t="s">
        <v>1573</v>
      </c>
      <c r="C23" s="1483" t="s">
        <v>1574</v>
      </c>
      <c r="D23" s="1483" t="s">
        <v>1575</v>
      </c>
      <c r="E23" s="1483"/>
      <c r="F23" s="2451">
        <f>L22&amp;".1"</f>
      </c>
      <c r="I23" s="2350">
        <v>1</v>
      </c>
      <c r="J23" s="1508"/>
      <c r="K23" s="504"/>
      <c r="L23" s="1510">
        <f>$F$23</f>
      </c>
      <c r="M23" s="422" t="s">
        <v>1476</v>
      </c>
      <c r="N23" s="437"/>
      <c r="O23" s="2447"/>
      <c r="P23" s="2447"/>
      <c r="Q23" s="2447"/>
      <c r="R23" s="2447"/>
      <c r="S23" s="2447"/>
      <c r="T23" s="2447"/>
      <c r="U23" s="2447"/>
      <c r="V23" s="2447"/>
      <c r="W23" s="2447"/>
      <c r="X23" s="1473" t="s">
        <v>1477</v>
      </c>
      <c r="Z23" s="664"/>
      <c r="AA23" s="664" t="str">
        <f>IF(M23="","",M23)</f>
        <v>Схема подключения теплопотребляющей установки к коллектору источника тепловой энергии</v>
      </c>
      <c r="AB23" s="664"/>
      <c r="AC23" s="664"/>
    </row>
    <row customHeight="1" ht="84">
      <c r="A24" s="1483" t="s">
        <v>1572</v>
      </c>
      <c r="B24" s="1483" t="s">
        <v>1573</v>
      </c>
      <c r="C24" s="1483" t="s">
        <v>1574</v>
      </c>
      <c r="D24" s="1483" t="s">
        <v>1575</v>
      </c>
      <c r="E24" s="1483"/>
      <c r="F24" s="2451"/>
      <c r="G24" s="2452">
        <f>F23&amp;".1"</f>
      </c>
      <c r="I24" s="2350"/>
      <c r="J24" s="2350">
        <v>1</v>
      </c>
      <c r="K24" s="505"/>
      <c r="L24" s="1510">
        <f>$G$24</f>
      </c>
      <c r="M24" s="423" t="s">
        <v>1479</v>
      </c>
      <c r="N24" s="437"/>
      <c r="O24" s="2448"/>
      <c r="P24" s="2449"/>
      <c r="Q24" s="2449"/>
      <c r="R24" s="2449"/>
      <c r="S24" s="2449"/>
      <c r="T24" s="2449"/>
      <c r="U24" s="2449"/>
      <c r="V24" s="2449"/>
      <c r="W24" s="2450"/>
      <c r="X24" s="1473" t="s">
        <v>1480</v>
      </c>
      <c r="Z24" s="664"/>
      <c r="AA24" s="664" t="str">
        <f>IF(M24="","",M24)</f>
        <v>Группа потребителей</v>
      </c>
      <c r="AB24" s="664"/>
      <c r="AC24" s="664"/>
    </row>
    <row customHeight="1" ht="11.25">
      <c r="A25" s="1483" t="s">
        <v>1572</v>
      </c>
      <c r="B25" s="1483" t="s">
        <v>1573</v>
      </c>
      <c r="C25" s="1483" t="s">
        <v>1574</v>
      </c>
      <c r="D25" s="1483" t="s">
        <v>1575</v>
      </c>
      <c r="E25" s="1483"/>
      <c r="F25" s="2451"/>
      <c r="G25" s="2452"/>
      <c r="H25" s="2452">
        <f>G24&amp;".1"</f>
      </c>
      <c r="I25" s="2350"/>
      <c r="J25" s="2350"/>
      <c r="K25" s="505">
        <v>1</v>
      </c>
      <c r="L25" s="1510">
        <f>$H$25</f>
      </c>
      <c r="M25" s="1474"/>
      <c r="N25" s="437"/>
      <c r="O25" s="3992"/>
      <c r="P25" s="3993"/>
      <c r="Q25" s="3992"/>
      <c r="R25" s="3994"/>
      <c r="S25" s="2443"/>
      <c r="T25" s="2069" t="s">
        <v>66</v>
      </c>
      <c r="U25" s="2443"/>
      <c r="V25" s="2069" t="s">
        <v>56</v>
      </c>
      <c r="W25" s="3993"/>
      <c r="X25" s="2346" t="s">
        <v>1482</v>
      </c>
      <c r="Y25" s="675">
        <f>STRCHECKDATE(O26:W26)</f>
      </c>
      <c r="Z25" s="664"/>
      <c r="AA25" s="664" t="str">
        <f>IF(M25="","",M25)</f>
        <v/>
      </c>
      <c r="AB25" s="664"/>
      <c r="AC25" s="664"/>
    </row>
    <row customHeight="1" ht="11.25">
      <c r="A26" s="1483" t="s">
        <v>1572</v>
      </c>
      <c r="B26" s="1483" t="s">
        <v>1573</v>
      </c>
      <c r="C26" s="1483" t="s">
        <v>1574</v>
      </c>
      <c r="D26" s="1483" t="s">
        <v>1575</v>
      </c>
      <c r="E26" s="1483"/>
      <c r="F26" s="2451"/>
      <c r="G26" s="2452"/>
      <c r="H26" s="2452"/>
      <c r="I26" s="2350"/>
      <c r="J26" s="2350"/>
      <c r="K26" s="505"/>
      <c r="L26" s="1511"/>
      <c r="M26" s="437"/>
      <c r="N26" s="437"/>
      <c r="O26" s="3993"/>
      <c r="P26" s="3993"/>
      <c r="Q26" s="3993"/>
      <c r="R26" s="3998" t="str">
        <f>S25&amp;"-"&amp;U25</f>
        <v>-</v>
      </c>
      <c r="S26" s="2358"/>
      <c r="T26" s="2069"/>
      <c r="U26" s="2358"/>
      <c r="V26" s="2069"/>
      <c r="W26" s="3993"/>
      <c r="X26" s="2347"/>
      <c r="Z26" s="664"/>
      <c r="AA26" s="664" t="str">
        <f>IF(M26="","",M26)</f>
        <v/>
      </c>
      <c r="AB26" s="664"/>
      <c r="AC26" s="664"/>
    </row>
    <row customHeight="1" ht="15">
      <c r="A27" s="1483" t="s">
        <v>1572</v>
      </c>
      <c r="B27" s="1483" t="s">
        <v>1573</v>
      </c>
      <c r="C27" s="1483" t="s">
        <v>1574</v>
      </c>
      <c r="D27" s="1483" t="s">
        <v>1575</v>
      </c>
      <c r="E27" s="1483"/>
      <c r="F27" s="2451"/>
      <c r="G27" s="2452"/>
      <c r="I27" s="2350"/>
      <c r="J27" s="2350"/>
      <c r="K27" s="504"/>
      <c r="L27" s="1495"/>
      <c r="M27" s="425" t="s">
        <v>1483</v>
      </c>
      <c r="N27" s="519"/>
      <c r="O27" s="519"/>
      <c r="P27" s="519"/>
      <c r="Q27" s="519"/>
      <c r="R27" s="519"/>
      <c r="S27" s="519"/>
      <c r="T27" s="519"/>
      <c r="U27" s="519"/>
      <c r="V27" s="519"/>
      <c r="W27" s="471"/>
      <c r="X27" s="2348"/>
      <c r="Z27" s="664"/>
      <c r="AA27" s="664" t="str">
        <f>IF(M27="","",M27)</f>
        <v>Добавить вид теплоносителя (параметры теплоносителя)</v>
      </c>
      <c r="AB27" s="664"/>
      <c r="AC27" s="664"/>
    </row>
    <row customHeight="1" ht="15">
      <c r="A28" s="1483" t="s">
        <v>1572</v>
      </c>
      <c r="B28" s="1483" t="s">
        <v>1573</v>
      </c>
      <c r="C28" s="1483" t="s">
        <v>1574</v>
      </c>
      <c r="D28" s="1483" t="s">
        <v>1575</v>
      </c>
      <c r="E28" s="1483"/>
      <c r="F28" s="2451"/>
      <c r="I28" s="2350"/>
      <c r="J28" s="1508"/>
      <c r="K28" s="504"/>
      <c r="L28" s="1495"/>
      <c r="M28" s="424" t="s">
        <v>1484</v>
      </c>
      <c r="N28" s="519"/>
      <c r="O28" s="519"/>
      <c r="P28" s="519"/>
      <c r="Q28" s="519"/>
      <c r="R28" s="519"/>
      <c r="S28" s="519"/>
      <c r="T28" s="519"/>
      <c r="U28" s="519"/>
      <c r="V28" s="518"/>
      <c r="W28" s="519"/>
      <c r="X28" s="440"/>
      <c r="Z28" s="664"/>
      <c r="AA28" s="664" t="str">
        <f>IF(M28="","",M28)</f>
        <v>Добавить группу потребителей</v>
      </c>
      <c r="AB28" s="664"/>
      <c r="AC28" s="664"/>
    </row>
    <row customHeight="1" ht="14.25">
      <c r="A29" s="1483" t="s">
        <v>1572</v>
      </c>
      <c r="B29" s="1483" t="s">
        <v>1573</v>
      </c>
      <c r="C29" s="1483" t="s">
        <v>1574</v>
      </c>
      <c r="D29" s="1483" t="s">
        <v>1575</v>
      </c>
      <c r="E29" s="1483"/>
      <c r="F29" s="852"/>
      <c r="G29" s="852"/>
      <c r="H29" s="673"/>
      <c r="I29" s="508"/>
      <c r="J29" s="528"/>
      <c r="K29" s="503"/>
      <c r="L29" s="1495"/>
      <c r="M29" s="516" t="s">
        <v>1485</v>
      </c>
      <c r="N29" s="519"/>
      <c r="O29" s="519"/>
      <c r="P29" s="519"/>
      <c r="Q29" s="519"/>
      <c r="R29" s="519"/>
      <c r="S29" s="519"/>
      <c r="T29" s="519"/>
      <c r="U29" s="519"/>
      <c r="V29" s="518"/>
      <c r="W29" s="519"/>
      <c r="X29" s="440"/>
      <c r="Z29" s="664"/>
      <c r="AA29" s="664" t="str">
        <f>IF(M29="","",M29)</f>
        <v>Добавить схему подключения</v>
      </c>
      <c r="AB29" s="664"/>
      <c r="AC29" s="664"/>
    </row>
    <row customHeight="1" ht="14.25">
      <c r="A30" s="1483" t="s">
        <v>1572</v>
      </c>
      <c r="B30" s="1483" t="s">
        <v>1573</v>
      </c>
      <c r="C30" s="1483" t="s">
        <v>1574</v>
      </c>
      <c r="D30" s="1483"/>
      <c r="E30" s="1483" t="s">
        <v>1564</v>
      </c>
      <c r="F30" s="852"/>
      <c r="G30" s="852"/>
      <c r="H30" s="673"/>
      <c r="I30" s="508"/>
      <c r="J30" s="528"/>
      <c r="K30" s="503"/>
      <c r="L30" s="1496"/>
      <c r="M30" s="1485"/>
      <c r="N30" s="1486"/>
      <c r="O30" s="1486"/>
      <c r="P30" s="1486"/>
      <c r="Q30" s="1486"/>
      <c r="R30" s="1486"/>
      <c r="S30" s="1486"/>
      <c r="T30" s="1486"/>
      <c r="U30" s="1486"/>
      <c r="V30" s="1487"/>
      <c r="W30" s="1486"/>
      <c r="X30" s="1488"/>
      <c r="Z30" s="664"/>
      <c r="AA30" s="664" t="str">
        <f>IF(M30="","",M30)</f>
        <v/>
      </c>
      <c r="AB30" s="664"/>
      <c r="AC30" s="664"/>
    </row>
    <row customHeight="1" ht="14.25">
      <c r="A31" s="1483" t="s">
        <v>1572</v>
      </c>
      <c r="B31" s="1483" t="s">
        <v>1573</v>
      </c>
      <c r="C31" s="1483"/>
      <c r="D31" s="1483"/>
      <c r="E31" s="1483" t="s">
        <v>1565</v>
      </c>
      <c r="F31" s="1470"/>
      <c r="G31" s="1470"/>
      <c r="H31" s="673"/>
      <c r="I31" s="506"/>
      <c r="J31" s="528"/>
      <c r="K31" s="507"/>
      <c r="L31" s="1496"/>
      <c r="M31" s="1489"/>
      <c r="N31" s="1486"/>
      <c r="O31" s="1486"/>
      <c r="P31" s="1486"/>
      <c r="Q31" s="1486"/>
      <c r="R31" s="1486"/>
      <c r="S31" s="1486"/>
      <c r="T31" s="1486"/>
      <c r="U31" s="1486"/>
      <c r="V31" s="1487"/>
      <c r="W31" s="1486"/>
      <c r="X31" s="1488"/>
      <c r="Z31" s="664"/>
      <c r="AA31" s="664" t="str">
        <f>IF(M31="","",M31)</f>
        <v/>
      </c>
      <c r="AB31" s="664"/>
      <c r="AC31" s="664"/>
    </row>
    <row customHeight="1" ht="14.25">
      <c r="A32" s="1483" t="s">
        <v>1576</v>
      </c>
      <c r="B32" s="1483"/>
      <c r="C32" s="1483"/>
      <c r="D32" s="1483"/>
      <c r="E32" s="1483" t="s">
        <v>113</v>
      </c>
      <c r="F32" s="1470"/>
      <c r="G32" s="1470"/>
      <c r="H32" s="673"/>
      <c r="I32" s="508"/>
      <c r="J32" s="528"/>
      <c r="K32" s="503"/>
      <c r="L32" s="1496"/>
      <c r="M32" s="1490"/>
      <c r="N32" s="1486"/>
      <c r="O32" s="1486"/>
      <c r="P32" s="1486"/>
      <c r="Q32" s="1486"/>
      <c r="R32" s="1486"/>
      <c r="S32" s="1486"/>
      <c r="T32" s="1486"/>
      <c r="U32" s="1486"/>
      <c r="V32" s="1487"/>
      <c r="W32" s="1486"/>
      <c r="X32" s="1488"/>
      <c r="Z32" s="664"/>
      <c r="AA32" s="664" t="str">
        <f>IF(M32="","",M32)</f>
        <v/>
      </c>
      <c r="AB32" s="664"/>
      <c r="AC32" s="664"/>
    </row>
    <row s="6050" customFormat="1" customHeight="1" ht="11.25">
      <c r="A33" s="1483"/>
      <c r="B33" s="1483"/>
      <c r="C33" s="1483"/>
      <c r="D33" s="1483"/>
      <c r="E33" s="1483" t="s">
        <v>1447</v>
      </c>
      <c r="F33" s="1484"/>
      <c r="G33" s="1471"/>
      <c r="H33" s="673"/>
      <c r="L33" s="1497"/>
      <c r="M33" s="1491"/>
      <c r="N33" s="1486"/>
      <c r="O33" s="1486"/>
      <c r="P33" s="1486"/>
      <c r="Q33" s="1486"/>
      <c r="R33" s="1486"/>
      <c r="S33" s="1486"/>
      <c r="T33" s="1486"/>
      <c r="U33" s="1486"/>
      <c r="V33" s="1487"/>
      <c r="W33" s="1486"/>
      <c r="X33" s="1488"/>
      <c r="Y33" s="535"/>
      <c r="Z33" s="535"/>
      <c r="AA33" s="535"/>
      <c r="AB33" s="535"/>
      <c r="AC33" s="535"/>
    </row>
    <row customHeight="1" ht="11.25">
      <c r="F34" s="1343"/>
      <c r="G34" s="1343"/>
      <c r="H34" s="673"/>
      <c r="I34" s="1343"/>
      <c r="J34" s="1343"/>
      <c r="K34" s="1343"/>
      <c r="Y34" s="1343"/>
      <c r="Z34" s="1343"/>
      <c r="AA34" s="1343"/>
      <c r="AB34" s="1343"/>
      <c r="AC34" s="1343"/>
    </row>
    <row customHeight="1" ht="27">
      <c r="H35" s="673"/>
      <c r="L35" s="1505" t="s">
        <v>1517</v>
      </c>
      <c r="M35" s="2379" t="s">
        <v>1524</v>
      </c>
      <c r="N35" s="2379"/>
      <c r="O35" s="2379"/>
      <c r="P35" s="2379"/>
      <c r="Q35" s="2379"/>
      <c r="R35" s="2379"/>
      <c r="S35" s="2379"/>
      <c r="T35" s="2379"/>
      <c r="U35" s="2379"/>
      <c r="V35" s="2379"/>
      <c r="W35" s="2379"/>
      <c r="X35" s="2379"/>
    </row>
    <row customHeight="1" ht="104.25">
      <c r="F36" s="1524"/>
      <c r="G36" s="1524"/>
      <c r="H36" s="673"/>
      <c r="I36" s="1524"/>
      <c r="M36" s="2379" t="s">
        <v>1519</v>
      </c>
      <c r="N36" s="2379"/>
      <c r="O36" s="2379"/>
      <c r="P36" s="2379"/>
      <c r="Q36" s="2379"/>
      <c r="R36" s="2379"/>
      <c r="S36" s="2379"/>
      <c r="T36" s="2379"/>
      <c r="U36" s="2379"/>
      <c r="V36" s="2379"/>
      <c r="W36" s="2379"/>
      <c r="X36" s="2379"/>
    </row>
    <row customHeight="1" ht="14.25">
      <c r="H37" s="673"/>
    </row>
    <row customHeight="1" ht="14.25">
      <c r="H38" s="673"/>
    </row>
    <row customHeight="1" ht="14.25">
      <c r="H39" s="673"/>
    </row>
    <row customHeight="1" ht="14.25">
      <c r="H40" s="673"/>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BC1953-47C7-7F42-CC46-7172929AC1AD}"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6608" width="10.57421875"/>
    <col min="7" max="8" style="6862" width="9.140625" customWidth="1"/>
    <col min="9" max="9" style="6618" width="3.7109375" customWidth="1"/>
    <col min="10" max="11" style="6619" width="3.7109375" customWidth="1"/>
    <col min="12" max="12" style="6104" width="12.7109375" customWidth="1"/>
    <col min="13" max="13" style="6104" width="47.421875" customWidth="1"/>
    <col min="14" max="14" style="6104" width="2.7109375" hidden="1" customWidth="1"/>
    <col min="15" max="18" style="6104" width="23.7109375" customWidth="1"/>
    <col min="19" max="19" style="6104" width="11.7109375" customWidth="1"/>
    <col min="20" max="20" style="6104" width="3.7109375" customWidth="1"/>
    <col min="21" max="21" style="6104" width="11.7109375" customWidth="1"/>
    <col min="22" max="22" style="6104" width="8.57421875" hidden="1" customWidth="1"/>
    <col min="23" max="23" style="6104" width="4.7109375" customWidth="1"/>
    <col min="24" max="24" style="6104" width="115.7109375" customWidth="1"/>
    <col min="25" max="29" style="6608" width="10.57421875"/>
  </cols>
  <sheetData>
    <row customHeight="1" ht="14.25" hidden="1"/>
    <row customHeight="1" ht="14.25" hidden="1"/>
    <row customHeight="1" ht="14.25" hidden="1"/>
    <row customHeight="1" ht="14.25">
      <c r="J4" s="529"/>
      <c r="K4" s="529"/>
      <c r="L4" s="513"/>
      <c r="M4" s="513"/>
      <c r="N4" s="513"/>
      <c r="O4" s="673"/>
      <c r="P4" s="673"/>
      <c r="Q4" s="673"/>
      <c r="R4" s="673"/>
      <c r="S4" s="673"/>
      <c r="T4" s="673"/>
      <c r="U4" s="673"/>
      <c r="V4" s="513"/>
    </row>
    <row customHeight="1" ht="14.25">
      <c r="J5" s="529"/>
      <c r="K5" s="529"/>
      <c r="L5" s="2453" t="s">
        <v>1577</v>
      </c>
      <c r="M5" s="2453"/>
      <c r="N5" s="2453"/>
      <c r="O5" s="2453"/>
      <c r="P5" s="2453"/>
      <c r="Q5" s="2453"/>
      <c r="R5" s="2453"/>
      <c r="S5" s="2453"/>
      <c r="T5" s="2453"/>
      <c r="U5" s="413"/>
      <c r="V5" s="413"/>
    </row>
    <row customHeight="1" ht="14.25">
      <c r="J6" s="529"/>
      <c r="K6" s="529"/>
      <c r="L6" s="513"/>
      <c r="M6" s="513"/>
      <c r="N6" s="513"/>
      <c r="O6" s="468"/>
      <c r="P6" s="468"/>
      <c r="Q6" s="468"/>
      <c r="R6" s="468"/>
      <c r="S6" s="468"/>
      <c r="T6" s="468"/>
      <c r="U6" s="513"/>
    </row>
    <row s="6550" customFormat="1" customHeight="1" ht="22.5">
      <c r="A7" s="520"/>
      <c r="B7" s="520"/>
      <c r="C7" s="520"/>
      <c r="D7" s="520"/>
      <c r="E7" s="520"/>
      <c r="F7" s="520"/>
      <c r="G7" s="520"/>
      <c r="H7" s="520"/>
      <c r="L7" s="414"/>
      <c r="M7" s="432" t="s">
        <v>39</v>
      </c>
      <c r="N7" s="441"/>
      <c r="O7" s="2454">
        <f>IF(NameOrPr_ch="",IF(NameOrPr="","",NameOrPr),NameOrPr_ch)</f>
      </c>
      <c r="P7" s="2455"/>
      <c r="Q7" s="2455"/>
      <c r="R7" s="2455"/>
      <c r="S7" s="2455"/>
      <c r="T7" s="2456"/>
      <c r="U7" s="1453"/>
      <c r="Y7" s="520"/>
      <c r="Z7" s="520"/>
      <c r="AA7" s="520"/>
      <c r="AB7" s="520"/>
      <c r="AC7" s="520"/>
    </row>
    <row s="6550" customFormat="1" customHeight="1" ht="18.75">
      <c r="A8" s="520"/>
      <c r="B8" s="520"/>
      <c r="C8" s="520"/>
      <c r="D8" s="520"/>
      <c r="E8" s="520"/>
      <c r="F8" s="520"/>
      <c r="G8" s="520"/>
      <c r="H8" s="520"/>
      <c r="L8" s="414"/>
      <c r="M8" s="432" t="s">
        <v>1492</v>
      </c>
      <c r="N8" s="441"/>
      <c r="O8" s="2454">
        <f>IF(datePr_ch="",IF(datePr="","",datePr),datePr_ch)</f>
      </c>
      <c r="P8" s="2455"/>
      <c r="Q8" s="2455"/>
      <c r="R8" s="2455"/>
      <c r="S8" s="2455"/>
      <c r="T8" s="2456"/>
      <c r="U8" s="1453"/>
      <c r="Y8" s="520"/>
      <c r="Z8" s="520"/>
      <c r="AA8" s="520"/>
      <c r="AB8" s="520"/>
      <c r="AC8" s="520"/>
    </row>
    <row s="6550" customFormat="1" customHeight="1" ht="18.75">
      <c r="A9" s="520"/>
      <c r="B9" s="520"/>
      <c r="C9" s="520"/>
      <c r="D9" s="520"/>
      <c r="E9" s="520"/>
      <c r="F9" s="520"/>
      <c r="G9" s="520"/>
      <c r="H9" s="520"/>
      <c r="L9" s="470"/>
      <c r="M9" s="432" t="s">
        <v>1493</v>
      </c>
      <c r="N9" s="441"/>
      <c r="O9" s="2454">
        <f>IF(numberPr_ch="",IF(numberPr="","",numberPr),numberPr_ch)</f>
      </c>
      <c r="P9" s="2455"/>
      <c r="Q9" s="2455"/>
      <c r="R9" s="2455"/>
      <c r="S9" s="2455"/>
      <c r="T9" s="2456"/>
      <c r="U9" s="1453"/>
      <c r="Y9" s="520"/>
      <c r="Z9" s="520"/>
      <c r="AA9" s="520"/>
      <c r="AB9" s="520"/>
      <c r="AC9" s="520"/>
    </row>
    <row s="6550" customFormat="1" customHeight="1" ht="18.75">
      <c r="A10" s="520"/>
      <c r="B10" s="520"/>
      <c r="C10" s="520"/>
      <c r="D10" s="520"/>
      <c r="E10" s="520"/>
      <c r="F10" s="520"/>
      <c r="G10" s="520"/>
      <c r="H10" s="520"/>
      <c r="L10" s="470"/>
      <c r="M10" s="432" t="s">
        <v>40</v>
      </c>
      <c r="N10" s="441"/>
      <c r="O10" s="2454">
        <f>IF(IstPub_ch="",IF(IstPub="","",IstPub),IstPub_ch)</f>
      </c>
      <c r="P10" s="2455"/>
      <c r="Q10" s="2455"/>
      <c r="R10" s="2455"/>
      <c r="S10" s="2455"/>
      <c r="T10" s="2456"/>
      <c r="U10" s="1453"/>
      <c r="Y10" s="520"/>
      <c r="Z10" s="520"/>
      <c r="AA10" s="520"/>
      <c r="AB10" s="520"/>
      <c r="AC10" s="520"/>
    </row>
    <row s="6816" customFormat="1" customHeight="1" ht="18.75" hidden="1">
      <c r="A11" s="1457"/>
      <c r="B11" s="1457"/>
      <c r="C11" s="1457"/>
      <c r="D11" s="1457"/>
      <c r="E11" s="1457"/>
      <c r="F11" s="1457"/>
      <c r="G11" s="1457"/>
      <c r="H11" s="1457"/>
      <c r="L11" s="470"/>
      <c r="M11" s="467"/>
      <c r="O11" s="1458"/>
      <c r="P11" s="1458"/>
      <c r="Q11" s="520" t="s">
        <v>1578</v>
      </c>
      <c r="R11" s="520" t="s">
        <v>1579</v>
      </c>
      <c r="S11" s="1458"/>
      <c r="T11" s="1458"/>
      <c r="U11" s="1453"/>
      <c r="Y11" s="1457"/>
      <c r="Z11" s="1457"/>
      <c r="AA11" s="1457"/>
      <c r="AB11" s="1457"/>
      <c r="AC11" s="1457"/>
    </row>
    <row s="6550" customFormat="1" customHeight="1" ht="11.25" hidden="1">
      <c r="A12" s="520"/>
      <c r="B12" s="520"/>
      <c r="C12" s="520"/>
      <c r="D12" s="520"/>
      <c r="E12" s="520"/>
      <c r="F12" s="520"/>
      <c r="G12" s="520"/>
      <c r="H12" s="520"/>
      <c r="L12" s="2444"/>
      <c r="M12" s="2444"/>
      <c r="N12" s="1420"/>
      <c r="O12" s="474"/>
      <c r="P12" s="474"/>
      <c r="Q12" s="474"/>
      <c r="R12" s="474"/>
      <c r="S12" s="474"/>
      <c r="T12" s="474"/>
      <c r="U12" s="1456"/>
      <c r="V12" s="415" t="s">
        <v>1496</v>
      </c>
      <c r="Y12" s="520"/>
      <c r="Z12" s="520"/>
      <c r="AA12" s="520"/>
      <c r="AB12" s="520"/>
      <c r="AC12" s="520"/>
    </row>
    <row customHeight="1" ht="14.25">
      <c r="J13" s="529"/>
      <c r="K13" s="529"/>
      <c r="L13" s="513"/>
      <c r="M13" s="513"/>
      <c r="N13" s="513"/>
      <c r="O13" s="1459"/>
      <c r="P13" s="1459"/>
      <c r="Q13" s="2457"/>
      <c r="R13" s="2457"/>
      <c r="S13" s="2457"/>
      <c r="T13" s="2457"/>
      <c r="U13" s="2457"/>
      <c r="V13" s="2457"/>
    </row>
    <row customHeight="1" ht="14.25">
      <c r="J14" s="529"/>
      <c r="K14" s="529"/>
      <c r="L14" s="2204" t="s">
        <v>300</v>
      </c>
      <c r="M14" s="2204"/>
      <c r="N14" s="2204"/>
      <c r="O14" s="2204"/>
      <c r="P14" s="2204"/>
      <c r="Q14" s="2204"/>
      <c r="R14" s="2204"/>
      <c r="S14" s="2204"/>
      <c r="T14" s="2204"/>
      <c r="U14" s="2204"/>
      <c r="V14" s="2204"/>
      <c r="W14" s="2204"/>
      <c r="X14" s="2204" t="s">
        <v>301</v>
      </c>
    </row>
    <row customHeight="1" ht="14.25">
      <c r="J15" s="529"/>
      <c r="K15" s="529"/>
      <c r="L15" s="2228" t="s">
        <v>87</v>
      </c>
      <c r="M15" s="2228" t="s">
        <v>1580</v>
      </c>
      <c r="N15" s="1419"/>
      <c r="O15" s="2228" t="s">
        <v>1581</v>
      </c>
      <c r="P15" s="2458" t="s">
        <v>1582</v>
      </c>
      <c r="Q15" s="2458" t="s">
        <v>1562</v>
      </c>
      <c r="R15" s="2458"/>
      <c r="S15" s="2458"/>
      <c r="T15" s="2458"/>
      <c r="U15" s="2458"/>
      <c r="V15" s="2228" t="s">
        <v>1499</v>
      </c>
      <c r="W15" s="2459" t="s">
        <v>1563</v>
      </c>
      <c r="X15" s="2204"/>
    </row>
    <row customHeight="1" ht="25.5">
      <c r="J16" s="529"/>
      <c r="K16" s="529"/>
      <c r="L16" s="2228"/>
      <c r="M16" s="2228"/>
      <c r="N16" s="1419"/>
      <c r="O16" s="2228"/>
      <c r="P16" s="2458"/>
      <c r="Q16" s="2458" t="s">
        <v>1583</v>
      </c>
      <c r="R16" s="2458"/>
      <c r="S16" s="2461" t="s">
        <v>1523</v>
      </c>
      <c r="T16" s="2461"/>
      <c r="U16" s="2461"/>
      <c r="V16" s="2228"/>
      <c r="W16" s="2459"/>
      <c r="X16" s="2204"/>
    </row>
    <row customHeight="1" ht="14.25">
      <c r="J17" s="529"/>
      <c r="K17" s="529"/>
      <c r="L17" s="2228"/>
      <c r="M17" s="2228"/>
      <c r="N17" s="1419"/>
      <c r="O17" s="2228"/>
      <c r="P17" s="2458"/>
      <c r="Q17" s="1419" t="s">
        <v>1558</v>
      </c>
      <c r="R17" s="1419" t="s">
        <v>1559</v>
      </c>
      <c r="S17" s="1423" t="s">
        <v>1515</v>
      </c>
      <c r="T17" s="2462" t="s">
        <v>1516</v>
      </c>
      <c r="U17" s="2462"/>
      <c r="V17" s="2228"/>
      <c r="W17" s="2459"/>
      <c r="X17" s="2204"/>
    </row>
    <row customHeight="1" ht="14.25">
      <c r="J18" s="529"/>
      <c r="K18" s="428">
        <v>1</v>
      </c>
      <c r="L18" s="612" t="s">
        <v>118</v>
      </c>
      <c r="M18" s="612" t="s">
        <v>102</v>
      </c>
      <c r="N18" s="1455" t="s">
        <v>102</v>
      </c>
      <c r="O18" s="1421">
        <f>OFFSET(O18,0,-1)+1</f>
        <v>3</v>
      </c>
      <c r="P18" s="1421">
        <f>OFFSET(P18,0,-1)+1</f>
        <v>4</v>
      </c>
      <c r="Q18" s="1421">
        <f>OFFSET(Q18,0,-1)+1</f>
        <v>5</v>
      </c>
      <c r="R18" s="1421">
        <f>OFFSET(R18,0,-1)+1</f>
        <v>6</v>
      </c>
      <c r="S18" s="1421">
        <f>OFFSET(S18,0,-1)+1</f>
        <v>7</v>
      </c>
      <c r="T18" s="2463">
        <f>OFFSET(T18,0,-1)+1</f>
        <v>8</v>
      </c>
      <c r="U18" s="2463"/>
      <c r="V18" s="1421">
        <f>OFFSET(V18,0,-2)+1</f>
        <v>9</v>
      </c>
      <c r="X18" s="1421">
        <f>OFFSET(X18,0,-2)+1</f>
        <v>10</v>
      </c>
    </row>
    <row customHeight="1" ht="22.5">
      <c r="A19" s="2350">
        <v>1</v>
      </c>
      <c r="B19" s="682"/>
      <c r="C19" s="682"/>
      <c r="D19" s="682"/>
      <c r="E19" s="682"/>
      <c r="F19" s="682"/>
      <c r="G19" s="536"/>
      <c r="H19" s="536"/>
      <c r="I19" s="509"/>
      <c r="J19" s="529"/>
      <c r="K19" s="529"/>
      <c r="L19" s="1428">
        <f>MERGEVALUE(A19)</f>
      </c>
      <c r="M19" s="435" t="s">
        <v>132</v>
      </c>
      <c r="N19" s="454"/>
      <c r="O19" s="2460"/>
      <c r="P19" s="2460"/>
      <c r="Q19" s="2460"/>
      <c r="R19" s="2460"/>
      <c r="S19" s="2460"/>
      <c r="T19" s="2460"/>
      <c r="U19" s="2460"/>
      <c r="V19" s="2460"/>
      <c r="W19" s="2460"/>
      <c r="X19" s="493" t="s">
        <v>1468</v>
      </c>
    </row>
    <row customHeight="1" ht="22.5">
      <c r="A20" s="2350"/>
      <c r="B20" s="2350">
        <v>1</v>
      </c>
      <c r="C20" s="682"/>
      <c r="D20" s="682"/>
      <c r="E20" s="682"/>
      <c r="F20" s="682"/>
      <c r="G20" s="538"/>
      <c r="H20" s="1422"/>
      <c r="I20" s="511"/>
      <c r="J20" s="1429"/>
      <c r="K20" s="1343"/>
      <c r="L20" s="1428">
        <f>MERGEVALUE(A20)&amp;"."&amp;MERGEVALUE(B20)</f>
      </c>
      <c r="M20" s="447" t="s">
        <v>1469</v>
      </c>
      <c r="N20" s="454"/>
      <c r="O20" s="2460"/>
      <c r="P20" s="2460"/>
      <c r="Q20" s="2460"/>
      <c r="R20" s="2460"/>
      <c r="S20" s="2460"/>
      <c r="T20" s="2460"/>
      <c r="U20" s="2460"/>
      <c r="V20" s="2460"/>
      <c r="W20" s="2460"/>
      <c r="X20" s="493" t="s">
        <v>1470</v>
      </c>
    </row>
    <row customHeight="1" ht="22.5">
      <c r="A21" s="2350"/>
      <c r="B21" s="2350"/>
      <c r="C21" s="2350">
        <v>1</v>
      </c>
      <c r="D21" s="682"/>
      <c r="E21" s="682"/>
      <c r="F21" s="682"/>
      <c r="G21" s="538"/>
      <c r="H21" s="1422"/>
      <c r="I21" s="512"/>
      <c r="J21" s="1429"/>
      <c r="K21" s="1343"/>
      <c r="L21" s="1428">
        <f>MERGEVALUE(A21)&amp;"."&amp;MERGEVALUE(B21)&amp;"."&amp;MERGEVALUE(C21)</f>
      </c>
      <c r="M21" s="448" t="s">
        <v>1471</v>
      </c>
      <c r="N21" s="454"/>
      <c r="O21" s="2460"/>
      <c r="P21" s="2460"/>
      <c r="Q21" s="2460"/>
      <c r="R21" s="2460"/>
      <c r="S21" s="2460"/>
      <c r="T21" s="2460"/>
      <c r="U21" s="2460"/>
      <c r="V21" s="2460"/>
      <c r="W21" s="2460"/>
      <c r="X21" s="493" t="s">
        <v>1472</v>
      </c>
    </row>
    <row customHeight="1" ht="14.25">
      <c r="A22" s="2350"/>
      <c r="B22" s="2350"/>
      <c r="C22" s="2350"/>
      <c r="D22" s="2350">
        <v>1</v>
      </c>
      <c r="E22" s="682"/>
      <c r="F22" s="682"/>
      <c r="G22" s="538"/>
      <c r="H22" s="1422"/>
      <c r="I22" s="512"/>
      <c r="J22" s="510"/>
      <c r="K22" s="1343"/>
      <c r="L22" s="1428">
        <f>MERGEVALUE(A22)&amp;"."&amp;MERGEVALUE(B22)&amp;"."&amp;MERGEVALUE(C22)&amp;"."&amp;MERGEVALUE(D22)</f>
      </c>
      <c r="M22" s="449" t="s">
        <v>1473</v>
      </c>
      <c r="N22" s="454"/>
      <c r="O22" s="2460"/>
      <c r="P22" s="2460"/>
      <c r="Q22" s="2460"/>
      <c r="R22" s="2460"/>
      <c r="S22" s="2460"/>
      <c r="T22" s="2460"/>
      <c r="U22" s="2460"/>
      <c r="V22" s="2460"/>
      <c r="W22" s="2460"/>
      <c r="X22" s="485" t="s">
        <v>1584</v>
      </c>
    </row>
    <row customHeight="1" ht="22.5">
      <c r="A23" s="2350"/>
      <c r="B23" s="2350"/>
      <c r="C23" s="2350"/>
      <c r="D23" s="2350"/>
      <c r="E23" s="682">
        <v>1</v>
      </c>
      <c r="F23" s="682"/>
      <c r="G23" s="538"/>
      <c r="H23" s="1422"/>
      <c r="I23" s="512"/>
      <c r="J23" s="510"/>
      <c r="K23" s="615"/>
      <c r="L23" s="1428">
        <f>MERGEVALUE(A23)&amp;"."&amp;MERGEVALUE(B23)&amp;"."&amp;MERGEVALUE(C23)&amp;"."&amp;MERGEVALUE(D23)&amp;"."&amp;MERGEVALUE(E23)</f>
      </c>
      <c r="M23" s="531"/>
      <c r="N23" s="1425"/>
      <c r="O23" s="3229"/>
      <c r="P23" s="534"/>
      <c r="Q23" s="442"/>
      <c r="R23" s="442"/>
      <c r="S23" s="1976"/>
      <c r="T23" s="1417" t="s">
        <v>56</v>
      </c>
      <c r="U23" s="1461"/>
      <c r="V23" s="1417" t="s">
        <v>56</v>
      </c>
      <c r="W23" s="1462"/>
      <c r="X23" s="2214" t="s">
        <v>1585</v>
      </c>
      <c r="Y23" s="675">
        <f>STRCHECKDATETWO(N23:W23)</f>
      </c>
    </row>
    <row customHeight="1" ht="14.25" hidden="1">
      <c r="A24" s="2350"/>
      <c r="B24" s="2350"/>
      <c r="C24" s="2350"/>
      <c r="D24" s="2350"/>
      <c r="E24" s="682"/>
      <c r="F24" s="682"/>
      <c r="G24" s="538"/>
      <c r="H24" s="1422"/>
      <c r="I24" s="512"/>
      <c r="J24" s="510"/>
      <c r="K24" s="615"/>
      <c r="L24" s="1427"/>
      <c r="M24" s="450"/>
      <c r="N24" s="437"/>
      <c r="O24" s="437"/>
      <c r="P24" s="437"/>
      <c r="Q24" s="437"/>
      <c r="R24" s="3998" t="str">
        <f>S23&amp;"-"&amp;U23</f>
        <v>-</v>
      </c>
      <c r="S24" s="458"/>
      <c r="T24" s="455"/>
      <c r="U24" s="458"/>
      <c r="V24" s="437"/>
      <c r="W24" s="1463"/>
      <c r="X24" s="2215"/>
    </row>
    <row customHeight="1" ht="14.25">
      <c r="A25" s="2350"/>
      <c r="B25" s="2350"/>
      <c r="C25" s="2350"/>
      <c r="D25" s="2350"/>
      <c r="E25" s="682"/>
      <c r="F25" s="682"/>
      <c r="G25" s="538"/>
      <c r="H25" s="1422"/>
      <c r="I25" s="512"/>
      <c r="J25" s="510"/>
      <c r="K25" s="615"/>
      <c r="L25" s="446"/>
      <c r="M25" s="516" t="s">
        <v>1549</v>
      </c>
      <c r="N25" s="515"/>
      <c r="O25" s="469"/>
      <c r="P25" s="469"/>
      <c r="Q25" s="469"/>
      <c r="R25" s="469"/>
      <c r="S25" s="473"/>
      <c r="T25" s="519"/>
      <c r="U25" s="518"/>
      <c r="V25" s="515"/>
      <c r="W25" s="515"/>
      <c r="X25" s="2216"/>
    </row>
    <row s="6050" customFormat="1" customHeight="1" ht="14.25">
      <c r="A26" s="2350"/>
      <c r="B26" s="2350"/>
      <c r="C26" s="2350"/>
      <c r="D26" s="537"/>
      <c r="E26" s="537"/>
      <c r="F26" s="537"/>
      <c r="G26" s="538"/>
      <c r="H26" s="537"/>
      <c r="I26" s="512"/>
      <c r="J26" s="528"/>
      <c r="K26" s="530"/>
      <c r="L26" s="446"/>
      <c r="M26" s="524" t="s">
        <v>1564</v>
      </c>
      <c r="N26" s="515"/>
      <c r="O26" s="469"/>
      <c r="P26" s="469"/>
      <c r="Q26" s="469"/>
      <c r="R26" s="469"/>
      <c r="S26" s="473"/>
      <c r="T26" s="519"/>
      <c r="U26" s="518"/>
      <c r="V26" s="515"/>
      <c r="W26" s="519"/>
      <c r="X26" s="1464"/>
      <c r="Y26" s="535"/>
      <c r="Z26" s="535"/>
      <c r="AA26" s="535"/>
      <c r="AB26" s="535"/>
      <c r="AC26" s="535"/>
    </row>
    <row s="6050" customFormat="1" customHeight="1" ht="14.25">
      <c r="A27" s="2350"/>
      <c r="B27" s="2350"/>
      <c r="C27" s="537"/>
      <c r="D27" s="537"/>
      <c r="E27" s="537"/>
      <c r="F27" s="537"/>
      <c r="G27" s="538"/>
      <c r="H27" s="537"/>
      <c r="I27" s="508"/>
      <c r="J27" s="528"/>
      <c r="K27" s="530"/>
      <c r="L27" s="446"/>
      <c r="M27" s="515" t="s">
        <v>1565</v>
      </c>
      <c r="N27" s="515"/>
      <c r="O27" s="469"/>
      <c r="P27" s="469"/>
      <c r="Q27" s="469"/>
      <c r="R27" s="469"/>
      <c r="S27" s="473"/>
      <c r="T27" s="519"/>
      <c r="U27" s="518"/>
      <c r="V27" s="515"/>
      <c r="W27" s="519"/>
      <c r="X27" s="471"/>
      <c r="Y27" s="535"/>
      <c r="Z27" s="535"/>
      <c r="AA27" s="535"/>
      <c r="AB27" s="535"/>
      <c r="AC27" s="535"/>
    </row>
    <row s="6050" customFormat="1" customHeight="1" ht="14.25">
      <c r="A28" s="2350"/>
      <c r="B28" s="537"/>
      <c r="C28" s="537"/>
      <c r="D28" s="537"/>
      <c r="E28" s="537"/>
      <c r="F28" s="537"/>
      <c r="G28" s="538"/>
      <c r="H28" s="537"/>
      <c r="I28" s="508"/>
      <c r="J28" s="528"/>
      <c r="K28" s="530"/>
      <c r="L28" s="446"/>
      <c r="M28" s="578" t="s">
        <v>113</v>
      </c>
      <c r="N28" s="515"/>
      <c r="O28" s="469"/>
      <c r="P28" s="469"/>
      <c r="Q28" s="469"/>
      <c r="R28" s="469"/>
      <c r="S28" s="473"/>
      <c r="T28" s="519"/>
      <c r="U28" s="518"/>
      <c r="V28" s="515"/>
      <c r="W28" s="519"/>
      <c r="X28" s="471"/>
      <c r="Y28" s="535"/>
      <c r="Z28" s="535"/>
      <c r="AA28" s="535"/>
      <c r="AB28" s="535"/>
      <c r="AC28" s="535"/>
    </row>
    <row s="6050" customFormat="1" customHeight="1" ht="14.25">
      <c r="G29" s="517"/>
      <c r="H29" s="530"/>
      <c r="I29" s="527"/>
      <c r="J29" s="528"/>
      <c r="L29" s="446"/>
      <c r="M29" s="579" t="s">
        <v>1447</v>
      </c>
      <c r="N29" s="515"/>
      <c r="O29" s="469"/>
      <c r="P29" s="469"/>
      <c r="Q29" s="469"/>
      <c r="R29" s="469"/>
      <c r="S29" s="473"/>
      <c r="T29" s="519"/>
      <c r="U29" s="518"/>
      <c r="V29" s="515"/>
      <c r="W29" s="519"/>
      <c r="X29" s="471"/>
      <c r="Y29" s="535"/>
      <c r="Z29" s="535"/>
      <c r="AA29" s="535"/>
      <c r="AB29" s="535"/>
      <c r="AC29" s="535"/>
    </row>
    <row r="31" customHeight="1" ht="14.25">
      <c r="L31" s="193">
        <v>1</v>
      </c>
      <c r="M31" s="2379" t="s">
        <v>1586</v>
      </c>
      <c r="N31" s="2379"/>
      <c r="O31" s="2379"/>
      <c r="P31" s="2379"/>
      <c r="Q31" s="2379"/>
      <c r="R31" s="2379"/>
      <c r="S31" s="2379"/>
      <c r="T31" s="2379"/>
      <c r="U31" s="2379"/>
      <c r="V31" s="2379"/>
      <c r="W31" s="2379"/>
      <c r="X31" s="2379"/>
      <c r="Y31" s="1465"/>
      <c r="Z31" s="521"/>
      <c r="AA31" s="521"/>
      <c r="AB31" s="521"/>
      <c r="AC31" s="521"/>
    </row>
    <row customHeight="1" ht="14.25">
      <c r="M32" s="1466"/>
      <c r="N32" s="1466"/>
      <c r="O32" s="1466"/>
      <c r="P32" s="1466"/>
      <c r="Q32" s="1466"/>
      <c r="R32" s="1466"/>
      <c r="S32" s="1466"/>
      <c r="T32" s="1466"/>
      <c r="U32" s="1466"/>
      <c r="V32" s="1466"/>
      <c r="W32" s="1466"/>
      <c r="X32" s="1466"/>
      <c r="Y32" s="674"/>
      <c r="Z32" s="674"/>
      <c r="AA32" s="674"/>
      <c r="AB32" s="674"/>
      <c r="AC32" s="674"/>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E1126F-8F73-2C26-AF57-5CEA89EFFEA8}" mc:Ignorable="x14ac xr xr2 xr3">
  <sheetPr>
    <tabColor theme="6" tint="0.4"/>
  </sheetPr>
  <dimension ref="A1:L42"/>
  <sheetViews>
    <sheetView topLeftCell="C13" showGridLines="0" zoomScale="90" workbookViewId="0">
      <selection activeCell="A1" sqref="A1"/>
    </sheetView>
  </sheetViews>
  <sheetFormatPr defaultColWidth="10.57421875" customHeight="1" defaultRowHeight="14.25"/>
  <cols>
    <col min="1" max="1" style="6617" width="9.140625" hidden="1" customWidth="1"/>
    <col min="2" max="2" style="6461" width="9.140625" hidden="1" customWidth="1"/>
    <col min="3" max="3" style="6462" width="3.7109375" customWidth="1"/>
    <col min="4" max="4" style="5370" width="6.28125" customWidth="1"/>
    <col min="5" max="5" style="5370" width="63.421875" customWidth="1"/>
    <col min="6" max="6" style="5370" width="1.7109375" hidden="1" customWidth="1"/>
    <col min="7" max="8" style="5370" width="35.7109375" customWidth="1"/>
    <col min="9" max="9" style="5370" width="91.57421875" customWidth="1"/>
    <col min="10" max="10" style="5370" width="68.8515625" customWidth="1"/>
    <col min="11" max="12" style="5371" width="10.57421875"/>
  </cols>
  <sheetData>
    <row customHeight="1" ht="14.25" hidden="1"/>
    <row s="6130" customFormat="1" customHeight="1" ht="18.75" hidden="1">
      <c r="A2" s="1923"/>
      <c r="B2" s="1348"/>
      <c r="C2" s="1972" t="s">
        <v>103</v>
      </c>
      <c r="D2" s="1913"/>
      <c r="E2" s="4341"/>
      <c r="F2" s="1910"/>
      <c r="G2" s="1910" t="s">
        <v>306</v>
      </c>
      <c r="H2" s="1349"/>
      <c r="K2" s="1864"/>
      <c r="L2" s="1864"/>
    </row>
    <row s="6130" customFormat="1" customHeight="1" ht="14.25" hidden="1">
      <c r="A3" s="1585"/>
      <c r="B3" s="1348"/>
      <c r="C3" s="492"/>
      <c r="K3" s="1864"/>
      <c r="L3" s="1864"/>
    </row>
    <row s="6130" customFormat="1" customHeight="1" ht="18.75" hidden="1">
      <c r="A4" s="1923"/>
      <c r="B4" s="1348"/>
      <c r="C4" s="1972" t="s">
        <v>103</v>
      </c>
      <c r="D4" s="1913"/>
      <c r="E4" s="4342" t="s">
        <v>1587</v>
      </c>
      <c r="F4" s="1910"/>
      <c r="G4" s="4343"/>
      <c r="H4" s="1910" t="s">
        <v>306</v>
      </c>
      <c r="K4" s="1864"/>
      <c r="L4" s="1864"/>
    </row>
    <row s="6130" customFormat="1" customHeight="1" ht="14.25" hidden="1">
      <c r="A5" s="1585"/>
      <c r="B5" s="1348"/>
      <c r="C5" s="492"/>
      <c r="K5" s="1864"/>
      <c r="L5" s="1864"/>
    </row>
    <row s="6130" customFormat="1" customHeight="1" ht="18.75" hidden="1">
      <c r="A6" s="1923"/>
      <c r="B6" s="1348"/>
      <c r="C6" s="1972" t="s">
        <v>103</v>
      </c>
      <c r="D6" s="1913"/>
      <c r="E6" s="4344" t="s">
        <v>1588</v>
      </c>
      <c r="F6" s="1910"/>
      <c r="G6" s="4343"/>
      <c r="H6" s="1910" t="s">
        <v>306</v>
      </c>
      <c r="K6" s="1864"/>
      <c r="L6" s="1864"/>
    </row>
    <row s="6130" customFormat="1" customHeight="1" ht="14.25" hidden="1">
      <c r="A7" s="1585"/>
      <c r="B7" s="1348"/>
      <c r="C7" s="492"/>
      <c r="K7" s="1864"/>
      <c r="L7" s="1864"/>
    </row>
    <row s="6130" customFormat="1" customHeight="1" ht="18.75" hidden="1">
      <c r="A8" s="1923"/>
      <c r="B8" s="1348"/>
      <c r="C8" s="1972" t="s">
        <v>103</v>
      </c>
      <c r="D8" s="1913"/>
      <c r="E8" s="4344" t="s">
        <v>1589</v>
      </c>
      <c r="F8" s="1910"/>
      <c r="G8" s="4343"/>
      <c r="H8" s="1910" t="s">
        <v>306</v>
      </c>
      <c r="K8" s="1864"/>
      <c r="L8" s="1864"/>
    </row>
    <row s="6130" customFormat="1" customHeight="1" ht="14.25" hidden="1">
      <c r="A9" s="1585"/>
      <c r="B9" s="1348"/>
      <c r="C9" s="492"/>
      <c r="K9" s="1864"/>
      <c r="L9" s="1864"/>
    </row>
    <row s="6130" customFormat="1" customHeight="1" ht="18.75" hidden="1">
      <c r="A10" s="1923"/>
      <c r="B10" s="1348"/>
      <c r="C10" s="1972" t="s">
        <v>103</v>
      </c>
      <c r="D10" s="1913"/>
      <c r="E10" s="4344" t="s">
        <v>1590</v>
      </c>
      <c r="F10" s="1910"/>
      <c r="G10" s="1914"/>
      <c r="H10" s="1910" t="s">
        <v>306</v>
      </c>
      <c r="K10" s="1864"/>
      <c r="L10" s="1864" t="s">
        <v>1591</v>
      </c>
    </row>
    <row customHeight="1" ht="14.25" hidden="1"/>
    <row customHeight="1" ht="14.25" hidden="1"/>
    <row customHeight="1" ht="14.25">
      <c r="C13" s="227"/>
      <c r="D13" s="213"/>
      <c r="E13" s="213"/>
      <c r="F13" s="213"/>
      <c r="G13" s="213"/>
      <c r="H13" s="214"/>
      <c r="I13" s="214"/>
    </row>
    <row customHeight="1" ht="30">
      <c r="C14" s="227"/>
      <c r="D14" s="2328"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E14" s="2329"/>
      <c r="F14" s="2329"/>
      <c r="G14" s="2329"/>
      <c r="H14" s="2330"/>
      <c r="J14" s="1871"/>
    </row>
    <row s="6130" customFormat="1" customHeight="1" ht="14.25">
      <c r="A15" s="1585"/>
      <c r="B15" s="1348"/>
      <c r="C15" s="529"/>
      <c r="D15" s="233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15" s="2332"/>
      <c r="F15" s="2332"/>
      <c r="G15" s="2332"/>
      <c r="H15" s="2333"/>
      <c r="J15" s="1025"/>
      <c r="K15" s="1864"/>
      <c r="L15" s="1864"/>
    </row>
    <row customHeight="1" ht="14.25">
      <c r="C16" s="227"/>
      <c r="D16" s="213"/>
      <c r="E16" s="226"/>
      <c r="F16" s="226"/>
      <c r="G16" s="226"/>
      <c r="H16" s="918"/>
      <c r="I16" s="327"/>
    </row>
    <row s="6130" customFormat="1" customHeight="1" ht="14.25" hidden="1">
      <c r="A17" s="1585"/>
      <c r="B17" s="1348"/>
      <c r="C17" s="529"/>
      <c r="D17" s="513"/>
      <c r="E17" s="548"/>
      <c r="F17" s="548"/>
      <c r="G17" s="548"/>
      <c r="H17" s="918"/>
      <c r="I17" s="327"/>
      <c r="K17" s="1864"/>
      <c r="L17" s="1864"/>
    </row>
    <row customHeight="1" ht="21">
      <c r="C18" s="227"/>
      <c r="D18" s="2228" t="s">
        <v>300</v>
      </c>
      <c r="E18" s="2228"/>
      <c r="F18" s="2228"/>
      <c r="G18" s="2228"/>
      <c r="H18" s="2228"/>
      <c r="I18" s="2334" t="s">
        <v>301</v>
      </c>
    </row>
    <row customHeight="1" ht="21">
      <c r="C19" s="227"/>
      <c r="D19" s="237" t="s">
        <v>87</v>
      </c>
      <c r="E19" s="240" t="s">
        <v>302</v>
      </c>
      <c r="F19" s="240"/>
      <c r="G19" s="240" t="s">
        <v>303</v>
      </c>
      <c r="H19" s="240" t="s">
        <v>392</v>
      </c>
      <c r="I19" s="2334"/>
    </row>
    <row customHeight="1" ht="12">
      <c r="C20" s="227"/>
      <c r="D20" s="216" t="s">
        <v>118</v>
      </c>
      <c r="E20" s="216" t="s">
        <v>102</v>
      </c>
      <c r="F20" s="216"/>
      <c r="G20" s="216" t="s">
        <v>89</v>
      </c>
      <c r="H20" s="216" t="s">
        <v>90</v>
      </c>
      <c r="I20" s="216" t="s">
        <v>119</v>
      </c>
    </row>
    <row customHeight="1" ht="14.25">
      <c r="A21" s="1923"/>
      <c r="C21" s="227"/>
      <c r="D21" s="280">
        <v>1</v>
      </c>
      <c r="E21" s="2467" t="s">
        <v>1592</v>
      </c>
      <c r="F21" s="2467"/>
      <c r="G21" s="2467"/>
      <c r="H21" s="2467"/>
      <c r="I21" s="342"/>
    </row>
    <row customHeight="1" ht="20.25">
      <c r="A22" s="1923"/>
      <c r="C22" s="227"/>
      <c r="D22" s="280" t="s">
        <v>627</v>
      </c>
      <c r="E22" s="328" t="s">
        <v>1593</v>
      </c>
      <c r="F22" s="332"/>
      <c r="G22" s="1979"/>
      <c r="H22" s="332" t="s">
        <v>306</v>
      </c>
      <c r="I22" s="284" t="s">
        <v>1594</v>
      </c>
    </row>
    <row customHeight="1" ht="45">
      <c r="A23" s="1923"/>
      <c r="C23" s="227"/>
      <c r="D23" s="280" t="s">
        <v>633</v>
      </c>
      <c r="E23" s="328" t="s">
        <v>1595</v>
      </c>
      <c r="F23" s="332"/>
      <c r="G23" s="4343"/>
      <c r="H23" s="348"/>
      <c r="I23" s="393" t="s">
        <v>1596</v>
      </c>
    </row>
    <row customHeight="1" ht="14.25">
      <c r="A24" s="1923"/>
      <c r="B24" s="279">
        <v>3</v>
      </c>
      <c r="C24" s="227"/>
      <c r="D24" s="280">
        <v>2</v>
      </c>
      <c r="E24" s="357"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332"/>
      <c r="G24" s="332" t="s">
        <v>306</v>
      </c>
      <c r="H24" s="348"/>
      <c r="I24" s="394" t="s">
        <v>720</v>
      </c>
    </row>
    <row customHeight="1" ht="46.5">
      <c r="A25" s="1923"/>
      <c r="C25" s="227"/>
      <c r="D25" s="280">
        <v>3</v>
      </c>
      <c r="E25" s="2466"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466"/>
      <c r="G25" s="2466"/>
      <c r="H25" s="2466"/>
      <c r="I25" s="391"/>
    </row>
    <row customHeight="1" ht="14.25">
      <c r="A26" s="1923"/>
      <c r="C26" s="227"/>
      <c r="D26" s="280" t="s">
        <v>326</v>
      </c>
      <c r="E26" s="4341"/>
      <c r="F26" s="332"/>
      <c r="G26" s="332" t="s">
        <v>306</v>
      </c>
      <c r="H26" s="348"/>
      <c r="I26" s="2214" t="s">
        <v>1597</v>
      </c>
    </row>
    <row customHeight="1" ht="15">
      <c r="A27" s="1923" t="s">
        <v>118</v>
      </c>
      <c r="C27" s="227"/>
      <c r="D27" s="241"/>
      <c r="E27" s="337" t="s">
        <v>1462</v>
      </c>
      <c r="F27" s="338"/>
      <c r="G27" s="338"/>
      <c r="H27" s="335"/>
      <c r="I27" s="2216"/>
    </row>
    <row customHeight="1" ht="38.25">
      <c r="A28" s="1923"/>
      <c r="B28" s="279">
        <v>3</v>
      </c>
      <c r="C28" s="227"/>
      <c r="D28" s="280">
        <v>4</v>
      </c>
      <c r="E28" s="2466"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466"/>
      <c r="G28" s="2466"/>
      <c r="H28" s="2466"/>
      <c r="I28" s="391"/>
    </row>
    <row customHeight="1" ht="20.25">
      <c r="A29" s="1923"/>
      <c r="C29" s="227"/>
      <c r="D29" s="280" t="s">
        <v>620</v>
      </c>
      <c r="E29" s="4342" t="s">
        <v>1587</v>
      </c>
      <c r="F29" s="332"/>
      <c r="G29" s="4343"/>
      <c r="H29" s="332" t="s">
        <v>306</v>
      </c>
      <c r="I29" s="2214" t="s">
        <v>1598</v>
      </c>
    </row>
    <row customHeight="1" ht="15">
      <c r="A30" s="1923" t="s">
        <v>102</v>
      </c>
      <c r="C30" s="227"/>
      <c r="D30" s="241"/>
      <c r="E30" s="337" t="s">
        <v>1462</v>
      </c>
      <c r="F30" s="338"/>
      <c r="G30" s="338"/>
      <c r="H30" s="335"/>
      <c r="I30" s="2216"/>
    </row>
    <row customHeight="1" ht="30">
      <c r="A31" s="1923"/>
      <c r="B31" s="279">
        <v>3</v>
      </c>
      <c r="C31" s="227"/>
      <c r="D31" s="280">
        <v>5</v>
      </c>
      <c r="E31" s="2466"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1" s="2466"/>
      <c r="G31" s="2466"/>
      <c r="H31" s="2466"/>
      <c r="I31" s="391"/>
    </row>
    <row customHeight="1" ht="26.25">
      <c r="A32" s="1923"/>
      <c r="C32" s="227"/>
      <c r="D32" s="280" t="s">
        <v>315</v>
      </c>
      <c r="E32" s="2464"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2" s="2464"/>
      <c r="G32" s="2464"/>
      <c r="H32" s="2464"/>
      <c r="I32" s="391"/>
    </row>
    <row customHeight="1" ht="14.25">
      <c r="A33" s="1923"/>
      <c r="C33" s="227"/>
      <c r="D33" s="280" t="s">
        <v>628</v>
      </c>
      <c r="E33" s="4344" t="s">
        <v>1588</v>
      </c>
      <c r="F33" s="332"/>
      <c r="G33" s="4343"/>
      <c r="H33" s="332" t="s">
        <v>306</v>
      </c>
      <c r="I33" s="2214" t="s">
        <v>1599</v>
      </c>
    </row>
    <row customHeight="1" ht="15">
      <c r="A34" s="1923" t="s">
        <v>89</v>
      </c>
      <c r="C34" s="227"/>
      <c r="D34" s="241"/>
      <c r="E34" s="338" t="s">
        <v>1462</v>
      </c>
      <c r="F34" s="334"/>
      <c r="G34" s="334"/>
      <c r="H34" s="335"/>
      <c r="I34" s="2216"/>
    </row>
    <row customHeight="1" ht="24">
      <c r="A35" s="1923"/>
      <c r="C35" s="227"/>
      <c r="D35" s="280" t="s">
        <v>317</v>
      </c>
      <c r="E35" s="2464"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35" s="2464"/>
      <c r="G35" s="2464"/>
      <c r="H35" s="2464"/>
      <c r="I35" s="391"/>
    </row>
    <row customHeight="1" ht="14.25">
      <c r="A36" s="1923"/>
      <c r="C36" s="227"/>
      <c r="D36" s="280" t="s">
        <v>1600</v>
      </c>
      <c r="E36" s="4344" t="s">
        <v>1589</v>
      </c>
      <c r="F36" s="332"/>
      <c r="G36" s="4343"/>
      <c r="H36" s="332" t="s">
        <v>306</v>
      </c>
      <c r="I36" s="2465" t="s">
        <v>1601</v>
      </c>
    </row>
    <row customHeight="1" ht="15">
      <c r="A37" s="1923" t="s">
        <v>90</v>
      </c>
      <c r="C37" s="227"/>
      <c r="D37" s="241"/>
      <c r="E37" s="338" t="s">
        <v>1462</v>
      </c>
      <c r="F37" s="334"/>
      <c r="G37" s="334"/>
      <c r="H37" s="335"/>
      <c r="I37" s="2465"/>
    </row>
    <row customHeight="1" ht="26.25">
      <c r="A38" s="1923"/>
      <c r="C38" s="227"/>
      <c r="D38" s="280" t="s">
        <v>320</v>
      </c>
      <c r="E38" s="2464"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464"/>
      <c r="G38" s="2464"/>
      <c r="H38" s="2464"/>
      <c r="I38" s="391"/>
    </row>
    <row customHeight="1" ht="14.25">
      <c r="A39" s="1923"/>
      <c r="C39" s="227"/>
      <c r="D39" s="280" t="s">
        <v>1602</v>
      </c>
      <c r="E39" s="4344" t="s">
        <v>1590</v>
      </c>
      <c r="F39" s="332"/>
      <c r="G39" s="341"/>
      <c r="H39" s="332" t="s">
        <v>306</v>
      </c>
      <c r="I39" s="2214" t="s">
        <v>1603</v>
      </c>
      <c r="L39" s="290" t="s">
        <v>1591</v>
      </c>
    </row>
    <row customHeight="1" ht="15">
      <c r="A40" s="1923" t="s">
        <v>119</v>
      </c>
      <c r="C40" s="227"/>
      <c r="D40" s="241"/>
      <c r="E40" s="338" t="s">
        <v>1462</v>
      </c>
      <c r="F40" s="334"/>
      <c r="G40" s="334"/>
      <c r="H40" s="335"/>
      <c r="I40" s="2216"/>
    </row>
    <row s="6884" customFormat="1" customHeight="1" ht="3">
      <c r="A41" s="1923"/>
      <c r="K41" s="330"/>
      <c r="L41" s="330"/>
    </row>
    <row customHeight="1" ht="24.75">
      <c r="D42" s="1921" t="s">
        <v>1517</v>
      </c>
      <c r="E42" s="2379"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2" s="2379"/>
      <c r="G42" s="2379"/>
      <c r="H42" s="2379"/>
      <c r="I42" s="2379"/>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26B49B-A4C5-30F4-734C-95E2EC1C5376}"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6901" width="9.140625" hidden="1" customWidth="1"/>
    <col min="2" max="2" style="6461" width="9.140625" hidden="1" customWidth="1"/>
    <col min="3" max="3" style="6619" width="3.7109375" customWidth="1"/>
    <col min="4" max="4" style="6902" width="6.28125" customWidth="1"/>
    <col min="5" max="5" style="6902" width="38.140625" customWidth="1"/>
    <col min="6" max="7" style="6902" width="35.7109375" customWidth="1"/>
    <col min="8" max="8" style="6902" width="89.57421875" customWidth="1"/>
    <col min="9" max="9" style="6902" width="10.57421875"/>
    <col min="10" max="11" style="6903" width="10.57421875"/>
    <col min="12" max="17" style="6902" width="10.57421875"/>
  </cols>
  <sheetData>
    <row customHeight="1" ht="14.25" hidden="1">
      <c r="N1" s="390"/>
      <c r="O1" s="390"/>
      <c r="Q1" s="390"/>
    </row>
    <row s="6130" customFormat="1" customHeight="1" ht="18.75" hidden="1">
      <c r="A2" s="234"/>
      <c r="B2" s="1348"/>
      <c r="C2" s="1972" t="s">
        <v>103</v>
      </c>
      <c r="D2" s="1913"/>
      <c r="E2" s="4363"/>
      <c r="F2" s="4343"/>
      <c r="G2" s="1349"/>
      <c r="H2" s="526"/>
      <c r="I2" s="1864"/>
      <c r="J2" s="1864"/>
    </row>
    <row customHeight="1" ht="14.25" hidden="1"/>
    <row customHeight="1" ht="6">
      <c r="C4" s="529"/>
      <c r="D4" s="513"/>
      <c r="E4" s="513"/>
      <c r="F4" s="513"/>
      <c r="G4" s="214"/>
      <c r="H4" s="214"/>
    </row>
    <row customHeight="1" ht="54.75">
      <c r="C5" s="529"/>
      <c r="D5" s="2328" t="str">
        <f>PURCH_NAME_FORM</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E5" s="2329"/>
      <c r="F5" s="2329"/>
      <c r="G5" s="2330"/>
      <c r="H5" s="401"/>
    </row>
    <row s="6130" customFormat="1" customHeight="1" ht="17.25">
      <c r="A6" s="1909"/>
      <c r="B6" s="1348"/>
      <c r="C6" s="529"/>
      <c r="D6" s="233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332"/>
      <c r="F6" s="2332"/>
      <c r="G6" s="2333"/>
      <c r="H6" s="401"/>
      <c r="J6" s="1864"/>
      <c r="K6" s="1864"/>
    </row>
    <row customHeight="1" ht="14.25">
      <c r="C7" s="529"/>
      <c r="D7" s="513"/>
      <c r="E7" s="548"/>
      <c r="F7" s="548"/>
      <c r="G7" s="918"/>
      <c r="H7" s="327"/>
    </row>
    <row customHeight="1" ht="14.25">
      <c r="C8" s="529"/>
      <c r="D8" s="2228" t="s">
        <v>300</v>
      </c>
      <c r="E8" s="2228"/>
      <c r="F8" s="2228"/>
      <c r="G8" s="2228"/>
      <c r="H8" s="2334" t="s">
        <v>301</v>
      </c>
    </row>
    <row customHeight="1" ht="14.25">
      <c r="C9" s="529"/>
      <c r="D9" s="544" t="s">
        <v>87</v>
      </c>
      <c r="E9" s="240" t="s">
        <v>302</v>
      </c>
      <c r="F9" s="240" t="s">
        <v>303</v>
      </c>
      <c r="G9" s="240" t="s">
        <v>392</v>
      </c>
      <c r="H9" s="2334"/>
    </row>
    <row customHeight="1" ht="14.25">
      <c r="A10" s="491"/>
      <c r="C10" s="529"/>
      <c r="D10" s="280" t="s">
        <v>118</v>
      </c>
      <c r="E10" s="547"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4343"/>
      <c r="G10" s="348"/>
      <c r="H10" s="2214" t="s">
        <v>1604</v>
      </c>
    </row>
    <row customHeight="1" ht="14.25">
      <c r="A11" s="491"/>
      <c r="C11" s="529"/>
      <c r="D11" s="280" t="s">
        <v>102</v>
      </c>
      <c r="E11" s="547"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4343"/>
      <c r="G11" s="348"/>
      <c r="H11" s="2215"/>
    </row>
    <row customHeight="1" ht="22.5">
      <c r="A12" s="234"/>
      <c r="C12" s="545"/>
      <c r="D12" s="280" t="s">
        <v>89</v>
      </c>
      <c r="E12" s="547" t="str">
        <f>"Сведения о планировании закупочных процедур"&amp;IF(TEMPLATE_SPHERE="TKO"," &lt;1&gt;","")</f>
        <v>Сведения о планировании закупочных процедур</v>
      </c>
      <c r="F12" s="4343"/>
      <c r="G12" s="348"/>
      <c r="H12" s="2215"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498"/>
      <c r="K12" s="526"/>
    </row>
    <row customHeight="1" ht="22.5">
      <c r="A13" s="234"/>
      <c r="C13" s="545"/>
      <c r="D13" s="280" t="s">
        <v>90</v>
      </c>
      <c r="E13" s="547" t="str">
        <f>"Сведения о результатах проведения закупочных процедур"&amp;IF(TEMPLATE_SPHERE="TKO"," &lt;1&gt;","")</f>
        <v>Сведения о результатах проведения закупочных процедур</v>
      </c>
      <c r="F13" s="4343"/>
      <c r="G13" s="348"/>
      <c r="H13" s="2215"/>
      <c r="I13" s="498"/>
      <c r="K13" s="526"/>
    </row>
    <row customHeight="1" ht="14.25">
      <c r="A14" s="491"/>
      <c r="C14" s="529"/>
      <c r="D14" s="495"/>
      <c r="E14" s="554" t="s">
        <v>1462</v>
      </c>
      <c r="F14" s="497"/>
      <c r="G14" s="335"/>
      <c r="H14" s="2216"/>
    </row>
    <row s="6130" customFormat="1" customHeight="1" ht="14.25">
      <c r="A15" s="491"/>
      <c r="B15" s="1348"/>
      <c r="C15" s="529"/>
      <c r="D15" s="555"/>
      <c r="E15" s="1917"/>
      <c r="F15" s="1918"/>
      <c r="G15" s="1919"/>
      <c r="H15" s="1920"/>
      <c r="J15" s="1864"/>
      <c r="K15" s="1864"/>
    </row>
    <row customHeight="1" ht="21.75">
      <c r="D16" s="1921" t="s">
        <v>1517</v>
      </c>
      <c r="E16" s="2468" t="s">
        <v>1605</v>
      </c>
      <c r="F16" s="2468"/>
      <c r="G16" s="2468"/>
      <c r="H16" s="2468"/>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A4CF54-DE88-7CA6-EA8D-0DDF6B941D5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99B69B-11C4-4487-3507-042AB60AB9BE}"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5814" width="9.140625" hidden="1" customWidth="1"/>
    <col min="2" max="2" style="5817" width="9.140625" hidden="1" customWidth="1"/>
    <col min="3" max="3" style="6941" width="4.7109375" customWidth="1"/>
    <col min="4" max="4" style="5817" width="6.28125" customWidth="1"/>
    <col min="5" max="5" style="5817" width="47.8515625" customWidth="1"/>
    <col min="6" max="6" style="5817" width="9.57421875" customWidth="1"/>
    <col min="7" max="7" style="5367" width="25.7109375" hidden="1" customWidth="1"/>
    <col min="8" max="8" style="5367" width="34.00390625" hidden="1" customWidth="1"/>
    <col min="9" max="9" style="5817" width="25.7109375" customWidth="1"/>
    <col min="10" max="10" style="5817" width="34.00390625" customWidth="1"/>
    <col min="11" max="11" style="5368" width="50.8515625" customWidth="1"/>
    <col min="12" max="20" style="5817" width="10.57421875"/>
    <col min="21" max="21" style="6942" width="10.57421875"/>
  </cols>
  <sheetData>
    <row s="5368" customFormat="1" customHeight="1" ht="15" hidden="1">
      <c r="C1" s="836"/>
      <c r="G1" s="580">
        <v>4</v>
      </c>
      <c r="I1" s="580">
        <v>4</v>
      </c>
      <c r="U1" s="583"/>
    </row>
    <row s="6905" customFormat="1" customHeight="1" ht="15" hidden="1">
      <c r="A2" s="512"/>
      <c r="C2" s="311"/>
      <c r="D2" s="494"/>
      <c r="E2" s="837"/>
      <c r="F2" s="686"/>
      <c r="G2" s="780"/>
      <c r="H2" s="780"/>
      <c r="I2" s="780"/>
      <c r="J2" s="780"/>
      <c r="U2" s="838"/>
    </row>
    <row s="5368" customFormat="1" customHeight="1" ht="15" hidden="1">
      <c r="C3" s="836"/>
      <c r="U3" s="583"/>
    </row>
    <row customHeight="1" ht="15">
      <c r="C4" s="311"/>
      <c r="D4" s="673"/>
      <c r="E4" s="673"/>
      <c r="F4" s="673"/>
      <c r="G4" s="673"/>
      <c r="H4" s="673"/>
      <c r="I4" s="673"/>
      <c r="J4" s="673"/>
    </row>
    <row customHeight="1" ht="63">
      <c r="C5" s="311"/>
      <c r="D5" s="2123" t="s">
        <v>1606</v>
      </c>
      <c r="E5" s="2124"/>
      <c r="F5" s="2124"/>
      <c r="G5" s="2124"/>
      <c r="H5" s="2124"/>
      <c r="I5" s="2124"/>
      <c r="J5" s="2125"/>
    </row>
    <row customHeight="1" ht="15">
      <c r="C6" s="311"/>
      <c r="D6" s="2194"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195"/>
      <c r="F6" s="2195"/>
      <c r="G6" s="2195"/>
      <c r="H6" s="2195"/>
      <c r="I6" s="2195"/>
      <c r="J6" s="2196"/>
      <c r="K6" s="701"/>
    </row>
    <row customHeight="1" ht="15">
      <c r="C7" s="311"/>
      <c r="D7" s="918"/>
      <c r="E7" s="673"/>
      <c r="F7" s="673"/>
      <c r="G7" s="701">
        <v>22</v>
      </c>
      <c r="I7" s="701">
        <v>1</v>
      </c>
      <c r="J7" s="918"/>
    </row>
    <row s="5367" customFormat="1" customHeight="1" ht="0.75">
      <c r="A8" s="925"/>
      <c r="C8" s="311"/>
      <c r="D8" s="673"/>
      <c r="E8" s="673"/>
      <c r="F8" s="673"/>
      <c r="G8" s="701"/>
      <c r="H8" s="918"/>
      <c r="I8" s="701" t="s">
        <v>125</v>
      </c>
      <c r="J8" s="918"/>
      <c r="K8" s="580"/>
      <c r="U8" s="839"/>
    </row>
    <row customHeight="1" ht="15">
      <c r="C9" s="311"/>
      <c r="D9" s="875"/>
      <c r="E9" s="2472" t="s">
        <v>114</v>
      </c>
      <c r="F9" s="2473"/>
      <c r="G9" s="2470" t="str">
        <f>IF(G8="","",INDEX(DIFFERENTIATION_UNMERGE_VD,MATCH(G8,DIFFERENTIATION_ID_DIFF,0)))</f>
        <v/>
      </c>
      <c r="H9" s="2471"/>
      <c r="I9" s="2470" t="str">
        <f>IF(I8="","",INDEX(DIFFERENTIATION_UNMERGE_VD,MATCH(I8,DIFFERENTIATION_ID_DIFF,0)))</f>
        <v>Водоотведение</v>
      </c>
      <c r="J9" s="2471"/>
      <c r="K9" s="2221" t="s">
        <v>301</v>
      </c>
    </row>
    <row s="5367" customFormat="1" customHeight="1" ht="15">
      <c r="A10" s="925"/>
      <c r="C10" s="311"/>
      <c r="D10" s="875"/>
      <c r="E10" s="2472" t="s">
        <v>1428</v>
      </c>
      <c r="F10" s="2473"/>
      <c r="G10" s="2470" t="str">
        <f>IF(G8="","",INDEX(DIFFERENTIATION_UNMERGE_AREA,MATCH(G8,DIFFERENTIATION_ID_DIFF,0)))</f>
        <v/>
      </c>
      <c r="H10" s="2471"/>
      <c r="I10" s="2470" t="str">
        <f>IF(I8="","",INDEX(DIFFERENTIATION_UNMERGE_AREA,MATCH(I8,DIFFERENTIATION_ID_DIFF,0)))</f>
        <v>Краснодарский край (тариф на водоотведение)  </v>
      </c>
      <c r="J10" s="2471"/>
      <c r="K10" s="2469"/>
      <c r="U10" s="839"/>
    </row>
    <row s="5367" customFormat="1" customHeight="1" ht="15">
      <c r="A11" s="925"/>
      <c r="C11" s="311"/>
      <c r="D11" s="875"/>
      <c r="E11" s="2472" t="s">
        <v>1429</v>
      </c>
      <c r="F11" s="2473"/>
      <c r="G11" s="2470" t="str">
        <f>IF(G8="","",INDEX(DIFFERENTIATION_UNMERGE_SYSTEM,MATCH(G8,DIFFERENTIATION_ID_DIFF,0)))</f>
        <v/>
      </c>
      <c r="H11" s="2471"/>
      <c r="I11" s="2470" t="str">
        <f>IF(I8="","",INDEX(DIFFERENTIATION_UNMERGE_SYSTEM,MATCH(I8,DIFFERENTIATION_ID_DIFF,0)))</f>
        <v>без дифференциации</v>
      </c>
      <c r="J11" s="2471"/>
      <c r="K11" s="2469"/>
      <c r="U11" s="839"/>
    </row>
    <row s="5367" customFormat="1" customHeight="1" ht="15">
      <c r="A12" s="925"/>
      <c r="C12" s="311"/>
      <c r="D12" s="2474" t="s">
        <v>300</v>
      </c>
      <c r="E12" s="2475"/>
      <c r="F12" s="2475"/>
      <c r="G12" s="1063"/>
      <c r="H12" s="1063"/>
      <c r="I12" s="1063"/>
      <c r="J12" s="1063"/>
      <c r="K12" s="2469"/>
      <c r="U12" s="839"/>
    </row>
    <row customHeight="1" ht="33.75">
      <c r="C13" s="311"/>
      <c r="D13" s="974" t="s">
        <v>87</v>
      </c>
      <c r="E13" s="977" t="s">
        <v>302</v>
      </c>
      <c r="F13" s="977" t="s">
        <v>1607</v>
      </c>
      <c r="G13" s="978" t="s">
        <v>303</v>
      </c>
      <c r="H13" s="977" t="s">
        <v>392</v>
      </c>
      <c r="I13" s="978" t="s">
        <v>303</v>
      </c>
      <c r="J13" s="977" t="s">
        <v>392</v>
      </c>
      <c r="K13" s="2222"/>
    </row>
    <row customHeight="1" ht="15" hidden="1">
      <c r="C14" s="311"/>
      <c r="D14" s="757" t="s">
        <v>118</v>
      </c>
      <c r="E14" s="757" t="s">
        <v>102</v>
      </c>
      <c r="F14" s="757" t="s">
        <v>89</v>
      </c>
      <c r="G14" s="823" t="str">
        <f>G1&amp;".1"</f>
        <v>4.1</v>
      </c>
      <c r="H14" s="823"/>
      <c r="I14" s="823" t="str">
        <f>I1&amp;".1"</f>
        <v>4.1</v>
      </c>
      <c r="J14" s="823"/>
      <c r="K14" s="426"/>
    </row>
    <row customHeight="1" ht="22.5" hidden="1">
      <c r="A15" s="669"/>
      <c r="C15" s="690"/>
      <c r="D15" s="685">
        <v>1</v>
      </c>
      <c r="E15" s="841" t="s">
        <v>1608</v>
      </c>
      <c r="F15" s="685" t="s">
        <v>1609</v>
      </c>
      <c r="G15" s="842"/>
      <c r="H15" s="842"/>
      <c r="I15" s="842"/>
      <c r="J15" s="842"/>
      <c r="K15" s="426" t="s">
        <v>1610</v>
      </c>
    </row>
    <row customHeight="1" ht="22.5" hidden="1">
      <c r="A16" s="669"/>
      <c r="C16" s="690"/>
      <c r="D16" s="685">
        <v>2</v>
      </c>
      <c r="E16" s="416" t="s">
        <v>1611</v>
      </c>
      <c r="F16" s="685" t="s">
        <v>1612</v>
      </c>
      <c r="G16" s="842"/>
      <c r="H16" s="842"/>
      <c r="I16" s="842"/>
      <c r="J16" s="842"/>
      <c r="K16" s="426" t="s">
        <v>1613</v>
      </c>
    </row>
    <row customHeight="1" ht="123.75" hidden="1">
      <c r="A17" s="669"/>
      <c r="C17" s="690"/>
      <c r="D17" s="685">
        <v>3</v>
      </c>
      <c r="E17" s="416" t="s">
        <v>1614</v>
      </c>
      <c r="F17" s="685" t="s">
        <v>306</v>
      </c>
      <c r="G17" s="842"/>
      <c r="H17" s="842"/>
      <c r="I17" s="842"/>
      <c r="J17" s="842"/>
      <c r="K17" s="426" t="s">
        <v>1615</v>
      </c>
    </row>
    <row customHeight="1" ht="45">
      <c r="A18" s="669"/>
      <c r="C18" s="690"/>
      <c r="D18" s="685">
        <v>4</v>
      </c>
      <c r="E18" s="416" t="s">
        <v>1616</v>
      </c>
      <c r="F18" s="685" t="s">
        <v>306</v>
      </c>
      <c r="G18" s="979" t="s">
        <v>306</v>
      </c>
      <c r="H18" s="980" t="s">
        <v>306</v>
      </c>
      <c r="I18" s="685" t="s">
        <v>306</v>
      </c>
      <c r="J18" s="742" t="s">
        <v>306</v>
      </c>
      <c r="K18" s="426" t="s">
        <v>1617</v>
      </c>
    </row>
    <row customHeight="1" ht="33.75">
      <c r="A19" s="669"/>
      <c r="C19" s="690"/>
      <c r="D19" s="703" t="s">
        <v>620</v>
      </c>
      <c r="E19" s="723" t="s">
        <v>1618</v>
      </c>
      <c r="F19" s="685" t="s">
        <v>1619</v>
      </c>
      <c r="G19" s="987"/>
      <c r="H19" s="238"/>
      <c r="I19" s="987"/>
      <c r="J19" s="988"/>
      <c r="K19" s="843"/>
    </row>
    <row customHeight="1" ht="33.75">
      <c r="A20" s="669"/>
      <c r="C20" s="690"/>
      <c r="D20" s="703" t="s">
        <v>639</v>
      </c>
      <c r="E20" s="723" t="s">
        <v>1620</v>
      </c>
      <c r="F20" s="685" t="s">
        <v>1621</v>
      </c>
      <c r="G20" s="987"/>
      <c r="H20" s="238"/>
      <c r="I20" s="987"/>
      <c r="J20" s="238"/>
      <c r="K20" s="843"/>
    </row>
    <row customHeight="1" ht="45">
      <c r="A21" s="669"/>
      <c r="C21" s="690"/>
      <c r="D21" s="703" t="s">
        <v>1622</v>
      </c>
      <c r="E21" s="723" t="s">
        <v>1623</v>
      </c>
      <c r="F21" s="685" t="s">
        <v>1624</v>
      </c>
      <c r="G21" s="844"/>
      <c r="H21" s="238"/>
      <c r="I21" s="844"/>
      <c r="J21" s="238"/>
      <c r="K21" s="843"/>
    </row>
    <row customHeight="1" ht="67.5" hidden="1">
      <c r="A22" s="669"/>
      <c r="C22" s="690"/>
      <c r="D22" s="685">
        <v>5</v>
      </c>
      <c r="E22" s="416" t="s">
        <v>1625</v>
      </c>
      <c r="F22" s="685" t="s">
        <v>1626</v>
      </c>
      <c r="G22" s="845"/>
      <c r="H22" s="846"/>
      <c r="I22" s="845"/>
      <c r="J22" s="846"/>
      <c r="K22" s="426" t="s">
        <v>1627</v>
      </c>
    </row>
    <row customHeight="1" ht="33.75" hidden="1">
      <c r="C23" s="615"/>
      <c r="D23" s="685">
        <v>6</v>
      </c>
      <c r="E23" s="416" t="s">
        <v>1628</v>
      </c>
      <c r="F23" s="685" t="s">
        <v>1629</v>
      </c>
      <c r="G23" s="845"/>
      <c r="H23" s="845"/>
      <c r="I23" s="845"/>
      <c r="J23" s="845"/>
      <c r="K23" s="426" t="s">
        <v>1630</v>
      </c>
    </row>
    <row r="29" customHeight="1" ht="15">
      <c r="J29" s="989"/>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0AEDE5-63FD-2A7B-DE65-8E914A615DC2}" mc:Ignorable="x14ac xr xr2 xr3">
  <sheetPr>
    <tabColor theme="2" tint="-0.1"/>
  </sheetPr>
  <dimension ref="A1:R22"/>
  <sheetViews>
    <sheetView topLeftCell="C4" showGridLines="0" zoomScale="90" workbookViewId="0" tabSelected="1">
      <selection activeCell="H21" sqref="H21"/>
    </sheetView>
  </sheetViews>
  <sheetFormatPr defaultColWidth="10.57421875" customHeight="1" defaultRowHeight="15"/>
  <cols>
    <col min="1" max="1" style="5814" width="9.140625" hidden="1" customWidth="1"/>
    <col min="2" max="2" style="5817" width="9.140625" hidden="1" customWidth="1"/>
    <col min="3" max="3" style="6941" width="4.7109375" customWidth="1"/>
    <col min="4" max="4" style="5817" width="6.28125" customWidth="1"/>
    <col min="5" max="5" style="5817" width="36.7109375" customWidth="1"/>
    <col min="6" max="6" style="5817" width="9.57421875" customWidth="1"/>
    <col min="7" max="7" style="5367" width="42.421875" hidden="1" customWidth="1"/>
    <col min="8" max="8" style="5817" width="40.7109375" customWidth="1"/>
    <col min="9" max="9" style="5368" width="93.421875" customWidth="1"/>
    <col min="10" max="17" style="5817" width="10.57421875"/>
    <col min="18" max="18" style="6942" width="10.57421875"/>
  </cols>
  <sheetData>
    <row s="5368" customFormat="1" customHeight="1" ht="15" hidden="1">
      <c r="C1" s="836"/>
      <c r="H1" s="580">
        <v>4</v>
      </c>
      <c r="R1" s="583"/>
    </row>
    <row customHeight="1" ht="22.5" hidden="1">
      <c r="D2" s="703"/>
      <c r="E2" s="827"/>
      <c r="F2" s="2028" t="str">
        <f>IF(TEMPLATE_SPHERE="HEAT","Гкал/час","тыс. куб. м/сутки")</f>
        <v>тыс. куб. м/сутки</v>
      </c>
      <c r="G2" s="844"/>
      <c r="H2" s="844"/>
      <c r="I2" s="426"/>
    </row>
    <row s="5368" customFormat="1" customHeight="1" ht="15" hidden="1">
      <c r="C3" s="836"/>
      <c r="R3" s="583"/>
    </row>
    <row customHeight="1" ht="15">
      <c r="C4" s="311"/>
      <c r="D4" s="673"/>
      <c r="E4" s="673"/>
      <c r="F4" s="673"/>
      <c r="G4" s="673"/>
      <c r="H4" s="673"/>
    </row>
    <row customHeight="1" ht="47.25">
      <c r="C5" s="311"/>
      <c r="D5" s="2478"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478"/>
      <c r="F5" s="2478"/>
      <c r="G5" s="2478"/>
      <c r="H5" s="2478"/>
      <c r="I5" s="701"/>
    </row>
    <row customHeight="1" ht="15">
      <c r="C6" s="311"/>
      <c r="D6" s="247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6" s="2479"/>
      <c r="F6" s="2479"/>
      <c r="G6" s="2479"/>
      <c r="H6" s="2479"/>
      <c r="I6" s="701"/>
    </row>
    <row s="5367" customFormat="1" customHeight="1" ht="15">
      <c r="A7" s="925"/>
      <c r="C7" s="311"/>
      <c r="D7" s="840"/>
      <c r="E7" s="840"/>
      <c r="F7" s="840"/>
      <c r="G7" s="840"/>
      <c r="H7" s="918"/>
      <c r="I7" s="701"/>
      <c r="R7" s="839"/>
    </row>
    <row customHeight="1" ht="0.75">
      <c r="C8" s="311"/>
      <c r="D8" s="673"/>
      <c r="E8" s="673"/>
      <c r="F8" s="673"/>
      <c r="G8" s="673"/>
      <c r="H8" s="701" t="s">
        <v>125</v>
      </c>
    </row>
    <row customHeight="1" ht="15">
      <c r="C9" s="311"/>
      <c r="D9" s="875"/>
      <c r="E9" s="2472" t="s">
        <v>114</v>
      </c>
      <c r="F9" s="2473"/>
      <c r="G9" s="986" t="str">
        <f>IF(G8="","",INDEX(DIFFERENTIATION_UNMERGE_VD,MATCH(G8,DIFFERENTIATION_ID_DIFF,0)))</f>
        <v/>
      </c>
      <c r="H9" s="986" t="str">
        <f>IF(H8="","",INDEX(DIFFERENTIATION_UNMERGE_VD,MATCH(H8,DIFFERENTIATION_ID_DIFF,0)))</f>
        <v>Водоотведение</v>
      </c>
      <c r="I9" s="2204" t="s">
        <v>301</v>
      </c>
    </row>
    <row s="5367" customFormat="1" customHeight="1" ht="15">
      <c r="A10" s="925"/>
      <c r="C10" s="311"/>
      <c r="D10" s="875"/>
      <c r="E10" s="2472" t="s">
        <v>1428</v>
      </c>
      <c r="F10" s="2473"/>
      <c r="G10" s="986" t="str">
        <f>IF(G8="","",INDEX(DIFFERENTIATION_UNMERGE_AREA,MATCH(G8,DIFFERENTIATION_ID_DIFF,0)))</f>
        <v/>
      </c>
      <c r="H10" s="986" t="str">
        <f>IF(H8="","",INDEX(DIFFERENTIATION_UNMERGE_AREA,MATCH(H8,DIFFERENTIATION_ID_DIFF,0)))</f>
        <v>Краснодарский край (тариф на водоотведение)  </v>
      </c>
      <c r="I10" s="2204"/>
      <c r="R10" s="839"/>
    </row>
    <row s="5367" customFormat="1" customHeight="1" ht="15">
      <c r="A11" s="925"/>
      <c r="C11" s="311"/>
      <c r="D11" s="875"/>
      <c r="E11" s="2472" t="s">
        <v>1429</v>
      </c>
      <c r="F11" s="2473"/>
      <c r="G11" s="986" t="str">
        <f>IF(G8="","",INDEX(DIFFERENTIATION_UNMERGE_SYSTEM,MATCH(G8,DIFFERENTIATION_ID_DIFF,0)))</f>
        <v/>
      </c>
      <c r="H11" s="986" t="str">
        <f>IF(H8="","",INDEX(DIFFERENTIATION_UNMERGE_SYSTEM,MATCH(H8,DIFFERENTIATION_ID_DIFF,0)))</f>
        <v>без дифференциации</v>
      </c>
      <c r="I11" s="2204"/>
      <c r="R11" s="839"/>
    </row>
    <row s="5367" customFormat="1" customHeight="1" ht="15">
      <c r="A12" s="925"/>
      <c r="C12" s="311"/>
      <c r="D12" s="2474" t="s">
        <v>300</v>
      </c>
      <c r="E12" s="2475"/>
      <c r="F12" s="2475"/>
      <c r="G12" s="1063"/>
      <c r="H12" s="1063"/>
      <c r="I12" s="2204"/>
      <c r="R12" s="839"/>
    </row>
    <row customHeight="1" ht="33.75">
      <c r="C13" s="311"/>
      <c r="D13" s="927" t="s">
        <v>87</v>
      </c>
      <c r="E13" s="926" t="s">
        <v>302</v>
      </c>
      <c r="F13" s="926" t="s">
        <v>1607</v>
      </c>
      <c r="G13" s="978" t="s">
        <v>303</v>
      </c>
      <c r="H13" s="920" t="s">
        <v>303</v>
      </c>
      <c r="I13" s="2204"/>
    </row>
    <row customHeight="1" ht="15" hidden="1">
      <c r="C14" s="311"/>
      <c r="D14" s="757" t="s">
        <v>118</v>
      </c>
      <c r="E14" s="757" t="s">
        <v>102</v>
      </c>
      <c r="F14" s="757" t="s">
        <v>89</v>
      </c>
      <c r="G14" s="823" t="str">
        <f>G1&amp;".1"</f>
        <v>.1</v>
      </c>
      <c r="H14" s="823" t="str">
        <f>H1&amp;".1"</f>
        <v>4.1</v>
      </c>
      <c r="I14" s="426"/>
    </row>
    <row customHeight="1" ht="15">
      <c r="A15" s="669"/>
      <c r="C15" s="690"/>
      <c r="D15" s="685">
        <v>1</v>
      </c>
      <c r="E15" s="841" t="str">
        <f>TP_P_A</f>
        <v>Количество поданных заявлений </v>
      </c>
      <c r="F15" s="685" t="s">
        <v>1631</v>
      </c>
      <c r="G15" s="849"/>
      <c r="H15" s="849">
        <v>0</v>
      </c>
      <c r="I15" s="342"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15">
      <c r="A16" s="669"/>
      <c r="C16" s="690"/>
      <c r="D16" s="685">
        <v>2</v>
      </c>
      <c r="E16" s="416" t="str">
        <f>TP_P_B</f>
        <v>Количество исполненных заявлений </v>
      </c>
      <c r="F16" s="685" t="s">
        <v>1631</v>
      </c>
      <c r="G16" s="849"/>
      <c r="H16" s="849">
        <v>0</v>
      </c>
      <c r="I16" s="342"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33.75">
      <c r="A17" s="669"/>
      <c r="C17" s="690"/>
      <c r="D17" s="685">
        <v>3</v>
      </c>
      <c r="E17" s="416" t="str">
        <f>TP_P_V</f>
        <v>Количество заявлений о заключении договоров о подключении (технологическом присоединении)</v>
      </c>
      <c r="F17" s="685" t="s">
        <v>1631</v>
      </c>
      <c r="G17" s="849"/>
      <c r="H17" s="849">
        <v>0</v>
      </c>
      <c r="I17" s="342"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row>
    <row customHeight="1" ht="22.5">
      <c r="A18" s="669"/>
      <c r="C18" s="690"/>
      <c r="D18" s="685">
        <v>4</v>
      </c>
      <c r="E18" s="416" t="str">
        <f>TP_P_V_1</f>
        <v>Причины отказа в заключении договора о подключении (технологическом присоединении) к централизованной системе водоотведения</v>
      </c>
      <c r="F18" s="685" t="s">
        <v>306</v>
      </c>
      <c r="G18" s="850"/>
      <c r="H18" s="850"/>
      <c r="I18" s="1011"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669"/>
      <c r="C19" s="690"/>
      <c r="D19" s="685">
        <v>5</v>
      </c>
      <c r="E19" s="416"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685" t="str">
        <f>IF(TEMPLATE_SPHERE="HEAT","Гкал/час","тыс. куб. м/сутки")</f>
        <v>тыс. куб. м/сутки</v>
      </c>
      <c r="G19" s="851">
        <f>SUM(G20:G22)</f>
        <v>0</v>
      </c>
      <c r="H19" s="851">
        <f>SUM(H20:H22)</f>
        <v>2</v>
      </c>
      <c r="I19" s="342"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row>
    <row customHeight="1" ht="15" hidden="1">
      <c r="D20" s="673" t="s">
        <v>1632</v>
      </c>
      <c r="E20" s="852"/>
      <c r="F20" s="673"/>
      <c r="G20" s="673"/>
      <c r="H20" s="673"/>
      <c r="I20" s="2030"/>
    </row>
    <row customHeight="1" ht="27.75">
      <c r="C21" s="615"/>
      <c r="D21" s="703" t="s">
        <v>315</v>
      </c>
      <c r="E21" s="834" t="s">
        <v>1633</v>
      </c>
      <c r="F21" s="2028" t="str">
        <f>IF(TEMPLATE_SPHERE="HEAT","Гкал/час","тыс. куб. м/сутки")</f>
        <v>тыс. куб. м/сутки</v>
      </c>
      <c r="G21" s="844"/>
      <c r="H21" s="844">
        <v>2</v>
      </c>
      <c r="I21" s="2476"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row>
    <row customHeight="1" ht="15">
      <c r="A22" s="669"/>
      <c r="C22" s="669"/>
      <c r="D22" s="495"/>
      <c r="E22" s="744" t="s">
        <v>1634</v>
      </c>
      <c r="F22" s="736"/>
      <c r="G22" s="736"/>
      <c r="H22" s="736"/>
      <c r="I22" s="2477"/>
      <c r="R22" s="669"/>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67F733-E3BC-5FC5-E499-6C58047F2E1E}"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5814" width="9.140625" hidden="1" customWidth="1"/>
    <col min="2" max="2" style="5817" width="9.140625" hidden="1" customWidth="1"/>
    <col min="3" max="3" style="6941" width="4.7109375" customWidth="1"/>
    <col min="4" max="4" style="5817" width="6.28125" customWidth="1"/>
    <col min="5" max="5" style="5817" width="36.7109375" customWidth="1"/>
    <col min="6" max="6" style="5817" width="9.57421875" customWidth="1"/>
    <col min="7" max="7" style="5367" width="25.7109375" hidden="1" customWidth="1"/>
    <col min="8" max="8" style="5367" width="33.7109375" hidden="1" customWidth="1"/>
    <col min="9" max="9" style="5817" width="25.7109375" customWidth="1"/>
    <col min="10" max="10" style="5817" width="33.7109375" customWidth="1"/>
    <col min="11" max="11" style="5368" width="93.421875" customWidth="1"/>
    <col min="12" max="20" style="5817" width="10.57421875"/>
    <col min="21" max="21" style="6942" width="10.57421875"/>
  </cols>
  <sheetData>
    <row s="5368" customFormat="1" customHeight="1" ht="15" hidden="1">
      <c r="C1" s="836"/>
      <c r="G1" s="580">
        <v>4</v>
      </c>
      <c r="I1" s="580">
        <v>4</v>
      </c>
      <c r="U1" s="583"/>
    </row>
    <row s="5368" customFormat="1" customHeight="1" ht="15" hidden="1">
      <c r="C2" s="836"/>
      <c r="U2" s="583"/>
    </row>
    <row customHeight="1" ht="22.5" hidden="1">
      <c r="A3" s="669"/>
      <c r="B3" s="2481"/>
      <c r="C3" s="2482"/>
      <c r="D3" s="853" t="str">
        <f>B3&amp;".1"</f>
        <v>.1</v>
      </c>
      <c r="E3" s="854" t="s">
        <v>1635</v>
      </c>
      <c r="F3" s="855" t="s">
        <v>306</v>
      </c>
      <c r="G3" s="850"/>
      <c r="H3" s="563"/>
      <c r="I3" s="850"/>
      <c r="J3" s="563"/>
      <c r="K3" s="426" t="s">
        <v>1636</v>
      </c>
    </row>
    <row customHeight="1" ht="15" hidden="1">
      <c r="A4" s="669"/>
      <c r="B4" s="2481"/>
      <c r="C4" s="2482"/>
      <c r="D4" s="853" t="str">
        <f>B3&amp;".2"</f>
        <v>.2</v>
      </c>
      <c r="E4" s="854" t="s">
        <v>1637</v>
      </c>
      <c r="F4" s="855" t="s">
        <v>306</v>
      </c>
      <c r="G4" s="1980" t="s">
        <v>17</v>
      </c>
      <c r="H4" s="563"/>
      <c r="I4" s="1980" t="s">
        <v>17</v>
      </c>
      <c r="J4" s="563"/>
      <c r="K4" s="426" t="s">
        <v>1638</v>
      </c>
    </row>
    <row s="5368" customFormat="1" customHeight="1" ht="15" hidden="1">
      <c r="C5" s="836"/>
      <c r="U5" s="583"/>
    </row>
    <row customHeight="1" ht="22.5" hidden="1">
      <c r="A6" s="669"/>
      <c r="B6" s="2481"/>
      <c r="C6" s="2482"/>
      <c r="D6" s="853" t="str">
        <f>B6&amp;".1"</f>
        <v>.1</v>
      </c>
      <c r="E6" s="854" t="s">
        <v>1639</v>
      </c>
      <c r="F6" s="855" t="s">
        <v>306</v>
      </c>
      <c r="G6" s="850"/>
      <c r="H6" s="563"/>
      <c r="I6" s="850"/>
      <c r="J6" s="563"/>
      <c r="K6" s="426" t="s">
        <v>1640</v>
      </c>
    </row>
    <row customHeight="1" ht="15" hidden="1">
      <c r="A7" s="669"/>
      <c r="B7" s="2481"/>
      <c r="C7" s="2482"/>
      <c r="D7" s="853" t="str">
        <f>B6&amp;".2"</f>
        <v>.2</v>
      </c>
      <c r="E7" s="854" t="s">
        <v>1637</v>
      </c>
      <c r="F7" s="855" t="s">
        <v>306</v>
      </c>
      <c r="G7" s="1980" t="s">
        <v>17</v>
      </c>
      <c r="H7" s="563"/>
      <c r="I7" s="1980" t="s">
        <v>17</v>
      </c>
      <c r="J7" s="563"/>
      <c r="K7" s="426" t="s">
        <v>1638</v>
      </c>
    </row>
    <row s="5368" customFormat="1" customHeight="1" ht="15" hidden="1">
      <c r="C8" s="836"/>
      <c r="U8" s="583"/>
    </row>
    <row customHeight="1" ht="22.5" hidden="1">
      <c r="A9" s="669"/>
      <c r="B9" s="2481"/>
      <c r="C9" s="2482"/>
      <c r="D9" s="853" t="str">
        <f>B9&amp;".1"</f>
        <v>.1</v>
      </c>
      <c r="E9" s="854" t="s">
        <v>1641</v>
      </c>
      <c r="F9" s="855" t="s">
        <v>306</v>
      </c>
      <c r="G9" s="861" t="s">
        <v>17</v>
      </c>
      <c r="H9" s="563" t="s">
        <v>17</v>
      </c>
      <c r="I9" s="861" t="s">
        <v>17</v>
      </c>
      <c r="J9" s="563" t="s">
        <v>17</v>
      </c>
      <c r="K9" s="426"/>
    </row>
    <row customHeight="1" ht="15" hidden="1">
      <c r="A10" s="669"/>
      <c r="B10" s="2481"/>
      <c r="C10" s="2482"/>
      <c r="D10" s="853" t="str">
        <f>B9&amp;".2"</f>
        <v>.2</v>
      </c>
      <c r="E10" s="854" t="s">
        <v>1642</v>
      </c>
      <c r="F10" s="855" t="s">
        <v>306</v>
      </c>
      <c r="G10" s="1974" t="s">
        <v>17</v>
      </c>
      <c r="H10" s="563" t="s">
        <v>17</v>
      </c>
      <c r="I10" s="1974" t="s">
        <v>17</v>
      </c>
      <c r="J10" s="563" t="s">
        <v>17</v>
      </c>
      <c r="K10" s="426" t="s">
        <v>1643</v>
      </c>
    </row>
    <row customHeight="1" ht="15" hidden="1">
      <c r="A11" s="669"/>
      <c r="B11" s="2481"/>
      <c r="C11" s="2482"/>
      <c r="D11" s="853" t="str">
        <f>B9&amp;".3"</f>
        <v>.3</v>
      </c>
      <c r="E11" s="854" t="s">
        <v>1644</v>
      </c>
      <c r="F11" s="855" t="s">
        <v>306</v>
      </c>
      <c r="G11" s="1974" t="s">
        <v>17</v>
      </c>
      <c r="H11" s="563" t="s">
        <v>17</v>
      </c>
      <c r="I11" s="1974" t="s">
        <v>17</v>
      </c>
      <c r="J11" s="563" t="s">
        <v>17</v>
      </c>
      <c r="K11" s="426" t="s">
        <v>1645</v>
      </c>
    </row>
    <row s="5368" customFormat="1" customHeight="1" ht="15" hidden="1">
      <c r="C12" s="836"/>
      <c r="U12" s="583"/>
    </row>
    <row customHeight="1" ht="33.75" hidden="1">
      <c r="A13" s="669"/>
      <c r="B13" s="2481"/>
      <c r="C13" s="2482"/>
      <c r="D13" s="853" t="str">
        <f>B13&amp;".1"</f>
        <v>.1</v>
      </c>
      <c r="E13" s="854" t="s">
        <v>1646</v>
      </c>
      <c r="F13" s="855" t="s">
        <v>306</v>
      </c>
      <c r="G13" s="861" t="s">
        <v>17</v>
      </c>
      <c r="H13" s="563" t="s">
        <v>17</v>
      </c>
      <c r="I13" s="861" t="s">
        <v>17</v>
      </c>
      <c r="J13" s="563" t="s">
        <v>17</v>
      </c>
      <c r="K13" s="426" t="s">
        <v>1647</v>
      </c>
    </row>
    <row customHeight="1" ht="15" hidden="1">
      <c r="B14" s="2481"/>
      <c r="C14" s="2482"/>
      <c r="D14" s="853" t="str">
        <f>B13&amp;".2"</f>
        <v>.2</v>
      </c>
      <c r="E14" s="854" t="s">
        <v>1648</v>
      </c>
      <c r="F14" s="855" t="s">
        <v>306</v>
      </c>
      <c r="G14" s="1974" t="s">
        <v>17</v>
      </c>
      <c r="H14" s="563" t="s">
        <v>17</v>
      </c>
      <c r="I14" s="1974" t="s">
        <v>17</v>
      </c>
      <c r="J14" s="563" t="s">
        <v>17</v>
      </c>
      <c r="K14" s="426" t="s">
        <v>1649</v>
      </c>
    </row>
    <row s="5368" customFormat="1" customHeight="1" ht="15" hidden="1">
      <c r="C15" s="836"/>
      <c r="U15" s="583"/>
    </row>
    <row s="5368" customFormat="1" customHeight="1" ht="15" hidden="1">
      <c r="C16" s="836"/>
      <c r="U16" s="583"/>
    </row>
    <row s="5368" customFormat="1" customHeight="1" ht="15" hidden="1">
      <c r="C17" s="836"/>
      <c r="U17" s="583"/>
    </row>
    <row s="5368" customFormat="1" customHeight="1" ht="15" hidden="1">
      <c r="C18" s="836"/>
      <c r="U18" s="583"/>
    </row>
    <row s="5368" customFormat="1" customHeight="1" ht="15" hidden="1">
      <c r="C19" s="836"/>
      <c r="U19" s="583"/>
    </row>
    <row s="5368" customFormat="1" customHeight="1" ht="15" hidden="1">
      <c r="C20" s="836"/>
      <c r="U20" s="583"/>
    </row>
    <row customHeight="1" ht="15">
      <c r="C21" s="311"/>
      <c r="D21" s="673"/>
      <c r="E21" s="673"/>
      <c r="F21" s="673"/>
      <c r="G21" s="673"/>
      <c r="H21" s="673"/>
      <c r="I21" s="673"/>
      <c r="J21" s="673"/>
    </row>
    <row customHeight="1" ht="27.75">
      <c r="C22" s="311"/>
      <c r="D22" s="2478" t="s">
        <v>1650</v>
      </c>
      <c r="E22" s="2478"/>
      <c r="F22" s="2478"/>
      <c r="G22" s="2478"/>
      <c r="H22" s="2478"/>
      <c r="I22" s="2478"/>
      <c r="J22" s="840"/>
      <c r="K22" s="701"/>
    </row>
    <row customHeight="1" ht="15">
      <c r="C23" s="311"/>
      <c r="D23" s="247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23" s="2479"/>
      <c r="F23" s="2479"/>
      <c r="G23" s="2479"/>
      <c r="H23" s="2479"/>
      <c r="I23" s="2479"/>
      <c r="J23" s="840"/>
      <c r="K23" s="701"/>
    </row>
    <row customHeight="1" ht="15">
      <c r="C24" s="311"/>
      <c r="D24" s="673"/>
      <c r="E24" s="673"/>
      <c r="F24" s="673"/>
      <c r="G24" s="701">
        <v>22</v>
      </c>
      <c r="H24" s="918"/>
      <c r="I24" s="701">
        <v>22</v>
      </c>
      <c r="J24" s="918"/>
    </row>
    <row s="5367" customFormat="1" customHeight="1" ht="0.75">
      <c r="A25" s="925"/>
      <c r="C25" s="311"/>
      <c r="D25" s="673"/>
      <c r="E25" s="673"/>
      <c r="F25" s="673"/>
      <c r="G25" s="701"/>
      <c r="H25" s="918"/>
      <c r="I25" s="701" t="s">
        <v>125</v>
      </c>
      <c r="J25" s="918"/>
      <c r="K25" s="580"/>
      <c r="U25" s="839"/>
    </row>
    <row customHeight="1" ht="15">
      <c r="C26" s="311"/>
      <c r="D26" s="875"/>
      <c r="E26" s="2472" t="s">
        <v>114</v>
      </c>
      <c r="F26" s="2473"/>
      <c r="G26" s="2470" t="str">
        <f>IF(G25="","",INDEX(DIFFERENTIATION_UNMERGE_VD,MATCH(G25,DIFFERENTIATION_ID_DIFF,0)))</f>
        <v/>
      </c>
      <c r="H26" s="2471"/>
      <c r="I26" s="2470" t="str">
        <f>IF(I25="","",INDEX(DIFFERENTIATION_UNMERGE_VD,MATCH(I25,DIFFERENTIATION_ID_DIFF,0)))</f>
        <v>Водоотведение</v>
      </c>
      <c r="J26" s="2471"/>
      <c r="K26" s="2221" t="s">
        <v>301</v>
      </c>
    </row>
    <row s="5367" customFormat="1" customHeight="1" ht="15">
      <c r="A27" s="925"/>
      <c r="C27" s="311"/>
      <c r="D27" s="875"/>
      <c r="E27" s="2472" t="s">
        <v>1428</v>
      </c>
      <c r="F27" s="2473"/>
      <c r="G27" s="2470" t="str">
        <f>IF(G25="","",INDEX(DIFFERENTIATION_UNMERGE_AREA,MATCH(G25,DIFFERENTIATION_ID_DIFF,0)))</f>
        <v/>
      </c>
      <c r="H27" s="2471"/>
      <c r="I27" s="2470" t="str">
        <f>IF(I25="","",INDEX(DIFFERENTIATION_UNMERGE_AREA,MATCH(I25,DIFFERENTIATION_ID_DIFF,0)))</f>
        <v>Краснодарский край (тариф на водоотведение)  </v>
      </c>
      <c r="J27" s="2471"/>
      <c r="K27" s="2480"/>
      <c r="U27" s="839"/>
    </row>
    <row s="5367" customFormat="1" customHeight="1" ht="15">
      <c r="A28" s="925"/>
      <c r="C28" s="311"/>
      <c r="D28" s="875"/>
      <c r="E28" s="2472" t="s">
        <v>1429</v>
      </c>
      <c r="F28" s="2473"/>
      <c r="G28" s="2470" t="str">
        <f>IF(G25="","",INDEX(DIFFERENTIATION_UNMERGE_SYSTEM,MATCH(G25,DIFFERENTIATION_ID_DIFF,0)))</f>
        <v/>
      </c>
      <c r="H28" s="2471"/>
      <c r="I28" s="2470" t="str">
        <f>IF(I25="","",INDEX(DIFFERENTIATION_UNMERGE_SYSTEM,MATCH(I25,DIFFERENTIATION_ID_DIFF,0)))</f>
        <v>без дифференциации</v>
      </c>
      <c r="J28" s="2471"/>
      <c r="K28" s="2480"/>
      <c r="U28" s="839"/>
    </row>
    <row s="5367" customFormat="1" customHeight="1" ht="15">
      <c r="A29" s="925"/>
      <c r="C29" s="311"/>
      <c r="D29" s="2474" t="s">
        <v>300</v>
      </c>
      <c r="E29" s="2475"/>
      <c r="F29" s="2475"/>
      <c r="G29" s="1063"/>
      <c r="H29" s="1063"/>
      <c r="I29" s="1063"/>
      <c r="J29" s="1064"/>
      <c r="K29" s="2480"/>
      <c r="U29" s="839"/>
    </row>
    <row customHeight="1" ht="33.75">
      <c r="C30" s="311"/>
      <c r="D30" s="927" t="s">
        <v>87</v>
      </c>
      <c r="E30" s="926" t="s">
        <v>302</v>
      </c>
      <c r="F30" s="926" t="s">
        <v>1607</v>
      </c>
      <c r="G30" s="978" t="s">
        <v>303</v>
      </c>
      <c r="H30" s="977" t="s">
        <v>392</v>
      </c>
      <c r="I30" s="848" t="s">
        <v>303</v>
      </c>
      <c r="J30" s="629" t="s">
        <v>392</v>
      </c>
      <c r="K30" s="2220"/>
    </row>
    <row customHeight="1" ht="15" hidden="1">
      <c r="C31" s="311"/>
      <c r="D31" s="757"/>
      <c r="E31" s="757"/>
      <c r="F31" s="757"/>
      <c r="G31" s="823"/>
      <c r="H31" s="823"/>
      <c r="I31" s="823"/>
      <c r="J31" s="823"/>
      <c r="K31" s="426"/>
    </row>
    <row customHeight="1" ht="22.5">
      <c r="A32" s="669"/>
      <c r="B32" s="669" t="s">
        <v>1651</v>
      </c>
      <c r="C32" s="690"/>
      <c r="D32" s="856">
        <v>1</v>
      </c>
      <c r="E32" s="857" t="s">
        <v>1652</v>
      </c>
      <c r="F32" s="855" t="s">
        <v>306</v>
      </c>
      <c r="G32" s="983" t="s">
        <v>306</v>
      </c>
      <c r="H32" s="983" t="s">
        <v>306</v>
      </c>
      <c r="I32" s="855" t="s">
        <v>306</v>
      </c>
      <c r="J32" s="855" t="s">
        <v>306</v>
      </c>
      <c r="K32" s="426"/>
    </row>
    <row customHeight="1" ht="11.25">
      <c r="A33" s="669"/>
      <c r="C33" s="669"/>
      <c r="D33" s="495"/>
      <c r="E33" s="744" t="s">
        <v>1564</v>
      </c>
      <c r="F33" s="736"/>
      <c r="G33" s="736"/>
      <c r="H33" s="736"/>
      <c r="I33" s="736"/>
      <c r="J33" s="736"/>
      <c r="K33" s="737"/>
      <c r="U33" s="669"/>
    </row>
    <row customHeight="1" ht="22.5">
      <c r="A34" s="669"/>
      <c r="B34" s="745" t="s">
        <v>1461</v>
      </c>
      <c r="C34" s="690"/>
      <c r="D34" s="856">
        <v>2</v>
      </c>
      <c r="E34" s="857" t="s">
        <v>1653</v>
      </c>
      <c r="F34" s="990" t="s">
        <v>306</v>
      </c>
      <c r="G34" s="990" t="s">
        <v>306</v>
      </c>
      <c r="H34" s="990" t="s">
        <v>306</v>
      </c>
      <c r="I34" s="855"/>
      <c r="J34" s="855"/>
      <c r="K34" s="426"/>
    </row>
    <row customHeight="1" ht="11.25">
      <c r="A35" s="669"/>
      <c r="C35" s="669"/>
      <c r="D35" s="495"/>
      <c r="E35" s="744" t="s">
        <v>1654</v>
      </c>
      <c r="F35" s="736"/>
      <c r="G35" s="858"/>
      <c r="H35" s="736"/>
      <c r="I35" s="858"/>
      <c r="J35" s="736"/>
      <c r="K35" s="737"/>
      <c r="U35" s="669"/>
    </row>
    <row customHeight="1" ht="67.5">
      <c r="A36" s="669"/>
      <c r="B36" s="669" t="s">
        <v>1655</v>
      </c>
      <c r="C36" s="690"/>
      <c r="D36" s="856">
        <v>3</v>
      </c>
      <c r="E36" s="857" t="s">
        <v>1656</v>
      </c>
      <c r="F36" s="859" t="s">
        <v>306</v>
      </c>
      <c r="G36" s="984" t="s">
        <v>1657</v>
      </c>
      <c r="H36" s="983" t="s">
        <v>306</v>
      </c>
      <c r="I36" s="688" t="s">
        <v>1657</v>
      </c>
      <c r="J36" s="855" t="s">
        <v>306</v>
      </c>
      <c r="K36" s="426" t="s">
        <v>1658</v>
      </c>
    </row>
    <row customHeight="1" ht="11.25">
      <c r="A37" s="669"/>
      <c r="C37" s="669"/>
      <c r="D37" s="495"/>
      <c r="E37" s="744" t="s">
        <v>1659</v>
      </c>
      <c r="F37" s="736"/>
      <c r="G37" s="858"/>
      <c r="H37" s="858"/>
      <c r="I37" s="858"/>
      <c r="J37" s="858"/>
      <c r="K37" s="737"/>
      <c r="U37" s="669"/>
    </row>
    <row customHeight="1" ht="67.5">
      <c r="A38" s="669"/>
      <c r="B38" s="669" t="s">
        <v>1660</v>
      </c>
      <c r="C38" s="690"/>
      <c r="D38" s="856">
        <v>4</v>
      </c>
      <c r="E38" s="857" t="s">
        <v>1661</v>
      </c>
      <c r="F38" s="859" t="s">
        <v>306</v>
      </c>
      <c r="G38" s="984" t="s">
        <v>1657</v>
      </c>
      <c r="H38" s="985" t="s">
        <v>306</v>
      </c>
      <c r="I38" s="688" t="s">
        <v>1657</v>
      </c>
      <c r="J38" s="685" t="s">
        <v>306</v>
      </c>
      <c r="K38" s="843" t="s">
        <v>1662</v>
      </c>
    </row>
    <row customHeight="1" ht="11.25">
      <c r="A39" s="669"/>
      <c r="C39" s="669"/>
      <c r="D39" s="495"/>
      <c r="E39" s="744" t="s">
        <v>1663</v>
      </c>
      <c r="F39" s="736"/>
      <c r="G39" s="736"/>
      <c r="H39" s="860"/>
      <c r="I39" s="736"/>
      <c r="J39" s="860"/>
      <c r="K39" s="737"/>
      <c r="U39" s="669"/>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7277E7-A9FD-A471-79B3-586553316CEA}" mc:Ignorable="x14ac xr xr2 xr3">
  <sheetPr>
    <tabColor theme="6" tint="0.4"/>
  </sheetPr>
  <dimension ref="A1:AF39"/>
  <sheetViews>
    <sheetView topLeftCell="C4" showGridLines="0" zoomScale="86" workbookViewId="0">
      <selection activeCell="A1" sqref="A1"/>
    </sheetView>
  </sheetViews>
  <sheetFormatPr defaultColWidth="10.57421875" customHeight="1" defaultRowHeight="14.25"/>
  <cols>
    <col min="1" max="1" style="6901" width="9.140625" hidden="1" customWidth="1"/>
    <col min="2" max="2" style="6461" width="9.140625" hidden="1" customWidth="1"/>
    <col min="3" max="3" style="6619" width="3.7109375" customWidth="1"/>
    <col min="4" max="4" style="6902" width="6.28125" customWidth="1"/>
    <col min="5" max="5" style="6902" width="46.7109375" customWidth="1"/>
    <col min="6" max="6" style="6902" width="35.7109375" customWidth="1"/>
    <col min="7" max="7" style="6902" width="3.7109375" customWidth="1"/>
    <col min="8" max="9" style="6902" width="11.7109375" customWidth="1"/>
    <col min="10" max="11" style="6902" width="35.7109375" customWidth="1"/>
    <col min="12" max="12" style="6902" width="84.8515625" hidden="1" customWidth="1"/>
    <col min="13" max="13" style="6902" width="10.57421875"/>
    <col min="14" max="15" style="6903" width="10.57421875"/>
    <col min="16" max="32" style="6902" width="10.57421875"/>
  </cols>
  <sheetData>
    <row customHeight="1" ht="14.25" hidden="1">
      <c r="S1" s="556"/>
      <c r="AF1" s="390"/>
    </row>
    <row customHeight="1" ht="14.25" hidden="1"/>
    <row customHeight="1" ht="14.25" hidden="1"/>
    <row customHeight="1" ht="6">
      <c r="C4" s="529"/>
      <c r="D4" s="513"/>
      <c r="E4" s="513"/>
      <c r="F4" s="513"/>
      <c r="G4" s="513"/>
      <c r="H4" s="513"/>
      <c r="I4" s="513"/>
      <c r="J4" s="513"/>
      <c r="K4" s="214"/>
      <c r="L4" s="214"/>
    </row>
    <row customHeight="1" ht="26.25">
      <c r="C5" s="529"/>
      <c r="D5" s="2453" t="s">
        <v>1664</v>
      </c>
      <c r="E5" s="2453"/>
      <c r="F5" s="2453"/>
      <c r="G5" s="2453"/>
      <c r="H5" s="2453"/>
      <c r="I5" s="2453"/>
      <c r="J5" s="2453"/>
      <c r="K5" s="2453"/>
      <c r="L5" s="355"/>
    </row>
    <row customHeight="1" ht="6">
      <c r="C6" s="529"/>
      <c r="D6" s="513"/>
      <c r="E6" s="548"/>
      <c r="F6" s="548"/>
      <c r="G6" s="548"/>
      <c r="H6" s="548"/>
      <c r="I6" s="548"/>
      <c r="J6" s="548"/>
      <c r="K6" s="468"/>
      <c r="L6" s="327"/>
    </row>
    <row customHeight="1" ht="18.75">
      <c r="C7" s="529"/>
      <c r="D7" s="513"/>
      <c r="E7" s="443">
        <f>"Дата подачи заявления об "&amp;IF(datePr_ch="","утверждении","изменении")&amp;" тарифов"</f>
      </c>
      <c r="F7" s="2344">
        <f>IF(datePr_ch="",IF(datePr="","",datePr),datePr_ch)</f>
      </c>
      <c r="G7" s="2344"/>
      <c r="H7" s="2344"/>
      <c r="I7" s="2344"/>
      <c r="J7" s="2344"/>
      <c r="K7" s="2344"/>
      <c r="L7" s="557"/>
      <c r="M7" s="474"/>
    </row>
    <row customHeight="1" ht="18.75">
      <c r="C8" s="529"/>
      <c r="D8" s="513"/>
      <c r="E8" s="443">
        <f>"Номер подачи заявления об "&amp;IF(numberPr_ch="","утверждении","изменении")&amp;" тарифов"</f>
      </c>
      <c r="F8" s="2344">
        <f>IF(numberPr_ch="",IF(numberPr="","",numberPr),numberPr_ch)</f>
      </c>
      <c r="G8" s="2344"/>
      <c r="H8" s="2344"/>
      <c r="I8" s="2344"/>
      <c r="J8" s="2344"/>
      <c r="K8" s="2344"/>
      <c r="L8" s="557"/>
      <c r="M8" s="474"/>
    </row>
    <row customHeight="1" ht="14.25">
      <c r="C9" s="529"/>
      <c r="D9" s="513"/>
      <c r="E9" s="548"/>
      <c r="F9" s="548"/>
      <c r="G9" s="548"/>
      <c r="H9" s="548"/>
      <c r="I9" s="548"/>
      <c r="J9" s="548"/>
      <c r="K9" s="918" t="s">
        <v>1665</v>
      </c>
      <c r="L9" s="327"/>
    </row>
    <row customHeight="1" ht="21">
      <c r="C10" s="529"/>
      <c r="D10" s="2228" t="s">
        <v>300</v>
      </c>
      <c r="E10" s="2228"/>
      <c r="F10" s="2228"/>
      <c r="G10" s="2228"/>
      <c r="H10" s="2228"/>
      <c r="I10" s="2228"/>
      <c r="J10" s="2228"/>
      <c r="K10" s="2228"/>
      <c r="L10" s="2334" t="s">
        <v>301</v>
      </c>
    </row>
    <row customHeight="1" ht="21">
      <c r="C11" s="529"/>
      <c r="D11" s="2371" t="s">
        <v>87</v>
      </c>
      <c r="E11" s="2489" t="s">
        <v>131</v>
      </c>
      <c r="F11" s="2489" t="s">
        <v>132</v>
      </c>
      <c r="G11" s="2497" t="s">
        <v>1666</v>
      </c>
      <c r="H11" s="2498"/>
      <c r="I11" s="2499"/>
      <c r="J11" s="2489" t="s">
        <v>303</v>
      </c>
      <c r="K11" s="2489" t="s">
        <v>392</v>
      </c>
      <c r="L11" s="2334"/>
    </row>
    <row customHeight="1" ht="21">
      <c r="C12" s="529"/>
      <c r="D12" s="2373"/>
      <c r="E12" s="2490"/>
      <c r="F12" s="2490"/>
      <c r="G12" s="2491" t="s">
        <v>708</v>
      </c>
      <c r="H12" s="2492"/>
      <c r="I12" s="240" t="s">
        <v>1667</v>
      </c>
      <c r="J12" s="2490"/>
      <c r="K12" s="2490"/>
      <c r="L12" s="2334"/>
    </row>
    <row customHeight="1" ht="12">
      <c r="C13" s="529"/>
      <c r="D13" s="418" t="s">
        <v>118</v>
      </c>
      <c r="E13" s="418" t="s">
        <v>102</v>
      </c>
      <c r="F13" s="418" t="s">
        <v>89</v>
      </c>
      <c r="G13" s="2493" t="s">
        <v>90</v>
      </c>
      <c r="H13" s="2493"/>
      <c r="I13" s="418" t="s">
        <v>119</v>
      </c>
      <c r="J13" s="418" t="s">
        <v>91</v>
      </c>
      <c r="K13" s="418" t="s">
        <v>92</v>
      </c>
      <c r="L13" s="418" t="s">
        <v>120</v>
      </c>
    </row>
    <row customHeight="1" ht="14.25">
      <c r="A14" s="491"/>
      <c r="C14" s="529"/>
      <c r="D14" s="558">
        <v>1</v>
      </c>
      <c r="E14" s="2466" t="s">
        <v>1668</v>
      </c>
      <c r="F14" s="2467"/>
      <c r="G14" s="2467"/>
      <c r="H14" s="2467"/>
      <c r="I14" s="2467"/>
      <c r="J14" s="2467"/>
      <c r="K14" s="2467"/>
      <c r="L14" s="426"/>
      <c r="M14" s="482"/>
    </row>
    <row customHeight="1" ht="56.25">
      <c r="A15" s="491"/>
      <c r="C15" s="529"/>
      <c r="D15" s="558" t="s">
        <v>627</v>
      </c>
      <c r="E15" s="332" t="s">
        <v>306</v>
      </c>
      <c r="F15" s="332" t="s">
        <v>306</v>
      </c>
      <c r="G15" s="2198" t="s">
        <v>306</v>
      </c>
      <c r="H15" s="2200"/>
      <c r="I15" s="332" t="s">
        <v>306</v>
      </c>
      <c r="J15" s="4343"/>
      <c r="K15" s="348"/>
      <c r="L15" s="493" t="s">
        <v>1669</v>
      </c>
      <c r="M15" s="482"/>
    </row>
    <row customHeight="1" ht="18.75">
      <c r="A16" s="491"/>
      <c r="B16" s="279">
        <v>3</v>
      </c>
      <c r="C16" s="529"/>
      <c r="D16" s="559">
        <v>2</v>
      </c>
      <c r="E16" s="2494" t="s">
        <v>1670</v>
      </c>
      <c r="F16" s="2495"/>
      <c r="G16" s="2495"/>
      <c r="H16" s="2496"/>
      <c r="I16" s="2496"/>
      <c r="J16" s="2496" t="s">
        <v>306</v>
      </c>
      <c r="K16" s="2496"/>
      <c r="L16" s="546"/>
      <c r="M16" s="482"/>
    </row>
    <row customHeight="1" ht="77.25">
      <c r="A17" s="491"/>
      <c r="C17" s="2483"/>
      <c r="D17" s="2488" t="s">
        <v>512</v>
      </c>
      <c r="E17" s="4474"/>
      <c r="F17" s="2487"/>
      <c r="G17" s="332"/>
      <c r="H17" s="1981"/>
      <c r="I17" s="1979"/>
      <c r="J17" s="4343"/>
      <c r="K17" s="332" t="s">
        <v>306</v>
      </c>
      <c r="L17" s="2214" t="s">
        <v>1671</v>
      </c>
      <c r="M17" s="482"/>
    </row>
    <row customHeight="1" ht="18.75">
      <c r="A18" s="491"/>
      <c r="C18" s="2483"/>
      <c r="D18" s="2488"/>
      <c r="E18" s="4474"/>
      <c r="F18" s="2487"/>
      <c r="G18" s="560"/>
      <c r="H18" s="554" t="s">
        <v>1563</v>
      </c>
      <c r="I18" s="497"/>
      <c r="J18" s="497"/>
      <c r="K18" s="335"/>
      <c r="L18" s="2215"/>
      <c r="M18" s="482"/>
    </row>
    <row customHeight="1" ht="15">
      <c r="A19" s="491"/>
      <c r="C19" s="529"/>
      <c r="D19" s="560"/>
      <c r="E19" s="561" t="s">
        <v>1672</v>
      </c>
      <c r="F19" s="562"/>
      <c r="G19" s="562"/>
      <c r="H19" s="497"/>
      <c r="I19" s="497"/>
      <c r="J19" s="497"/>
      <c r="K19" s="335"/>
      <c r="L19" s="2216"/>
      <c r="M19" s="482"/>
    </row>
    <row customHeight="1" ht="18.75">
      <c r="A20" s="491"/>
      <c r="B20" s="279">
        <v>3</v>
      </c>
      <c r="C20" s="529"/>
      <c r="D20" s="280" t="s">
        <v>89</v>
      </c>
      <c r="E20" s="2466" t="s">
        <v>1673</v>
      </c>
      <c r="F20" s="2466"/>
      <c r="G20" s="2466"/>
      <c r="H20" s="2466"/>
      <c r="I20" s="2466"/>
      <c r="J20" s="2466"/>
      <c r="K20" s="2466"/>
      <c r="L20" s="434"/>
      <c r="M20" s="482"/>
    </row>
    <row customHeight="1" ht="33.75">
      <c r="A21" s="491"/>
      <c r="C21" s="529"/>
      <c r="D21" s="558" t="s">
        <v>326</v>
      </c>
      <c r="E21" s="332" t="s">
        <v>306</v>
      </c>
      <c r="F21" s="332" t="s">
        <v>306</v>
      </c>
      <c r="G21" s="2198" t="s">
        <v>306</v>
      </c>
      <c r="H21" s="2200"/>
      <c r="I21" s="332" t="s">
        <v>306</v>
      </c>
      <c r="J21" s="332" t="s">
        <v>306</v>
      </c>
      <c r="K21" s="563"/>
      <c r="L21" s="493" t="s">
        <v>1674</v>
      </c>
      <c r="M21" s="482"/>
    </row>
    <row customHeight="1" ht="18.75">
      <c r="A22" s="491"/>
      <c r="B22" s="279">
        <v>3</v>
      </c>
      <c r="C22" s="529"/>
      <c r="D22" s="280" t="s">
        <v>90</v>
      </c>
      <c r="E22" s="2466" t="s">
        <v>1675</v>
      </c>
      <c r="F22" s="2466"/>
      <c r="G22" s="2466"/>
      <c r="H22" s="2466"/>
      <c r="I22" s="2466"/>
      <c r="J22" s="2466"/>
      <c r="K22" s="2466"/>
      <c r="L22" s="434"/>
      <c r="M22" s="482"/>
    </row>
    <row customHeight="1" ht="54.75">
      <c r="A23" s="491"/>
      <c r="C23" s="2483"/>
      <c r="D23" s="2488" t="s">
        <v>620</v>
      </c>
      <c r="E23" s="4474"/>
      <c r="F23" s="2487"/>
      <c r="G23" s="332"/>
      <c r="H23" s="1979"/>
      <c r="I23" s="1979"/>
      <c r="J23" s="4481"/>
      <c r="K23" s="332" t="s">
        <v>306</v>
      </c>
      <c r="L23" s="2214" t="s">
        <v>1676</v>
      </c>
      <c r="M23" s="482"/>
    </row>
    <row customHeight="1" ht="18.75">
      <c r="A24" s="491"/>
      <c r="C24" s="2483"/>
      <c r="D24" s="2488"/>
      <c r="E24" s="4474"/>
      <c r="F24" s="2487"/>
      <c r="G24" s="560"/>
      <c r="H24" s="554" t="s">
        <v>1563</v>
      </c>
      <c r="I24" s="334"/>
      <c r="J24" s="334"/>
      <c r="K24" s="335"/>
      <c r="L24" s="2215"/>
      <c r="M24" s="482"/>
    </row>
    <row customHeight="1" ht="15">
      <c r="A25" s="491"/>
      <c r="C25" s="529"/>
      <c r="D25" s="495"/>
      <c r="E25" s="561" t="s">
        <v>1672</v>
      </c>
      <c r="F25" s="334"/>
      <c r="G25" s="334"/>
      <c r="H25" s="334"/>
      <c r="I25" s="334"/>
      <c r="J25" s="334"/>
      <c r="K25" s="335"/>
      <c r="L25" s="2216"/>
      <c r="M25" s="482"/>
    </row>
    <row customHeight="1" ht="18.75">
      <c r="A26" s="491"/>
      <c r="C26" s="529"/>
      <c r="D26" s="280" t="s">
        <v>119</v>
      </c>
      <c r="E26" s="2466" t="s">
        <v>1677</v>
      </c>
      <c r="F26" s="2466"/>
      <c r="G26" s="2466"/>
      <c r="H26" s="2466"/>
      <c r="I26" s="2466"/>
      <c r="J26" s="2466"/>
      <c r="K26" s="2466"/>
      <c r="L26" s="434"/>
      <c r="M26" s="482"/>
    </row>
    <row customHeight="1" ht="66">
      <c r="A27" s="491"/>
      <c r="C27" s="2483"/>
      <c r="D27" s="2484" t="s">
        <v>315</v>
      </c>
      <c r="E27" s="4474"/>
      <c r="F27" s="2487"/>
      <c r="G27" s="332"/>
      <c r="H27" s="1981"/>
      <c r="I27" s="1979"/>
      <c r="J27" s="4481"/>
      <c r="K27" s="332" t="s">
        <v>306</v>
      </c>
      <c r="L27" s="2214" t="s">
        <v>1678</v>
      </c>
      <c r="M27" s="482"/>
    </row>
    <row customHeight="1" ht="18.75">
      <c r="A28" s="491"/>
      <c r="C28" s="2483"/>
      <c r="D28" s="2485"/>
      <c r="E28" s="4474"/>
      <c r="F28" s="2487"/>
      <c r="G28" s="560"/>
      <c r="H28" s="554" t="s">
        <v>1563</v>
      </c>
      <c r="I28" s="334"/>
      <c r="J28" s="334"/>
      <c r="K28" s="335"/>
      <c r="L28" s="2215"/>
      <c r="M28" s="482"/>
    </row>
    <row customHeight="1" ht="15">
      <c r="A29" s="491"/>
      <c r="C29" s="529"/>
      <c r="D29" s="495"/>
      <c r="E29" s="561" t="s">
        <v>1672</v>
      </c>
      <c r="F29" s="334"/>
      <c r="G29" s="334"/>
      <c r="H29" s="334"/>
      <c r="I29" s="334"/>
      <c r="J29" s="334"/>
      <c r="K29" s="335"/>
      <c r="L29" s="2216"/>
      <c r="M29" s="482"/>
    </row>
    <row customHeight="1" ht="26.25">
      <c r="A30" s="491"/>
      <c r="C30" s="529"/>
      <c r="D30" s="280" t="s">
        <v>91</v>
      </c>
      <c r="E30" s="2466" t="s">
        <v>1679</v>
      </c>
      <c r="F30" s="2466"/>
      <c r="G30" s="2466"/>
      <c r="H30" s="2466"/>
      <c r="I30" s="2466"/>
      <c r="J30" s="2466"/>
      <c r="K30" s="2466"/>
      <c r="L30" s="434"/>
      <c r="M30" s="482"/>
    </row>
    <row customHeight="1" ht="99">
      <c r="A31" s="491"/>
      <c r="C31" s="2483"/>
      <c r="D31" s="2484" t="s">
        <v>525</v>
      </c>
      <c r="E31" s="4474"/>
      <c r="F31" s="2487"/>
      <c r="G31" s="332"/>
      <c r="H31" s="1981"/>
      <c r="I31" s="1979"/>
      <c r="J31" s="4481"/>
      <c r="K31" s="332" t="s">
        <v>306</v>
      </c>
      <c r="L31" s="2214" t="s">
        <v>1680</v>
      </c>
      <c r="M31" s="482"/>
      <c r="O31" s="498" t="s">
        <v>1591</v>
      </c>
    </row>
    <row customHeight="1" ht="18.75">
      <c r="A32" s="491"/>
      <c r="C32" s="2483"/>
      <c r="D32" s="2485"/>
      <c r="E32" s="4474"/>
      <c r="F32" s="2487"/>
      <c r="G32" s="560"/>
      <c r="H32" s="554" t="s">
        <v>1563</v>
      </c>
      <c r="I32" s="334"/>
      <c r="J32" s="334"/>
      <c r="K32" s="335"/>
      <c r="L32" s="2215"/>
      <c r="M32" s="482"/>
    </row>
    <row customHeight="1" ht="15">
      <c r="A33" s="491"/>
      <c r="C33" s="529"/>
      <c r="D33" s="495"/>
      <c r="E33" s="561" t="s">
        <v>1672</v>
      </c>
      <c r="F33" s="334"/>
      <c r="G33" s="334"/>
      <c r="H33" s="334"/>
      <c r="I33" s="334"/>
      <c r="J33" s="334"/>
      <c r="K33" s="335"/>
      <c r="L33" s="2216"/>
      <c r="M33" s="482"/>
    </row>
    <row customHeight="1" ht="25.5">
      <c r="A34" s="491"/>
      <c r="B34" s="279">
        <v>3</v>
      </c>
      <c r="C34" s="529"/>
      <c r="D34" s="280" t="s">
        <v>92</v>
      </c>
      <c r="E34" s="2466" t="s">
        <v>1681</v>
      </c>
      <c r="F34" s="2466"/>
      <c r="G34" s="2466"/>
      <c r="H34" s="2466"/>
      <c r="I34" s="2466"/>
      <c r="J34" s="2466"/>
      <c r="K34" s="2466"/>
      <c r="L34" s="434"/>
      <c r="M34" s="482"/>
    </row>
    <row customHeight="1" ht="99">
      <c r="A35" s="491"/>
      <c r="C35" s="2483"/>
      <c r="D35" s="2484" t="s">
        <v>1682</v>
      </c>
      <c r="E35" s="4474"/>
      <c r="F35" s="2487"/>
      <c r="G35" s="332"/>
      <c r="H35" s="1981"/>
      <c r="I35" s="1979"/>
      <c r="J35" s="4481"/>
      <c r="K35" s="332" t="s">
        <v>306</v>
      </c>
      <c r="L35" s="2214" t="s">
        <v>1683</v>
      </c>
      <c r="M35" s="482"/>
    </row>
    <row customHeight="1" ht="18.75">
      <c r="A36" s="491"/>
      <c r="C36" s="2483"/>
      <c r="D36" s="2485"/>
      <c r="E36" s="4474"/>
      <c r="F36" s="2487"/>
      <c r="G36" s="560"/>
      <c r="H36" s="554" t="s">
        <v>1563</v>
      </c>
      <c r="I36" s="334"/>
      <c r="J36" s="334"/>
      <c r="K36" s="335"/>
      <c r="L36" s="2215"/>
      <c r="M36" s="482"/>
    </row>
    <row customHeight="1" ht="15">
      <c r="A37" s="491"/>
      <c r="C37" s="529"/>
      <c r="D37" s="495"/>
      <c r="E37" s="561" t="s">
        <v>1672</v>
      </c>
      <c r="F37" s="334"/>
      <c r="G37" s="334"/>
      <c r="H37" s="334"/>
      <c r="I37" s="334"/>
      <c r="J37" s="334"/>
      <c r="K37" s="335"/>
      <c r="L37" s="2216"/>
      <c r="M37" s="482"/>
    </row>
    <row s="6884" customFormat="1" customHeight="1" ht="3">
      <c r="A38" s="491"/>
      <c r="D38" s="565"/>
      <c r="E38" s="565"/>
      <c r="F38" s="565"/>
      <c r="G38" s="565"/>
      <c r="H38" s="565"/>
      <c r="I38" s="565"/>
      <c r="J38" s="565"/>
      <c r="K38" s="565"/>
      <c r="L38" s="565"/>
      <c r="N38" s="330"/>
      <c r="O38" s="330"/>
    </row>
    <row customHeight="1" ht="24.75">
      <c r="D39" s="336">
        <v>1</v>
      </c>
      <c r="E39" s="2379" t="s">
        <v>1684</v>
      </c>
      <c r="F39" s="2379"/>
      <c r="G39" s="2379"/>
      <c r="H39" s="2379"/>
      <c r="I39" s="2379"/>
      <c r="J39" s="2379"/>
      <c r="K39" s="2379"/>
      <c r="L39" s="2379"/>
    </row>
  </sheetData>
  <sheetProtection formatColumns="0" formatRows="0" autoFilter="0" sort="0" insertRows="0" insertColumns="1" deleteRows="0" deleteColumns="0"/>
  <mergeCells count="48">
    <mergeCell ref="D5:K5"/>
    <mergeCell ref="F7:K7"/>
    <mergeCell ref="F8:K8"/>
    <mergeCell ref="D10:K10"/>
    <mergeCell ref="L10:L12"/>
    <mergeCell ref="D11:D12"/>
    <mergeCell ref="E11:E12"/>
    <mergeCell ref="F11:F12"/>
    <mergeCell ref="G11:I11"/>
    <mergeCell ref="J11:J12"/>
    <mergeCell ref="E20:K20"/>
    <mergeCell ref="K11:K12"/>
    <mergeCell ref="G12:H12"/>
    <mergeCell ref="G13:H13"/>
    <mergeCell ref="E14:K14"/>
    <mergeCell ref="G15:H15"/>
    <mergeCell ref="E16:K16"/>
    <mergeCell ref="C17:C18"/>
    <mergeCell ref="D17:D18"/>
    <mergeCell ref="E17:E18"/>
    <mergeCell ref="F17:F18"/>
    <mergeCell ref="L17:L19"/>
    <mergeCell ref="G21:H21"/>
    <mergeCell ref="E22:K22"/>
    <mergeCell ref="C23:C24"/>
    <mergeCell ref="D23:D24"/>
    <mergeCell ref="E23:E24"/>
    <mergeCell ref="F23:F24"/>
    <mergeCell ref="L31:L33"/>
    <mergeCell ref="L23:L25"/>
    <mergeCell ref="E26:K26"/>
    <mergeCell ref="C27:C28"/>
    <mergeCell ref="D27:D28"/>
    <mergeCell ref="E27:E28"/>
    <mergeCell ref="F27:F28"/>
    <mergeCell ref="L27:L29"/>
    <mergeCell ref="E30:K30"/>
    <mergeCell ref="C31:C32"/>
    <mergeCell ref="D31:D32"/>
    <mergeCell ref="E31:E32"/>
    <mergeCell ref="F31:F32"/>
    <mergeCell ref="E39:L39"/>
    <mergeCell ref="E34:K34"/>
    <mergeCell ref="C35:C36"/>
    <mergeCell ref="D35:D36"/>
    <mergeCell ref="E35:E36"/>
    <mergeCell ref="F35:F36"/>
    <mergeCell ref="L35:L37"/>
  </mergeCells>
  <dataValidations count="6">
    <dataValidation type="decimal" allowBlank="1" showErrorMessage="1" errorTitle="Ошибка" error="Допускается ввод только действительных чисел!" sqref="J27 J31 J23 J35">
      <formula1>-9.99999999999999E+23</formula1>
      <formula2>9.99999999999999E+23</formula2>
    </dataValidation>
    <dataValidation type="list" allowBlank="1" showInputMessage="1" showErrorMessage="1" errorTitle="Ошибка" error="Выберите значение из списка" prompt="Выберите значение из списка" sqref="J17">
      <formula1>kind_of_control_method</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31:I31 H17:I17 H23:I23 H27:I27 H35:I3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5 K21">
      <formula1>900</formula1>
    </dataValidation>
    <dataValidation type="textLength" operator="lessThanOrEqual" allowBlank="1" showInputMessage="1" showErrorMessage="1" errorTitle="Ошибка" error="Допускается ввод не более 900 символов!" sqref="L27 L31 L16:L17 L23 L35">
      <formula1>900</formula1>
    </dataValidation>
    <dataValidation type="textLength" operator="lessThanOrEqual" allowBlank="1" showInputMessage="1" showErrorMessage="1" errorTitle="Ошибка" error="Допускается ввод не более 900 символов!" prompt="В случае отсутствия утвержденной в установленном порядке инвестиционной программы (проекта инвестиционной программы) укажите &quot;отсутствует&quot; в данной ячейке" sqref="J15">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192AA5A-256B-AE57-1B5C-236505AA41FB}"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042" width="19.140625" hidden="1" customWidth="1"/>
    <col min="13" max="14" style="6617" width="12.28125" hidden="1" customWidth="1"/>
    <col min="15" max="15" style="6617" width="23.421875" hidden="1" customWidth="1"/>
    <col min="16" max="16" style="7043"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649">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647"/>
      <c r="Q3" s="500"/>
      <c r="R3" s="501"/>
      <c r="S3" s="1649">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649">
        <f>INDEX(PT_DIFFERENTIATION_NUM_CS,MATCH(C4,PT_DIFFERENTIATION_CS_ID,0))</f>
      </c>
      <c r="T4" s="448" t="s">
        <v>1685</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1686</v>
      </c>
      <c r="AM4" s="664"/>
      <c r="AN4" s="664" t="str">
        <f>IF(T4="","",T4)</f>
        <v>Наименование централизованной системы холодного водоснабжения</v>
      </c>
      <c r="AO4" s="664"/>
      <c r="AP4" s="664"/>
    </row>
    <row customHeight="1" ht="23.25" hidden="1">
      <c r="A5" s="1586"/>
      <c r="B5" s="1586"/>
      <c r="C5" s="1586"/>
      <c r="D5" s="1586"/>
      <c r="E5" s="2352"/>
      <c r="F5" s="2352"/>
      <c r="G5" s="2352"/>
      <c r="H5" s="2352"/>
      <c r="I5" s="2380">
        <f>S4&amp;".1"</f>
      </c>
      <c r="J5" s="1586"/>
      <c r="K5" s="1586"/>
      <c r="L5" s="1587"/>
      <c r="P5" s="2350">
        <v>1</v>
      </c>
      <c r="Q5" s="1646"/>
      <c r="R5" s="504"/>
      <c r="S5" s="1649">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649">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649">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648"/>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646"/>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650"/>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22.5" hidden="1">
      <c r="L18" s="1645"/>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645"/>
      <c r="M19" s="1585"/>
      <c r="N19" s="1585"/>
      <c r="O19" s="1585"/>
      <c r="P19" s="1585"/>
      <c r="Q19" s="1594"/>
      <c r="R19" s="1594"/>
      <c r="S19" s="894"/>
      <c r="AB19" s="1589"/>
      <c r="AI19" s="1589"/>
      <c r="AL19" s="675"/>
      <c r="AM19" s="675"/>
      <c r="AN19" s="675"/>
      <c r="AO19" s="675"/>
      <c r="AP19" s="675"/>
    </row>
    <row s="6539" customFormat="1" customHeight="1" ht="12" hidden="1">
      <c r="L20" s="1645"/>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578"/>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575" t="s">
        <v>1693</v>
      </c>
      <c r="W38" s="2355" t="s">
        <v>1504</v>
      </c>
      <c r="X38" s="2356"/>
      <c r="Y38" s="2361" t="s">
        <v>1505</v>
      </c>
      <c r="Z38" s="2362"/>
      <c r="AA38" s="2363"/>
      <c r="AB38" s="2372"/>
      <c r="AC38" s="1575" t="s">
        <v>1693</v>
      </c>
      <c r="AD38" s="2355" t="s">
        <v>1504</v>
      </c>
      <c r="AE38" s="2356"/>
      <c r="AF38" s="2361" t="s">
        <v>1505</v>
      </c>
      <c r="AG38" s="2362"/>
      <c r="AH38" s="2363"/>
      <c r="AI38" s="2372"/>
      <c r="AJ38" s="2375"/>
      <c r="AK38" s="2204"/>
    </row>
    <row customHeight="1" ht="33.7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575" t="s">
        <v>1696</v>
      </c>
      <c r="W39" s="1424" t="s">
        <v>1697</v>
      </c>
      <c r="X39" s="1424" t="s">
        <v>1698</v>
      </c>
      <c r="Y39" s="1580" t="s">
        <v>1515</v>
      </c>
      <c r="Z39" s="2364" t="s">
        <v>1516</v>
      </c>
      <c r="AA39" s="2365"/>
      <c r="AB39" s="2373"/>
      <c r="AC39" s="1575" t="s">
        <v>1696</v>
      </c>
      <c r="AD39" s="1424" t="s">
        <v>1697</v>
      </c>
      <c r="AE39" s="1424" t="s">
        <v>1698</v>
      </c>
      <c r="AF39" s="1580"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576">
        <f>OFFSET(V40,0,-1)+1</f>
        <v>3</v>
      </c>
      <c r="W40" s="1576">
        <f>OFFSET(W40,0,-1)+1</f>
        <v>4</v>
      </c>
      <c r="X40" s="1576">
        <f>OFFSET(X40,0,-1)+1</f>
        <v>5</v>
      </c>
      <c r="Y40" s="1576">
        <f>OFFSET(Y40,0,-1)+1</f>
        <v>6</v>
      </c>
      <c r="Z40" s="2366">
        <f>OFFSET(Z40,0,-1)+1</f>
        <v>7</v>
      </c>
      <c r="AA40" s="2366"/>
      <c r="AB40" s="1576">
        <f>OFFSET(AB40,0,-2)+1</f>
        <v>8</v>
      </c>
      <c r="AC40" s="1576">
        <f>OFFSET(AC40,0,-1)+1</f>
        <v>9</v>
      </c>
      <c r="AD40" s="1576">
        <f>OFFSET(AD40,0,-1)+1</f>
        <v>10</v>
      </c>
      <c r="AE40" s="1576">
        <f>OFFSET(AE40,0,-1)+1</f>
        <v>11</v>
      </c>
      <c r="AF40" s="1576">
        <f>OFFSET(AF40,0,-1)+1</f>
        <v>12</v>
      </c>
      <c r="AG40" s="2366">
        <f>OFFSET(AG40,0,-1)+1</f>
        <v>13</v>
      </c>
      <c r="AH40" s="2366"/>
      <c r="AI40" s="1576">
        <f>OFFSET(AI40,0,-2)+1</f>
        <v>14</v>
      </c>
      <c r="AJ40" s="1450">
        <f>OFFSET(AJ40,0,-1)</f>
        <v>14</v>
      </c>
      <c r="AK40" s="1576">
        <f>OFFSET(AK40,0,-1)+1</f>
        <v>15</v>
      </c>
      <c r="AL40" s="675"/>
      <c r="AM40" s="675"/>
      <c r="AN40" s="675"/>
      <c r="AO40" s="675"/>
      <c r="AP40" s="675"/>
    </row>
    <row customHeight="1" ht="23.25">
      <c r="A41" s="1586" t="s">
        <v>226</v>
      </c>
      <c r="B41" s="1586"/>
      <c r="C41" s="1586"/>
      <c r="D41" s="1586"/>
      <c r="E41" s="2351">
        <v>1</v>
      </c>
      <c r="F41" s="1586"/>
      <c r="G41" s="1586"/>
      <c r="H41" s="1586"/>
      <c r="I41" s="1586"/>
      <c r="J41" s="1586"/>
      <c r="K41" s="1586"/>
      <c r="L41" s="1587"/>
      <c r="M41" s="1588"/>
      <c r="N41" s="1588"/>
      <c r="O41" s="1588"/>
      <c r="P41" s="509"/>
      <c r="Q41" s="508"/>
      <c r="R41" s="503"/>
      <c r="S41" s="1581">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226</v>
      </c>
      <c r="B42" s="1586" t="s">
        <v>227</v>
      </c>
      <c r="C42" s="1586"/>
      <c r="D42" s="1586"/>
      <c r="E42" s="2352"/>
      <c r="F42" s="2351">
        <v>1</v>
      </c>
      <c r="G42" s="1586"/>
      <c r="H42" s="1586"/>
      <c r="I42" s="1586"/>
      <c r="J42" s="1586"/>
      <c r="K42" s="1586"/>
      <c r="L42" s="1587"/>
      <c r="M42" s="1588"/>
      <c r="N42" s="1588"/>
      <c r="O42" s="1588"/>
      <c r="P42" s="1579"/>
      <c r="Q42" s="500"/>
      <c r="R42" s="501"/>
      <c r="S42" s="1581"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226</v>
      </c>
      <c r="B43" s="1586" t="s">
        <v>227</v>
      </c>
      <c r="C43" s="1586" t="s">
        <v>228</v>
      </c>
      <c r="D43" s="1586"/>
      <c r="E43" s="2352"/>
      <c r="F43" s="2352"/>
      <c r="G43" s="2351">
        <v>1</v>
      </c>
      <c r="H43" s="1586"/>
      <c r="I43" s="1586"/>
      <c r="J43" s="1586"/>
      <c r="K43" s="1586"/>
      <c r="L43" s="1587"/>
      <c r="M43" s="1588"/>
      <c r="N43" s="1588"/>
      <c r="O43" s="1588"/>
      <c r="P43" s="502"/>
      <c r="Q43" s="500"/>
      <c r="R43" s="501"/>
      <c r="S43" s="1581" t="str">
        <f>INDEX(PT_DIFFERENTIATION_NUM_CS,MATCH(C43,PT_DIFFERENTIATION_CS_ID,0))</f>
        <v>..</v>
      </c>
      <c r="T43" s="448" t="s">
        <v>1685</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1686</v>
      </c>
      <c r="AM43" s="664"/>
      <c r="AN43" s="664" t="str">
        <f>IF(T43="","",T43)</f>
        <v>Наименование централизованной системы холодного водоснабжения</v>
      </c>
      <c r="AO43" s="664"/>
      <c r="AP43" s="664"/>
    </row>
    <row customHeight="1" ht="23.25">
      <c r="A44" s="1586" t="s">
        <v>226</v>
      </c>
      <c r="B44" s="1586" t="s">
        <v>227</v>
      </c>
      <c r="C44" s="1586" t="s">
        <v>228</v>
      </c>
      <c r="D44" s="1586" t="s">
        <v>1699</v>
      </c>
      <c r="E44" s="2352"/>
      <c r="F44" s="2352"/>
      <c r="G44" s="2352"/>
      <c r="H44" s="2352"/>
      <c r="I44" s="2380" t="str">
        <f>S43&amp;".1"</f>
        <v>...1</v>
      </c>
      <c r="J44" s="1586"/>
      <c r="K44" s="1586"/>
      <c r="L44" s="1587"/>
      <c r="P44" s="2350">
        <v>1</v>
      </c>
      <c r="Q44" s="1577"/>
      <c r="R44" s="504"/>
      <c r="S44" s="1581"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226</v>
      </c>
      <c r="B45" s="1586" t="s">
        <v>227</v>
      </c>
      <c r="C45" s="1586" t="s">
        <v>228</v>
      </c>
      <c r="D45" s="1586" t="s">
        <v>1699</v>
      </c>
      <c r="E45" s="2352"/>
      <c r="F45" s="2352"/>
      <c r="G45" s="2352"/>
      <c r="H45" s="2352"/>
      <c r="I45" s="2381"/>
      <c r="J45" s="2349" t="str">
        <f>I44&amp;".1"</f>
        <v>...1.1</v>
      </c>
      <c r="K45" s="1586"/>
      <c r="L45" s="1587" t="s">
        <v>1478</v>
      </c>
      <c r="P45" s="2350"/>
      <c r="Q45" s="2350">
        <v>1</v>
      </c>
      <c r="R45" s="505"/>
      <c r="S45" s="1581"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226</v>
      </c>
      <c r="B46" s="1586" t="s">
        <v>227</v>
      </c>
      <c r="C46" s="1586" t="s">
        <v>228</v>
      </c>
      <c r="D46" s="1586" t="s">
        <v>1699</v>
      </c>
      <c r="E46" s="2352"/>
      <c r="F46" s="2352"/>
      <c r="G46" s="2352"/>
      <c r="H46" s="2352"/>
      <c r="I46" s="2381"/>
      <c r="J46" s="2382"/>
      <c r="K46" s="2349" t="str">
        <f>J45&amp;".1"</f>
        <v>...1.1.1</v>
      </c>
      <c r="L46" s="1587"/>
      <c r="P46" s="2350"/>
      <c r="Q46" s="2350"/>
      <c r="R46" s="505">
        <v>1</v>
      </c>
      <c r="S46" s="1581" t="str">
        <f>$K46</f>
        <v>...1.1.1</v>
      </c>
      <c r="T46" s="1661"/>
      <c r="U46" s="437"/>
      <c r="V46" s="4025"/>
      <c r="W46" s="4025"/>
      <c r="X46" s="4026"/>
      <c r="Y46" s="2359"/>
      <c r="Z46" s="2360" t="s">
        <v>66</v>
      </c>
      <c r="AA46" s="2359"/>
      <c r="AB46" s="2360" t="s">
        <v>66</v>
      </c>
      <c r="AC46" s="3992"/>
      <c r="AD46" s="3992"/>
      <c r="AE46" s="3994"/>
      <c r="AF46" s="2357"/>
      <c r="AG46" s="2069" t="s">
        <v>66</v>
      </c>
      <c r="AH46" s="2383"/>
      <c r="AI46" s="2069" t="s">
        <v>56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226</v>
      </c>
      <c r="B47" s="1586" t="s">
        <v>227</v>
      </c>
      <c r="C47" s="1586" t="s">
        <v>228</v>
      </c>
      <c r="D47" s="1586" t="s">
        <v>1699</v>
      </c>
      <c r="E47" s="2352"/>
      <c r="F47" s="2352"/>
      <c r="G47" s="2352"/>
      <c r="H47" s="2352"/>
      <c r="I47" s="2381"/>
      <c r="J47" s="2382"/>
      <c r="K47" s="2349"/>
      <c r="L47" s="1587"/>
      <c r="P47" s="2350"/>
      <c r="Q47" s="2350"/>
      <c r="R47" s="505"/>
      <c r="S47" s="1582"/>
      <c r="T47" s="437"/>
      <c r="U47" s="437"/>
      <c r="V47" s="4025"/>
      <c r="W47" s="4025"/>
      <c r="X47" s="3998" t="str">
        <f>Y46&amp;"-"&amp;AA46</f>
        <v>-</v>
      </c>
      <c r="Y47" s="2360"/>
      <c r="Z47" s="2360"/>
      <c r="AA47" s="2360"/>
      <c r="AB47" s="2360"/>
      <c r="AC47" s="3993"/>
      <c r="AD47" s="3993"/>
      <c r="AE47" s="3998" t="str">
        <f>AF46&amp;"-"&amp;AH46</f>
        <v>-</v>
      </c>
      <c r="AF47" s="2358"/>
      <c r="AG47" s="2069"/>
      <c r="AH47" s="2384"/>
      <c r="AI47" s="2069"/>
      <c r="AJ47" s="4499"/>
      <c r="AK47" s="2500"/>
      <c r="AM47" s="664"/>
      <c r="AN47" s="664" t="str">
        <f>IF(T47="","",T47)</f>
        <v/>
      </c>
      <c r="AO47" s="664"/>
      <c r="AP47" s="664"/>
    </row>
    <row customHeight="1" ht="21">
      <c r="A48" s="1586" t="s">
        <v>226</v>
      </c>
      <c r="B48" s="1586" t="s">
        <v>227</v>
      </c>
      <c r="C48" s="1586" t="s">
        <v>228</v>
      </c>
      <c r="D48" s="1586" t="s">
        <v>1699</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226</v>
      </c>
      <c r="B49" s="1586" t="s">
        <v>227</v>
      </c>
      <c r="C49" s="1586" t="s">
        <v>228</v>
      </c>
      <c r="D49" s="1586" t="s">
        <v>1699</v>
      </c>
      <c r="E49" s="2352"/>
      <c r="F49" s="2352"/>
      <c r="G49" s="2352"/>
      <c r="H49" s="2352"/>
      <c r="I49" s="2380"/>
      <c r="J49" s="1586"/>
      <c r="K49" s="1586"/>
      <c r="L49" s="1587"/>
      <c r="P49" s="2350"/>
      <c r="Q49" s="1577"/>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226</v>
      </c>
      <c r="B50" s="1586" t="s">
        <v>227</v>
      </c>
      <c r="C50" s="1586" t="s">
        <v>228</v>
      </c>
      <c r="D50" s="1586" t="s">
        <v>1699</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226</v>
      </c>
      <c r="B51" s="1565" t="s">
        <v>227</v>
      </c>
      <c r="C51" s="1536"/>
      <c r="D51" s="1536"/>
      <c r="E51" s="2352"/>
      <c r="F51" s="2351"/>
      <c r="G51" s="1536"/>
      <c r="H51" s="1536"/>
      <c r="I51" s="1536"/>
      <c r="J51" s="1536"/>
      <c r="K51" s="1536"/>
      <c r="L51" s="1650"/>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226</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650"/>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hidden="1">
      <c r="M54" s="1348"/>
      <c r="N54" s="1348"/>
      <c r="O54" s="701"/>
      <c r="P54" s="1343"/>
      <c r="Q54" s="1343"/>
      <c r="R54" s="1343"/>
      <c r="S54" s="1343"/>
      <c r="AL54" s="1343"/>
      <c r="AM54" s="1343"/>
      <c r="AN54" s="1343"/>
      <c r="AO54" s="1343"/>
      <c r="AP54" s="1343"/>
    </row>
    <row customHeight="1" ht="14.25" hidden="1">
      <c r="O55" s="701"/>
      <c r="S55" s="1460" t="s">
        <v>1517</v>
      </c>
      <c r="T55" s="2379" t="s">
        <v>1700</v>
      </c>
      <c r="U55" s="2379"/>
      <c r="V55" s="2379"/>
      <c r="W55" s="2379"/>
      <c r="X55" s="2379"/>
      <c r="Y55" s="2379"/>
      <c r="Z55" s="2379"/>
      <c r="AA55" s="2379"/>
      <c r="AB55" s="2379"/>
      <c r="AC55" s="2379"/>
      <c r="AD55" s="2379"/>
      <c r="AE55" s="2379"/>
      <c r="AF55" s="2379"/>
      <c r="AG55" s="2379"/>
      <c r="AH55" s="2379"/>
      <c r="AI55" s="2379"/>
      <c r="AJ55" s="2379"/>
      <c r="AK55" s="2379"/>
    </row>
    <row customHeight="1" ht="14.25" hidden="1">
      <c r="O56" s="701"/>
    </row>
    <row customHeight="1" ht="14.25" hidden="1">
      <c r="O57" s="701"/>
      <c r="S57" s="1460" t="s">
        <v>1517</v>
      </c>
      <c r="T57" s="2379" t="s">
        <v>1701</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FC8D38-BB16-F6C4-6C27-F5FBD5216ED6}"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054" width="19.140625" hidden="1" customWidth="1"/>
    <col min="13" max="14" style="6617" width="12.28125" hidden="1" customWidth="1"/>
    <col min="15" max="15" style="6617" width="23.421875" hidden="1" customWidth="1"/>
    <col min="16" max="16" style="7055"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681">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677"/>
      <c r="Q3" s="500"/>
      <c r="R3" s="501"/>
      <c r="S3" s="1681">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681">
        <f>INDEX(PT_DIFFERENTIATION_NUM_CS,MATCH(C4,PT_DIFFERENTIATION_CS_ID,0))</f>
      </c>
      <c r="T4" s="448" t="s">
        <v>1685</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1686</v>
      </c>
      <c r="AM4" s="664"/>
      <c r="AN4" s="664" t="str">
        <f>IF(T4="","",T4)</f>
        <v>Наименование централизованной системы холодного водоснабжения</v>
      </c>
      <c r="AO4" s="664"/>
      <c r="AP4" s="664"/>
    </row>
    <row customHeight="1" ht="23.25" hidden="1">
      <c r="A5" s="1586"/>
      <c r="B5" s="1586"/>
      <c r="C5" s="1586"/>
      <c r="D5" s="1586"/>
      <c r="E5" s="2352"/>
      <c r="F5" s="2352"/>
      <c r="G5" s="2352"/>
      <c r="H5" s="2352"/>
      <c r="I5" s="2380">
        <f>S4&amp;".1"</f>
      </c>
      <c r="J5" s="1586"/>
      <c r="K5" s="1586"/>
      <c r="L5" s="1587"/>
      <c r="P5" s="2350">
        <v>1</v>
      </c>
      <c r="Q5" s="1674"/>
      <c r="R5" s="504"/>
      <c r="S5" s="1681">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681">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681">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680"/>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674"/>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682"/>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22.5" hidden="1">
      <c r="L18" s="1671"/>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671"/>
      <c r="M19" s="1585"/>
      <c r="N19" s="1585"/>
      <c r="O19" s="1585"/>
      <c r="P19" s="1585"/>
      <c r="Q19" s="1594"/>
      <c r="R19" s="1594"/>
      <c r="S19" s="894"/>
      <c r="AB19" s="1589"/>
      <c r="AI19" s="1589"/>
      <c r="AL19" s="675"/>
      <c r="AM19" s="675"/>
      <c r="AN19" s="675"/>
      <c r="AO19" s="675"/>
      <c r="AP19" s="675"/>
    </row>
    <row s="6539" customFormat="1" customHeight="1" ht="12" hidden="1">
      <c r="L20" s="1671"/>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678"/>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676" t="s">
        <v>1693</v>
      </c>
      <c r="W38" s="2355" t="s">
        <v>1504</v>
      </c>
      <c r="X38" s="2356"/>
      <c r="Y38" s="2361" t="s">
        <v>1505</v>
      </c>
      <c r="Z38" s="2362"/>
      <c r="AA38" s="2363"/>
      <c r="AB38" s="2372"/>
      <c r="AC38" s="1676" t="s">
        <v>1693</v>
      </c>
      <c r="AD38" s="2355" t="s">
        <v>1504</v>
      </c>
      <c r="AE38" s="2356"/>
      <c r="AF38" s="2361" t="s">
        <v>1505</v>
      </c>
      <c r="AG38" s="2362"/>
      <c r="AH38" s="2363"/>
      <c r="AI38" s="2372"/>
      <c r="AJ38" s="2375"/>
      <c r="AK38" s="2204"/>
    </row>
    <row customHeight="1" ht="33.7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676" t="s">
        <v>1696</v>
      </c>
      <c r="W39" s="1424" t="s">
        <v>1697</v>
      </c>
      <c r="X39" s="1424" t="s">
        <v>1698</v>
      </c>
      <c r="Y39" s="1679" t="s">
        <v>1515</v>
      </c>
      <c r="Z39" s="2364" t="s">
        <v>1516</v>
      </c>
      <c r="AA39" s="2365"/>
      <c r="AB39" s="2373"/>
      <c r="AC39" s="1676" t="s">
        <v>1696</v>
      </c>
      <c r="AD39" s="1424" t="s">
        <v>1697</v>
      </c>
      <c r="AE39" s="1424" t="s">
        <v>1698</v>
      </c>
      <c r="AF39" s="1679"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675">
        <f>OFFSET(V40,0,-1)+1</f>
        <v>3</v>
      </c>
      <c r="W40" s="1675">
        <f>OFFSET(W40,0,-1)+1</f>
        <v>4</v>
      </c>
      <c r="X40" s="1675">
        <f>OFFSET(X40,0,-1)+1</f>
        <v>5</v>
      </c>
      <c r="Y40" s="1675">
        <f>OFFSET(Y40,0,-1)+1</f>
        <v>6</v>
      </c>
      <c r="Z40" s="2366">
        <f>OFFSET(Z40,0,-1)+1</f>
        <v>7</v>
      </c>
      <c r="AA40" s="2366"/>
      <c r="AB40" s="1675">
        <f>OFFSET(AB40,0,-2)+1</f>
        <v>8</v>
      </c>
      <c r="AC40" s="1675">
        <f>OFFSET(AC40,0,-1)+1</f>
        <v>9</v>
      </c>
      <c r="AD40" s="1675">
        <f>OFFSET(AD40,0,-1)+1</f>
        <v>10</v>
      </c>
      <c r="AE40" s="1675">
        <f>OFFSET(AE40,0,-1)+1</f>
        <v>11</v>
      </c>
      <c r="AF40" s="1675">
        <f>OFFSET(AF40,0,-1)+1</f>
        <v>12</v>
      </c>
      <c r="AG40" s="2366">
        <f>OFFSET(AG40,0,-1)+1</f>
        <v>13</v>
      </c>
      <c r="AH40" s="2366"/>
      <c r="AI40" s="1675">
        <f>OFFSET(AI40,0,-2)+1</f>
        <v>14</v>
      </c>
      <c r="AJ40" s="1450">
        <f>OFFSET(AJ40,0,-1)</f>
        <v>14</v>
      </c>
      <c r="AK40" s="1675">
        <f>OFFSET(AK40,0,-1)+1</f>
        <v>15</v>
      </c>
      <c r="AL40" s="675"/>
      <c r="AM40" s="675"/>
      <c r="AN40" s="675"/>
      <c r="AO40" s="675"/>
      <c r="AP40" s="675"/>
    </row>
    <row customHeight="1" ht="23.25">
      <c r="A41" s="1586" t="s">
        <v>231</v>
      </c>
      <c r="B41" s="1586"/>
      <c r="C41" s="1586"/>
      <c r="D41" s="1586"/>
      <c r="E41" s="2351">
        <v>1</v>
      </c>
      <c r="F41" s="1586"/>
      <c r="G41" s="1586"/>
      <c r="H41" s="1586"/>
      <c r="I41" s="1586"/>
      <c r="J41" s="1586"/>
      <c r="K41" s="1586"/>
      <c r="L41" s="1587"/>
      <c r="M41" s="1588"/>
      <c r="N41" s="1588"/>
      <c r="O41" s="1588"/>
      <c r="P41" s="509"/>
      <c r="Q41" s="508"/>
      <c r="R41" s="503"/>
      <c r="S41" s="1681">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231</v>
      </c>
      <c r="B42" s="1586" t="s">
        <v>232</v>
      </c>
      <c r="C42" s="1586"/>
      <c r="D42" s="1586"/>
      <c r="E42" s="2352"/>
      <c r="F42" s="2351">
        <v>1</v>
      </c>
      <c r="G42" s="1586"/>
      <c r="H42" s="1586"/>
      <c r="I42" s="1586"/>
      <c r="J42" s="1586"/>
      <c r="K42" s="1586"/>
      <c r="L42" s="1587"/>
      <c r="M42" s="1588"/>
      <c r="N42" s="1588"/>
      <c r="O42" s="1588"/>
      <c r="P42" s="1677"/>
      <c r="Q42" s="500"/>
      <c r="R42" s="501"/>
      <c r="S42" s="1681"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231</v>
      </c>
      <c r="B43" s="1586" t="s">
        <v>232</v>
      </c>
      <c r="C43" s="1586" t="s">
        <v>233</v>
      </c>
      <c r="D43" s="1586"/>
      <c r="E43" s="2352"/>
      <c r="F43" s="2352"/>
      <c r="G43" s="2351">
        <v>1</v>
      </c>
      <c r="H43" s="1586"/>
      <c r="I43" s="1586"/>
      <c r="J43" s="1586"/>
      <c r="K43" s="1586"/>
      <c r="L43" s="1587"/>
      <c r="M43" s="1588"/>
      <c r="N43" s="1588"/>
      <c r="O43" s="1588"/>
      <c r="P43" s="502"/>
      <c r="Q43" s="500"/>
      <c r="R43" s="501"/>
      <c r="S43" s="1681" t="str">
        <f>INDEX(PT_DIFFERENTIATION_NUM_CS,MATCH(C43,PT_DIFFERENTIATION_CS_ID,0))</f>
        <v>..</v>
      </c>
      <c r="T43" s="448" t="s">
        <v>1685</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1686</v>
      </c>
      <c r="AM43" s="664"/>
      <c r="AN43" s="664" t="str">
        <f>IF(T43="","",T43)</f>
        <v>Наименование централизованной системы холодного водоснабжения</v>
      </c>
      <c r="AO43" s="664"/>
      <c r="AP43" s="664"/>
    </row>
    <row customHeight="1" ht="23.25">
      <c r="A44" s="1586" t="s">
        <v>231</v>
      </c>
      <c r="B44" s="1586" t="s">
        <v>232</v>
      </c>
      <c r="C44" s="1586" t="s">
        <v>233</v>
      </c>
      <c r="D44" s="1586" t="s">
        <v>1702</v>
      </c>
      <c r="E44" s="2352"/>
      <c r="F44" s="2352"/>
      <c r="G44" s="2352"/>
      <c r="H44" s="2352"/>
      <c r="I44" s="2380" t="str">
        <f>S43&amp;".1"</f>
        <v>...1</v>
      </c>
      <c r="J44" s="1586"/>
      <c r="K44" s="1586"/>
      <c r="L44" s="1587"/>
      <c r="P44" s="2350">
        <v>1</v>
      </c>
      <c r="Q44" s="1674"/>
      <c r="R44" s="504"/>
      <c r="S44" s="1681"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231</v>
      </c>
      <c r="B45" s="1586" t="s">
        <v>232</v>
      </c>
      <c r="C45" s="1586" t="s">
        <v>233</v>
      </c>
      <c r="D45" s="1586" t="s">
        <v>1702</v>
      </c>
      <c r="E45" s="2352"/>
      <c r="F45" s="2352"/>
      <c r="G45" s="2352"/>
      <c r="H45" s="2352"/>
      <c r="I45" s="2381"/>
      <c r="J45" s="2349" t="str">
        <f>I44&amp;".1"</f>
        <v>...1.1</v>
      </c>
      <c r="K45" s="1586"/>
      <c r="L45" s="1587" t="s">
        <v>1478</v>
      </c>
      <c r="P45" s="2350"/>
      <c r="Q45" s="2350">
        <v>1</v>
      </c>
      <c r="R45" s="505"/>
      <c r="S45" s="1681"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231</v>
      </c>
      <c r="B46" s="1586" t="s">
        <v>232</v>
      </c>
      <c r="C46" s="1586" t="s">
        <v>233</v>
      </c>
      <c r="D46" s="1586" t="s">
        <v>1702</v>
      </c>
      <c r="E46" s="2352"/>
      <c r="F46" s="2352"/>
      <c r="G46" s="2352"/>
      <c r="H46" s="2352"/>
      <c r="I46" s="2381"/>
      <c r="J46" s="2382"/>
      <c r="K46" s="2349" t="str">
        <f>J45&amp;".1"</f>
        <v>...1.1.1</v>
      </c>
      <c r="L46" s="1587"/>
      <c r="P46" s="2350"/>
      <c r="Q46" s="2350"/>
      <c r="R46" s="505">
        <v>1</v>
      </c>
      <c r="S46" s="1681" t="str">
        <f>$K46</f>
        <v>...1.1.1</v>
      </c>
      <c r="T46" s="1661"/>
      <c r="U46" s="437"/>
      <c r="V46" s="3992"/>
      <c r="W46" s="3992"/>
      <c r="X46" s="3994"/>
      <c r="Y46" s="2357"/>
      <c r="Z46" s="2069" t="s">
        <v>66</v>
      </c>
      <c r="AA46" s="2357"/>
      <c r="AB46" s="2069" t="s">
        <v>66</v>
      </c>
      <c r="AC46" s="3992"/>
      <c r="AD46" s="3992"/>
      <c r="AE46" s="3994"/>
      <c r="AF46" s="2357"/>
      <c r="AG46" s="2069" t="s">
        <v>66</v>
      </c>
      <c r="AH46" s="2383"/>
      <c r="AI46" s="2069" t="s">
        <v>66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231</v>
      </c>
      <c r="B47" s="1586" t="s">
        <v>232</v>
      </c>
      <c r="C47" s="1586" t="s">
        <v>233</v>
      </c>
      <c r="D47" s="1586" t="s">
        <v>1702</v>
      </c>
      <c r="E47" s="2352"/>
      <c r="F47" s="2352"/>
      <c r="G47" s="2352"/>
      <c r="H47" s="2352"/>
      <c r="I47" s="2381"/>
      <c r="J47" s="2382"/>
      <c r="K47" s="2349"/>
      <c r="L47" s="1587"/>
      <c r="P47" s="2350"/>
      <c r="Q47" s="2350"/>
      <c r="R47" s="505"/>
      <c r="S47" s="1680"/>
      <c r="T47" s="437"/>
      <c r="U47" s="437"/>
      <c r="V47" s="3993"/>
      <c r="W47" s="3993"/>
      <c r="X47" s="3998" t="str">
        <f>Y46&amp;"-"&amp;AA46</f>
        <v>-</v>
      </c>
      <c r="Y47" s="2358"/>
      <c r="Z47" s="2069"/>
      <c r="AA47" s="2358"/>
      <c r="AB47" s="2069"/>
      <c r="AC47" s="3993"/>
      <c r="AD47" s="3993"/>
      <c r="AE47" s="3998" t="str">
        <f>AF46&amp;"-"&amp;AH46</f>
        <v>-</v>
      </c>
      <c r="AF47" s="2358"/>
      <c r="AG47" s="2069"/>
      <c r="AH47" s="2384"/>
      <c r="AI47" s="2069"/>
      <c r="AJ47" s="4499"/>
      <c r="AK47" s="2500"/>
      <c r="AM47" s="664"/>
      <c r="AN47" s="664" t="str">
        <f>IF(T47="","",T47)</f>
        <v/>
      </c>
      <c r="AO47" s="664"/>
      <c r="AP47" s="664"/>
    </row>
    <row customHeight="1" ht="21">
      <c r="A48" s="1586" t="s">
        <v>231</v>
      </c>
      <c r="B48" s="1586" t="s">
        <v>232</v>
      </c>
      <c r="C48" s="1586" t="s">
        <v>233</v>
      </c>
      <c r="D48" s="1586" t="s">
        <v>1702</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231</v>
      </c>
      <c r="B49" s="1586" t="s">
        <v>232</v>
      </c>
      <c r="C49" s="1586" t="s">
        <v>233</v>
      </c>
      <c r="D49" s="1586" t="s">
        <v>1702</v>
      </c>
      <c r="E49" s="2352"/>
      <c r="F49" s="2352"/>
      <c r="G49" s="2352"/>
      <c r="H49" s="2352"/>
      <c r="I49" s="2380"/>
      <c r="J49" s="1586"/>
      <c r="K49" s="1586"/>
      <c r="L49" s="1587"/>
      <c r="P49" s="2350"/>
      <c r="Q49" s="1674"/>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231</v>
      </c>
      <c r="B50" s="1586" t="s">
        <v>232</v>
      </c>
      <c r="C50" s="1586" t="s">
        <v>233</v>
      </c>
      <c r="D50" s="1586" t="s">
        <v>1702</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231</v>
      </c>
      <c r="B51" s="1565" t="s">
        <v>232</v>
      </c>
      <c r="C51" s="1536"/>
      <c r="D51" s="1536"/>
      <c r="E51" s="2352"/>
      <c r="F51" s="2351"/>
      <c r="G51" s="1536"/>
      <c r="H51" s="1536"/>
      <c r="I51" s="1536"/>
      <c r="J51" s="1536"/>
      <c r="K51" s="1536"/>
      <c r="L51" s="1682"/>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231</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682"/>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hidden="1">
      <c r="M54" s="1348"/>
      <c r="N54" s="1348"/>
      <c r="O54" s="701"/>
      <c r="P54" s="1343"/>
      <c r="Q54" s="1343"/>
      <c r="R54" s="1343"/>
      <c r="S54" s="1343"/>
      <c r="AL54" s="1343"/>
      <c r="AM54" s="1343"/>
      <c r="AN54" s="1343"/>
      <c r="AO54" s="1343"/>
      <c r="AP54" s="1343"/>
    </row>
    <row customHeight="1" ht="14.25" hidden="1">
      <c r="O55" s="701"/>
      <c r="S55" s="1460" t="s">
        <v>1517</v>
      </c>
      <c r="T55" s="2379" t="s">
        <v>1700</v>
      </c>
      <c r="U55" s="2379"/>
      <c r="V55" s="2379"/>
      <c r="W55" s="2379"/>
      <c r="X55" s="2379"/>
      <c r="Y55" s="2379"/>
      <c r="Z55" s="2379"/>
      <c r="AA55" s="2379"/>
      <c r="AB55" s="2379"/>
      <c r="AC55" s="2379"/>
      <c r="AD55" s="2379"/>
      <c r="AE55" s="2379"/>
      <c r="AF55" s="2379"/>
      <c r="AG55" s="2379"/>
      <c r="AH55" s="2379"/>
      <c r="AI55" s="2379"/>
      <c r="AJ55" s="2379"/>
      <c r="AK55" s="2379"/>
    </row>
    <row customHeight="1" ht="14.25" hidden="1">
      <c r="O56" s="701"/>
    </row>
    <row customHeight="1" ht="14.25" hidden="1">
      <c r="O57" s="701"/>
      <c r="S57" s="1460" t="s">
        <v>1517</v>
      </c>
      <c r="T57" s="2379" t="s">
        <v>1701</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CEFFB7-27B8-5015-7A7F-4FC77B046185}"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054" width="19.140625" hidden="1" customWidth="1"/>
    <col min="13" max="14" style="6617" width="12.28125" hidden="1" customWidth="1"/>
    <col min="15" max="15" style="6617" width="23.421875" hidden="1" customWidth="1"/>
    <col min="16" max="16" style="7055"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681">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677"/>
      <c r="Q3" s="500"/>
      <c r="R3" s="501"/>
      <c r="S3" s="1681">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681">
        <f>INDEX(PT_DIFFERENTIATION_NUM_CS,MATCH(C4,PT_DIFFERENTIATION_CS_ID,0))</f>
      </c>
      <c r="T4" s="448" t="s">
        <v>1685</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1686</v>
      </c>
      <c r="AM4" s="664"/>
      <c r="AN4" s="664" t="str">
        <f>IF(T4="","",T4)</f>
        <v>Наименование централизованной системы холодного водоснабжения</v>
      </c>
      <c r="AO4" s="664"/>
      <c r="AP4" s="664"/>
    </row>
    <row customHeight="1" ht="23.25" hidden="1">
      <c r="A5" s="1586"/>
      <c r="B5" s="1586"/>
      <c r="C5" s="1586"/>
      <c r="D5" s="1586"/>
      <c r="E5" s="2352"/>
      <c r="F5" s="2352"/>
      <c r="G5" s="2352"/>
      <c r="H5" s="2352"/>
      <c r="I5" s="2380">
        <f>S4&amp;".1"</f>
      </c>
      <c r="J5" s="1586"/>
      <c r="K5" s="1586"/>
      <c r="L5" s="1587"/>
      <c r="P5" s="2350">
        <v>1</v>
      </c>
      <c r="Q5" s="1674"/>
      <c r="R5" s="504"/>
      <c r="S5" s="1681">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681">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681">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680"/>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674"/>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682"/>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22.5" hidden="1">
      <c r="L18" s="1671"/>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671"/>
      <c r="M19" s="1585"/>
      <c r="N19" s="1585"/>
      <c r="O19" s="1585"/>
      <c r="P19" s="1585"/>
      <c r="Q19" s="1594"/>
      <c r="R19" s="1594"/>
      <c r="S19" s="894"/>
      <c r="AB19" s="1589"/>
      <c r="AI19" s="1589"/>
      <c r="AL19" s="675"/>
      <c r="AM19" s="675"/>
      <c r="AN19" s="675"/>
      <c r="AO19" s="675"/>
      <c r="AP19" s="675"/>
    </row>
    <row s="6539" customFormat="1" customHeight="1" ht="12" hidden="1">
      <c r="L20" s="1671"/>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678"/>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676" t="s">
        <v>1693</v>
      </c>
      <c r="W38" s="2355" t="s">
        <v>1504</v>
      </c>
      <c r="X38" s="2356"/>
      <c r="Y38" s="2361" t="s">
        <v>1505</v>
      </c>
      <c r="Z38" s="2362"/>
      <c r="AA38" s="2363"/>
      <c r="AB38" s="2372"/>
      <c r="AC38" s="1676" t="s">
        <v>1693</v>
      </c>
      <c r="AD38" s="2355" t="s">
        <v>1504</v>
      </c>
      <c r="AE38" s="2356"/>
      <c r="AF38" s="2361" t="s">
        <v>1505</v>
      </c>
      <c r="AG38" s="2362"/>
      <c r="AH38" s="2363"/>
      <c r="AI38" s="2372"/>
      <c r="AJ38" s="2375"/>
      <c r="AK38" s="2204"/>
    </row>
    <row customHeight="1" ht="33.7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676" t="s">
        <v>1696</v>
      </c>
      <c r="W39" s="1424" t="s">
        <v>1697</v>
      </c>
      <c r="X39" s="1424" t="s">
        <v>1698</v>
      </c>
      <c r="Y39" s="1679" t="s">
        <v>1515</v>
      </c>
      <c r="Z39" s="2364" t="s">
        <v>1516</v>
      </c>
      <c r="AA39" s="2365"/>
      <c r="AB39" s="2373"/>
      <c r="AC39" s="1676" t="s">
        <v>1696</v>
      </c>
      <c r="AD39" s="1424" t="s">
        <v>1697</v>
      </c>
      <c r="AE39" s="1424" t="s">
        <v>1698</v>
      </c>
      <c r="AF39" s="1679"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675">
        <f>OFFSET(V40,0,-1)+1</f>
        <v>3</v>
      </c>
      <c r="W40" s="1675">
        <f>OFFSET(W40,0,-1)+1</f>
        <v>4</v>
      </c>
      <c r="X40" s="1675">
        <f>OFFSET(X40,0,-1)+1</f>
        <v>5</v>
      </c>
      <c r="Y40" s="1675">
        <f>OFFSET(Y40,0,-1)+1</f>
        <v>6</v>
      </c>
      <c r="Z40" s="2366">
        <f>OFFSET(Z40,0,-1)+1</f>
        <v>7</v>
      </c>
      <c r="AA40" s="2366"/>
      <c r="AB40" s="1675">
        <f>OFFSET(AB40,0,-2)+1</f>
        <v>8</v>
      </c>
      <c r="AC40" s="1675">
        <f>OFFSET(AC40,0,-1)+1</f>
        <v>9</v>
      </c>
      <c r="AD40" s="1675">
        <f>OFFSET(AD40,0,-1)+1</f>
        <v>10</v>
      </c>
      <c r="AE40" s="1675">
        <f>OFFSET(AE40,0,-1)+1</f>
        <v>11</v>
      </c>
      <c r="AF40" s="1675">
        <f>OFFSET(AF40,0,-1)+1</f>
        <v>12</v>
      </c>
      <c r="AG40" s="2366">
        <f>OFFSET(AG40,0,-1)+1</f>
        <v>13</v>
      </c>
      <c r="AH40" s="2366"/>
      <c r="AI40" s="1675">
        <f>OFFSET(AI40,0,-2)+1</f>
        <v>14</v>
      </c>
      <c r="AJ40" s="1450">
        <f>OFFSET(AJ40,0,-1)</f>
        <v>14</v>
      </c>
      <c r="AK40" s="1675">
        <f>OFFSET(AK40,0,-1)+1</f>
        <v>15</v>
      </c>
      <c r="AL40" s="675"/>
      <c r="AM40" s="675"/>
      <c r="AN40" s="675"/>
      <c r="AO40" s="675"/>
      <c r="AP40" s="675"/>
    </row>
    <row customHeight="1" ht="23.25">
      <c r="A41" s="1586" t="s">
        <v>236</v>
      </c>
      <c r="B41" s="1586"/>
      <c r="C41" s="1586"/>
      <c r="D41" s="1586"/>
      <c r="E41" s="2351">
        <v>1</v>
      </c>
      <c r="F41" s="1586"/>
      <c r="G41" s="1586"/>
      <c r="H41" s="1586"/>
      <c r="I41" s="1586"/>
      <c r="J41" s="1586"/>
      <c r="K41" s="1586"/>
      <c r="L41" s="1587"/>
      <c r="M41" s="1588"/>
      <c r="N41" s="1588"/>
      <c r="O41" s="1588"/>
      <c r="P41" s="509"/>
      <c r="Q41" s="508"/>
      <c r="R41" s="503"/>
      <c r="S41" s="1681">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236</v>
      </c>
      <c r="B42" s="1586" t="s">
        <v>237</v>
      </c>
      <c r="C42" s="1586"/>
      <c r="D42" s="1586"/>
      <c r="E42" s="2352"/>
      <c r="F42" s="2351">
        <v>1</v>
      </c>
      <c r="G42" s="1586"/>
      <c r="H42" s="1586"/>
      <c r="I42" s="1586"/>
      <c r="J42" s="1586"/>
      <c r="K42" s="1586"/>
      <c r="L42" s="1587"/>
      <c r="M42" s="1588"/>
      <c r="N42" s="1588"/>
      <c r="O42" s="1588"/>
      <c r="P42" s="1677"/>
      <c r="Q42" s="500"/>
      <c r="R42" s="501"/>
      <c r="S42" s="1681"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236</v>
      </c>
      <c r="B43" s="1586" t="s">
        <v>237</v>
      </c>
      <c r="C43" s="1586" t="s">
        <v>238</v>
      </c>
      <c r="D43" s="1586"/>
      <c r="E43" s="2352"/>
      <c r="F43" s="2352"/>
      <c r="G43" s="2351">
        <v>1</v>
      </c>
      <c r="H43" s="1586"/>
      <c r="I43" s="1586"/>
      <c r="J43" s="1586"/>
      <c r="K43" s="1586"/>
      <c r="L43" s="1587"/>
      <c r="M43" s="1588"/>
      <c r="N43" s="1588"/>
      <c r="O43" s="1588"/>
      <c r="P43" s="502"/>
      <c r="Q43" s="500"/>
      <c r="R43" s="501"/>
      <c r="S43" s="1681" t="str">
        <f>INDEX(PT_DIFFERENTIATION_NUM_CS,MATCH(C43,PT_DIFFERENTIATION_CS_ID,0))</f>
        <v>..</v>
      </c>
      <c r="T43" s="448" t="s">
        <v>1685</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1686</v>
      </c>
      <c r="AM43" s="664"/>
      <c r="AN43" s="664" t="str">
        <f>IF(T43="","",T43)</f>
        <v>Наименование централизованной системы холодного водоснабжения</v>
      </c>
      <c r="AO43" s="664"/>
      <c r="AP43" s="664"/>
    </row>
    <row customHeight="1" ht="23.25">
      <c r="A44" s="1586" t="s">
        <v>236</v>
      </c>
      <c r="B44" s="1586" t="s">
        <v>237</v>
      </c>
      <c r="C44" s="1586" t="s">
        <v>238</v>
      </c>
      <c r="D44" s="1586" t="s">
        <v>1703</v>
      </c>
      <c r="E44" s="2352"/>
      <c r="F44" s="2352"/>
      <c r="G44" s="2352"/>
      <c r="H44" s="2352"/>
      <c r="I44" s="2380" t="str">
        <f>S43&amp;".1"</f>
        <v>...1</v>
      </c>
      <c r="J44" s="1586"/>
      <c r="K44" s="1586"/>
      <c r="L44" s="1587"/>
      <c r="P44" s="2350">
        <v>1</v>
      </c>
      <c r="Q44" s="1674"/>
      <c r="R44" s="504"/>
      <c r="S44" s="1681"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236</v>
      </c>
      <c r="B45" s="1586" t="s">
        <v>237</v>
      </c>
      <c r="C45" s="1586" t="s">
        <v>238</v>
      </c>
      <c r="D45" s="1586" t="s">
        <v>1703</v>
      </c>
      <c r="E45" s="2352"/>
      <c r="F45" s="2352"/>
      <c r="G45" s="2352"/>
      <c r="H45" s="2352"/>
      <c r="I45" s="2381"/>
      <c r="J45" s="2349" t="str">
        <f>I44&amp;".1"</f>
        <v>...1.1</v>
      </c>
      <c r="K45" s="1586"/>
      <c r="L45" s="1587" t="s">
        <v>1478</v>
      </c>
      <c r="P45" s="2350"/>
      <c r="Q45" s="2350">
        <v>1</v>
      </c>
      <c r="R45" s="505"/>
      <c r="S45" s="1681"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236</v>
      </c>
      <c r="B46" s="1586" t="s">
        <v>237</v>
      </c>
      <c r="C46" s="1586" t="s">
        <v>238</v>
      </c>
      <c r="D46" s="1586" t="s">
        <v>1703</v>
      </c>
      <c r="E46" s="2352"/>
      <c r="F46" s="2352"/>
      <c r="G46" s="2352"/>
      <c r="H46" s="2352"/>
      <c r="I46" s="2381"/>
      <c r="J46" s="2382"/>
      <c r="K46" s="2349" t="str">
        <f>J45&amp;".1"</f>
        <v>...1.1.1</v>
      </c>
      <c r="L46" s="1587"/>
      <c r="P46" s="2350"/>
      <c r="Q46" s="2350"/>
      <c r="R46" s="505">
        <v>1</v>
      </c>
      <c r="S46" s="1681" t="str">
        <f>$K46</f>
        <v>...1.1.1</v>
      </c>
      <c r="T46" s="1661"/>
      <c r="U46" s="437"/>
      <c r="V46" s="3992"/>
      <c r="W46" s="3992"/>
      <c r="X46" s="3994"/>
      <c r="Y46" s="2357"/>
      <c r="Z46" s="2069" t="s">
        <v>66</v>
      </c>
      <c r="AA46" s="2357"/>
      <c r="AB46" s="2069" t="s">
        <v>66</v>
      </c>
      <c r="AC46" s="3992"/>
      <c r="AD46" s="3992"/>
      <c r="AE46" s="3994"/>
      <c r="AF46" s="2357"/>
      <c r="AG46" s="2069" t="s">
        <v>66</v>
      </c>
      <c r="AH46" s="2383"/>
      <c r="AI46" s="2069" t="s">
        <v>66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236</v>
      </c>
      <c r="B47" s="1586" t="s">
        <v>237</v>
      </c>
      <c r="C47" s="1586" t="s">
        <v>238</v>
      </c>
      <c r="D47" s="1586" t="s">
        <v>1703</v>
      </c>
      <c r="E47" s="2352"/>
      <c r="F47" s="2352"/>
      <c r="G47" s="2352"/>
      <c r="H47" s="2352"/>
      <c r="I47" s="2381"/>
      <c r="J47" s="2382"/>
      <c r="K47" s="2349"/>
      <c r="L47" s="1587"/>
      <c r="P47" s="2350"/>
      <c r="Q47" s="2350"/>
      <c r="R47" s="505"/>
      <c r="S47" s="1680"/>
      <c r="T47" s="437"/>
      <c r="U47" s="437"/>
      <c r="V47" s="3993"/>
      <c r="W47" s="3993"/>
      <c r="X47" s="3998" t="str">
        <f>Y46&amp;"-"&amp;AA46</f>
        <v>-</v>
      </c>
      <c r="Y47" s="2358"/>
      <c r="Z47" s="2069"/>
      <c r="AA47" s="2358"/>
      <c r="AB47" s="2069"/>
      <c r="AC47" s="3993"/>
      <c r="AD47" s="3993"/>
      <c r="AE47" s="3998" t="str">
        <f>AF46&amp;"-"&amp;AH46</f>
        <v>-</v>
      </c>
      <c r="AF47" s="2358"/>
      <c r="AG47" s="2069"/>
      <c r="AH47" s="2384"/>
      <c r="AI47" s="2069"/>
      <c r="AJ47" s="4499"/>
      <c r="AK47" s="2500"/>
      <c r="AM47" s="664"/>
      <c r="AN47" s="664" t="str">
        <f>IF(T47="","",T47)</f>
        <v/>
      </c>
      <c r="AO47" s="664"/>
      <c r="AP47" s="664"/>
    </row>
    <row customHeight="1" ht="21">
      <c r="A48" s="1586" t="s">
        <v>236</v>
      </c>
      <c r="B48" s="1586" t="s">
        <v>237</v>
      </c>
      <c r="C48" s="1586" t="s">
        <v>238</v>
      </c>
      <c r="D48" s="1586" t="s">
        <v>1703</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236</v>
      </c>
      <c r="B49" s="1586" t="s">
        <v>237</v>
      </c>
      <c r="C49" s="1586" t="s">
        <v>238</v>
      </c>
      <c r="D49" s="1586" t="s">
        <v>1703</v>
      </c>
      <c r="E49" s="2352"/>
      <c r="F49" s="2352"/>
      <c r="G49" s="2352"/>
      <c r="H49" s="2352"/>
      <c r="I49" s="2380"/>
      <c r="J49" s="1586"/>
      <c r="K49" s="1586"/>
      <c r="L49" s="1587"/>
      <c r="P49" s="2350"/>
      <c r="Q49" s="1674"/>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236</v>
      </c>
      <c r="B50" s="1586" t="s">
        <v>237</v>
      </c>
      <c r="C50" s="1586" t="s">
        <v>238</v>
      </c>
      <c r="D50" s="1586" t="s">
        <v>1703</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236</v>
      </c>
      <c r="B51" s="1565" t="s">
        <v>237</v>
      </c>
      <c r="C51" s="1536"/>
      <c r="D51" s="1536"/>
      <c r="E51" s="2352"/>
      <c r="F51" s="2351"/>
      <c r="G51" s="1536"/>
      <c r="H51" s="1536"/>
      <c r="I51" s="1536"/>
      <c r="J51" s="1536"/>
      <c r="K51" s="1536"/>
      <c r="L51" s="1682"/>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236</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682"/>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hidden="1">
      <c r="M54" s="1348"/>
      <c r="N54" s="1348"/>
      <c r="O54" s="701"/>
      <c r="P54" s="1343"/>
      <c r="Q54" s="1343"/>
      <c r="R54" s="1343"/>
      <c r="S54" s="1343"/>
      <c r="AL54" s="1343"/>
      <c r="AM54" s="1343"/>
      <c r="AN54" s="1343"/>
      <c r="AO54" s="1343"/>
      <c r="AP54" s="1343"/>
    </row>
    <row customHeight="1" ht="14.25" hidden="1">
      <c r="O55" s="701"/>
      <c r="S55" s="1460" t="s">
        <v>1517</v>
      </c>
      <c r="T55" s="2379" t="s">
        <v>1700</v>
      </c>
      <c r="U55" s="2379"/>
      <c r="V55" s="2379"/>
      <c r="W55" s="2379"/>
      <c r="X55" s="2379"/>
      <c r="Y55" s="2379"/>
      <c r="Z55" s="2379"/>
      <c r="AA55" s="2379"/>
      <c r="AB55" s="2379"/>
      <c r="AC55" s="2379"/>
      <c r="AD55" s="2379"/>
      <c r="AE55" s="2379"/>
      <c r="AF55" s="2379"/>
      <c r="AG55" s="2379"/>
      <c r="AH55" s="2379"/>
      <c r="AI55" s="2379"/>
      <c r="AJ55" s="2379"/>
      <c r="AK55" s="2379"/>
    </row>
    <row customHeight="1" ht="14.25" hidden="1">
      <c r="O56" s="701"/>
    </row>
    <row customHeight="1" ht="14.25" hidden="1">
      <c r="O57" s="701"/>
      <c r="S57" s="1460" t="s">
        <v>1517</v>
      </c>
      <c r="T57" s="2379" t="s">
        <v>1701</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665BF7-D1F3-0833-982D-E11D634A1746}"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054" width="19.140625" hidden="1" customWidth="1"/>
    <col min="13" max="14" style="6617" width="12.28125" hidden="1" customWidth="1"/>
    <col min="15" max="15" style="6617" width="23.421875" hidden="1" customWidth="1"/>
    <col min="16" max="16" style="7055"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681">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677"/>
      <c r="Q3" s="500"/>
      <c r="R3" s="501"/>
      <c r="S3" s="1681">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681">
        <f>INDEX(PT_DIFFERENTIATION_NUM_CS,MATCH(C4,PT_DIFFERENTIATION_CS_ID,0))</f>
      </c>
      <c r="T4" s="448" t="s">
        <v>1685</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1686</v>
      </c>
      <c r="AM4" s="664"/>
      <c r="AN4" s="664" t="str">
        <f>IF(T4="","",T4)</f>
        <v>Наименование централизованной системы холодного водоснабжения</v>
      </c>
      <c r="AO4" s="664"/>
      <c r="AP4" s="664"/>
    </row>
    <row customHeight="1" ht="23.25" hidden="1">
      <c r="A5" s="1586"/>
      <c r="B5" s="1586"/>
      <c r="C5" s="1586"/>
      <c r="D5" s="1586"/>
      <c r="E5" s="2352"/>
      <c r="F5" s="2352"/>
      <c r="G5" s="2352"/>
      <c r="H5" s="2352"/>
      <c r="I5" s="2380">
        <f>S4&amp;".1"</f>
      </c>
      <c r="J5" s="1586"/>
      <c r="K5" s="1586"/>
      <c r="L5" s="1587"/>
      <c r="P5" s="2350">
        <v>1</v>
      </c>
      <c r="Q5" s="1674"/>
      <c r="R5" s="504"/>
      <c r="S5" s="1681">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681">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681">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680"/>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674"/>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682"/>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22.5" hidden="1">
      <c r="L18" s="1671"/>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671"/>
      <c r="M19" s="1585"/>
      <c r="N19" s="1585"/>
      <c r="O19" s="1585"/>
      <c r="P19" s="1585"/>
      <c r="Q19" s="1594"/>
      <c r="R19" s="1594"/>
      <c r="S19" s="894"/>
      <c r="AB19" s="1589"/>
      <c r="AI19" s="1589"/>
      <c r="AL19" s="675"/>
      <c r="AM19" s="675"/>
      <c r="AN19" s="675"/>
      <c r="AO19" s="675"/>
      <c r="AP19" s="675"/>
    </row>
    <row s="6539" customFormat="1" customHeight="1" ht="12" hidden="1">
      <c r="L20" s="1671"/>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IF(TEMPLATE_GROUP="P",PT_P_FORM_COLDVSNA_4_NAME_FORM,PT_R_FORM_COLDVSNA_16_NAME_FORM)</f>
        <v>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678"/>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676" t="s">
        <v>1693</v>
      </c>
      <c r="W38" s="2355" t="s">
        <v>1504</v>
      </c>
      <c r="X38" s="2356"/>
      <c r="Y38" s="2361" t="s">
        <v>1505</v>
      </c>
      <c r="Z38" s="2362"/>
      <c r="AA38" s="2363"/>
      <c r="AB38" s="2372"/>
      <c r="AC38" s="1676" t="s">
        <v>1693</v>
      </c>
      <c r="AD38" s="2355" t="s">
        <v>1504</v>
      </c>
      <c r="AE38" s="2356"/>
      <c r="AF38" s="2361" t="s">
        <v>1505</v>
      </c>
      <c r="AG38" s="2362"/>
      <c r="AH38" s="2363"/>
      <c r="AI38" s="2372"/>
      <c r="AJ38" s="2375"/>
      <c r="AK38" s="2204"/>
    </row>
    <row customHeight="1" ht="33.7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676" t="s">
        <v>1696</v>
      </c>
      <c r="W39" s="1424" t="s">
        <v>1697</v>
      </c>
      <c r="X39" s="1424" t="s">
        <v>1698</v>
      </c>
      <c r="Y39" s="1679" t="s">
        <v>1515</v>
      </c>
      <c r="Z39" s="2364" t="s">
        <v>1516</v>
      </c>
      <c r="AA39" s="2365"/>
      <c r="AB39" s="2373"/>
      <c r="AC39" s="1676" t="s">
        <v>1696</v>
      </c>
      <c r="AD39" s="1424" t="s">
        <v>1697</v>
      </c>
      <c r="AE39" s="1424" t="s">
        <v>1698</v>
      </c>
      <c r="AF39" s="1679"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675">
        <f>OFFSET(V40,0,-1)+1</f>
        <v>3</v>
      </c>
      <c r="W40" s="1675">
        <f>OFFSET(W40,0,-1)+1</f>
        <v>4</v>
      </c>
      <c r="X40" s="1675">
        <f>OFFSET(X40,0,-1)+1</f>
        <v>5</v>
      </c>
      <c r="Y40" s="1675">
        <f>OFFSET(Y40,0,-1)+1</f>
        <v>6</v>
      </c>
      <c r="Z40" s="2366">
        <f>OFFSET(Z40,0,-1)+1</f>
        <v>7</v>
      </c>
      <c r="AA40" s="2366"/>
      <c r="AB40" s="1675">
        <f>OFFSET(AB40,0,-2)+1</f>
        <v>8</v>
      </c>
      <c r="AC40" s="1675">
        <f>OFFSET(AC40,0,-1)+1</f>
        <v>9</v>
      </c>
      <c r="AD40" s="1675">
        <f>OFFSET(AD40,0,-1)+1</f>
        <v>10</v>
      </c>
      <c r="AE40" s="1675">
        <f>OFFSET(AE40,0,-1)+1</f>
        <v>11</v>
      </c>
      <c r="AF40" s="1675">
        <f>OFFSET(AF40,0,-1)+1</f>
        <v>12</v>
      </c>
      <c r="AG40" s="2366">
        <f>OFFSET(AG40,0,-1)+1</f>
        <v>13</v>
      </c>
      <c r="AH40" s="2366"/>
      <c r="AI40" s="1675">
        <f>OFFSET(AI40,0,-2)+1</f>
        <v>14</v>
      </c>
      <c r="AJ40" s="1450">
        <f>OFFSET(AJ40,0,-1)</f>
        <v>14</v>
      </c>
      <c r="AK40" s="1675">
        <f>OFFSET(AK40,0,-1)+1</f>
        <v>15</v>
      </c>
      <c r="AL40" s="675"/>
      <c r="AM40" s="675"/>
      <c r="AN40" s="675"/>
      <c r="AO40" s="675"/>
      <c r="AP40" s="675"/>
    </row>
    <row customHeight="1" ht="23.25">
      <c r="A41" s="1586" t="s">
        <v>241</v>
      </c>
      <c r="B41" s="1586"/>
      <c r="C41" s="1586"/>
      <c r="D41" s="1586"/>
      <c r="E41" s="2351">
        <v>1</v>
      </c>
      <c r="F41" s="1586"/>
      <c r="G41" s="1586"/>
      <c r="H41" s="1586"/>
      <c r="I41" s="1586"/>
      <c r="J41" s="1586"/>
      <c r="K41" s="1586"/>
      <c r="L41" s="1587"/>
      <c r="M41" s="1588"/>
      <c r="N41" s="1588"/>
      <c r="O41" s="1588"/>
      <c r="P41" s="509"/>
      <c r="Q41" s="508"/>
      <c r="R41" s="503"/>
      <c r="S41" s="1681">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241</v>
      </c>
      <c r="B42" s="1586" t="s">
        <v>242</v>
      </c>
      <c r="C42" s="1586"/>
      <c r="D42" s="1586"/>
      <c r="E42" s="2352"/>
      <c r="F42" s="2351">
        <v>1</v>
      </c>
      <c r="G42" s="1586"/>
      <c r="H42" s="1586"/>
      <c r="I42" s="1586"/>
      <c r="J42" s="1586"/>
      <c r="K42" s="1586"/>
      <c r="L42" s="1587"/>
      <c r="M42" s="1588"/>
      <c r="N42" s="1588"/>
      <c r="O42" s="1588"/>
      <c r="P42" s="1677"/>
      <c r="Q42" s="500"/>
      <c r="R42" s="501"/>
      <c r="S42" s="1681"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241</v>
      </c>
      <c r="B43" s="1586" t="s">
        <v>242</v>
      </c>
      <c r="C43" s="1586" t="s">
        <v>243</v>
      </c>
      <c r="D43" s="1586"/>
      <c r="E43" s="2352"/>
      <c r="F43" s="2352"/>
      <c r="G43" s="2351">
        <v>1</v>
      </c>
      <c r="H43" s="1586"/>
      <c r="I43" s="1586"/>
      <c r="J43" s="1586"/>
      <c r="K43" s="1586"/>
      <c r="L43" s="1587"/>
      <c r="M43" s="1588"/>
      <c r="N43" s="1588"/>
      <c r="O43" s="1588"/>
      <c r="P43" s="502"/>
      <c r="Q43" s="500"/>
      <c r="R43" s="501"/>
      <c r="S43" s="1681" t="str">
        <f>INDEX(PT_DIFFERENTIATION_NUM_CS,MATCH(C43,PT_DIFFERENTIATION_CS_ID,0))</f>
        <v>..</v>
      </c>
      <c r="T43" s="448" t="s">
        <v>1685</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1686</v>
      </c>
      <c r="AM43" s="664"/>
      <c r="AN43" s="664" t="str">
        <f>IF(T43="","",T43)</f>
        <v>Наименование централизованной системы холодного водоснабжения</v>
      </c>
      <c r="AO43" s="664"/>
      <c r="AP43" s="664"/>
    </row>
    <row customHeight="1" ht="23.25">
      <c r="A44" s="1586" t="s">
        <v>241</v>
      </c>
      <c r="B44" s="1586" t="s">
        <v>242</v>
      </c>
      <c r="C44" s="1586" t="s">
        <v>243</v>
      </c>
      <c r="D44" s="1586" t="s">
        <v>1704</v>
      </c>
      <c r="E44" s="2352"/>
      <c r="F44" s="2352"/>
      <c r="G44" s="2352"/>
      <c r="H44" s="2352"/>
      <c r="I44" s="2380" t="str">
        <f>S43&amp;".1"</f>
        <v>...1</v>
      </c>
      <c r="J44" s="1586"/>
      <c r="K44" s="1586"/>
      <c r="L44" s="1587"/>
      <c r="P44" s="2350">
        <v>1</v>
      </c>
      <c r="Q44" s="1674"/>
      <c r="R44" s="504"/>
      <c r="S44" s="1681"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241</v>
      </c>
      <c r="B45" s="1586" t="s">
        <v>242</v>
      </c>
      <c r="C45" s="1586" t="s">
        <v>243</v>
      </c>
      <c r="D45" s="1586" t="s">
        <v>1704</v>
      </c>
      <c r="E45" s="2352"/>
      <c r="F45" s="2352"/>
      <c r="G45" s="2352"/>
      <c r="H45" s="2352"/>
      <c r="I45" s="2381"/>
      <c r="J45" s="2349" t="str">
        <f>I44&amp;".1"</f>
        <v>...1.1</v>
      </c>
      <c r="K45" s="1586"/>
      <c r="L45" s="1587" t="s">
        <v>1478</v>
      </c>
      <c r="P45" s="2350"/>
      <c r="Q45" s="2350">
        <v>1</v>
      </c>
      <c r="R45" s="505"/>
      <c r="S45" s="1681"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241</v>
      </c>
      <c r="B46" s="1586" t="s">
        <v>242</v>
      </c>
      <c r="C46" s="1586" t="s">
        <v>243</v>
      </c>
      <c r="D46" s="1586" t="s">
        <v>1704</v>
      </c>
      <c r="E46" s="2352"/>
      <c r="F46" s="2352"/>
      <c r="G46" s="2352"/>
      <c r="H46" s="2352"/>
      <c r="I46" s="2381"/>
      <c r="J46" s="2382"/>
      <c r="K46" s="2349" t="str">
        <f>J45&amp;".1"</f>
        <v>...1.1.1</v>
      </c>
      <c r="L46" s="1587"/>
      <c r="P46" s="2350"/>
      <c r="Q46" s="2350"/>
      <c r="R46" s="505">
        <v>1</v>
      </c>
      <c r="S46" s="1681" t="str">
        <f>$K46</f>
        <v>...1.1.1</v>
      </c>
      <c r="T46" s="1661"/>
      <c r="U46" s="437"/>
      <c r="V46" s="3992"/>
      <c r="W46" s="3992"/>
      <c r="X46" s="3994"/>
      <c r="Y46" s="2357"/>
      <c r="Z46" s="2069" t="s">
        <v>66</v>
      </c>
      <c r="AA46" s="2357"/>
      <c r="AB46" s="2069" t="s">
        <v>66</v>
      </c>
      <c r="AC46" s="3992"/>
      <c r="AD46" s="3992"/>
      <c r="AE46" s="3994"/>
      <c r="AF46" s="2357"/>
      <c r="AG46" s="2069" t="s">
        <v>66</v>
      </c>
      <c r="AH46" s="2383"/>
      <c r="AI46" s="2069" t="s">
        <v>66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241</v>
      </c>
      <c r="B47" s="1586" t="s">
        <v>242</v>
      </c>
      <c r="C47" s="1586" t="s">
        <v>243</v>
      </c>
      <c r="D47" s="1586" t="s">
        <v>1704</v>
      </c>
      <c r="E47" s="2352"/>
      <c r="F47" s="2352"/>
      <c r="G47" s="2352"/>
      <c r="H47" s="2352"/>
      <c r="I47" s="2381"/>
      <c r="J47" s="2382"/>
      <c r="K47" s="2349"/>
      <c r="L47" s="1587"/>
      <c r="P47" s="2350"/>
      <c r="Q47" s="2350"/>
      <c r="R47" s="505"/>
      <c r="S47" s="1680"/>
      <c r="T47" s="437"/>
      <c r="U47" s="437"/>
      <c r="V47" s="3993"/>
      <c r="W47" s="3993"/>
      <c r="X47" s="3998" t="str">
        <f>Y46&amp;"-"&amp;AA46</f>
        <v>-</v>
      </c>
      <c r="Y47" s="2358"/>
      <c r="Z47" s="2069"/>
      <c r="AA47" s="2358"/>
      <c r="AB47" s="2069"/>
      <c r="AC47" s="3993"/>
      <c r="AD47" s="3993"/>
      <c r="AE47" s="3998" t="str">
        <f>AF46&amp;"-"&amp;AH46</f>
        <v>-</v>
      </c>
      <c r="AF47" s="2358"/>
      <c r="AG47" s="2069"/>
      <c r="AH47" s="2384"/>
      <c r="AI47" s="2069"/>
      <c r="AJ47" s="4499"/>
      <c r="AK47" s="2500"/>
      <c r="AM47" s="664"/>
      <c r="AN47" s="664" t="str">
        <f>IF(T47="","",T47)</f>
        <v/>
      </c>
      <c r="AO47" s="664"/>
      <c r="AP47" s="664"/>
    </row>
    <row customHeight="1" ht="21">
      <c r="A48" s="1586" t="s">
        <v>241</v>
      </c>
      <c r="B48" s="1586" t="s">
        <v>242</v>
      </c>
      <c r="C48" s="1586" t="s">
        <v>243</v>
      </c>
      <c r="D48" s="1586" t="s">
        <v>1704</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241</v>
      </c>
      <c r="B49" s="1586" t="s">
        <v>242</v>
      </c>
      <c r="C49" s="1586" t="s">
        <v>243</v>
      </c>
      <c r="D49" s="1586" t="s">
        <v>1704</v>
      </c>
      <c r="E49" s="2352"/>
      <c r="F49" s="2352"/>
      <c r="G49" s="2352"/>
      <c r="H49" s="2352"/>
      <c r="I49" s="2380"/>
      <c r="J49" s="1586"/>
      <c r="K49" s="1586"/>
      <c r="L49" s="1587"/>
      <c r="P49" s="2350"/>
      <c r="Q49" s="1674"/>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241</v>
      </c>
      <c r="B50" s="1586" t="s">
        <v>242</v>
      </c>
      <c r="C50" s="1586" t="s">
        <v>243</v>
      </c>
      <c r="D50" s="1586" t="s">
        <v>1704</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241</v>
      </c>
      <c r="B51" s="1565" t="s">
        <v>242</v>
      </c>
      <c r="C51" s="1536"/>
      <c r="D51" s="1536"/>
      <c r="E51" s="2352"/>
      <c r="F51" s="2351"/>
      <c r="G51" s="1536"/>
      <c r="H51" s="1536"/>
      <c r="I51" s="1536"/>
      <c r="J51" s="1536"/>
      <c r="K51" s="1536"/>
      <c r="L51" s="1682"/>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241</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682"/>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hidden="1">
      <c r="M54" s="1348"/>
      <c r="N54" s="1348"/>
      <c r="O54" s="701"/>
      <c r="P54" s="1343"/>
      <c r="Q54" s="1343"/>
      <c r="R54" s="1343"/>
      <c r="S54" s="1343"/>
      <c r="AL54" s="1343"/>
      <c r="AM54" s="1343"/>
      <c r="AN54" s="1343"/>
      <c r="AO54" s="1343"/>
      <c r="AP54" s="1343"/>
    </row>
    <row customHeight="1" ht="14.25" hidden="1">
      <c r="O55" s="701"/>
      <c r="S55" s="1460" t="s">
        <v>1517</v>
      </c>
      <c r="T55" s="2379" t="s">
        <v>1700</v>
      </c>
      <c r="U55" s="2379"/>
      <c r="V55" s="2379"/>
      <c r="W55" s="2379"/>
      <c r="X55" s="2379"/>
      <c r="Y55" s="2379"/>
      <c r="Z55" s="2379"/>
      <c r="AA55" s="2379"/>
      <c r="AB55" s="2379"/>
      <c r="AC55" s="2379"/>
      <c r="AD55" s="2379"/>
      <c r="AE55" s="2379"/>
      <c r="AF55" s="2379"/>
      <c r="AG55" s="2379"/>
      <c r="AH55" s="2379"/>
      <c r="AI55" s="2379"/>
      <c r="AJ55" s="2379"/>
      <c r="AK55" s="2379"/>
    </row>
    <row customHeight="1" ht="14.25" hidden="1">
      <c r="O56" s="701"/>
    </row>
    <row customHeight="1" ht="14.25" hidden="1">
      <c r="O57" s="701"/>
      <c r="S57" s="1460" t="s">
        <v>1517</v>
      </c>
      <c r="T57" s="2379" t="s">
        <v>1701</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213EEDF-79C8-666C-73F7-2977133875DD}"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6539" width="11.57421875" hidden="1" customWidth="1"/>
    <col min="2" max="2" style="6539" width="11.00390625" hidden="1" customWidth="1"/>
    <col min="3" max="3" style="6539" width="10.57421875" hidden="1"/>
    <col min="4" max="4" style="6539" width="12.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7079" width="19.140625" hidden="1" customWidth="1"/>
    <col min="13" max="14" style="6617" width="12.28125" hidden="1" customWidth="1"/>
    <col min="15" max="15" style="6617" width="23.421875" hidden="1" customWidth="1"/>
    <col min="16" max="16" style="6617" width="3.7109375" hidden="1" customWidth="1"/>
    <col min="17" max="17" style="6765" width="3.7109375" hidden="1" customWidth="1"/>
    <col min="18" max="18" style="6619" width="3.7109375" customWidth="1"/>
    <col min="19" max="19" style="6620" width="12.7109375" customWidth="1"/>
    <col min="20" max="20" style="6104" width="32.00390625" customWidth="1"/>
    <col min="21" max="21" style="6104" width="0.140625" customWidth="1"/>
    <col min="22" max="25" style="6104" width="21.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2" style="6104" width="3.7109375" customWidth="1"/>
    <col min="33" max="33" style="6104" width="24.7109375" customWidth="1"/>
    <col min="34" max="36" style="6104" width="3.7109375" customWidth="1"/>
    <col min="37" max="37" style="6104" width="24.7109375" customWidth="1"/>
    <col min="38" max="40" style="6104" width="3.7109375" customWidth="1"/>
    <col min="41" max="41" style="6104" width="18.8515625" customWidth="1"/>
    <col min="42" max="44" style="6104" width="3.7109375" customWidth="1"/>
    <col min="45" max="45" style="6104" width="18.8515625" customWidth="1"/>
    <col min="46" max="49" style="6104" width="21.7109375" customWidth="1"/>
    <col min="50" max="50" style="6104" width="11.7109375" customWidth="1"/>
    <col min="51" max="51" style="6104" width="3.7109375" customWidth="1"/>
    <col min="52" max="52" style="6104" width="11.7109375" customWidth="1"/>
    <col min="53" max="53" style="6104" width="8.57421875" hidden="1" customWidth="1"/>
    <col min="54" max="54" style="6104" width="4.7109375" customWidth="1"/>
    <col min="55" max="55" style="6104" width="115.7109375" customWidth="1"/>
    <col min="56" max="57" style="6608" width="10.57421875"/>
    <col min="58" max="58" style="6608" width="11.140625" customWidth="1"/>
    <col min="59" max="60" style="6608" width="10.57421875"/>
  </cols>
  <sheetData>
    <row customHeight="1" ht="14.25" hidden="1">
      <c r="W1" s="475"/>
      <c r="Y1" s="475"/>
      <c r="Z1" s="475"/>
      <c r="AW1" s="475"/>
      <c r="AX1" s="475"/>
    </row>
    <row customHeight="1" ht="21" hidden="1">
      <c r="A2" s="1586"/>
      <c r="B2" s="1586"/>
      <c r="C2" s="1586"/>
      <c r="D2" s="1586"/>
      <c r="E2" s="2351">
        <v>1</v>
      </c>
      <c r="F2" s="1586"/>
      <c r="G2" s="1586"/>
      <c r="H2" s="1586"/>
      <c r="I2" s="1586"/>
      <c r="J2" s="1586"/>
      <c r="K2" s="1586"/>
      <c r="L2" s="1587"/>
      <c r="M2" s="1588"/>
      <c r="N2" s="1588"/>
      <c r="O2" s="1588"/>
      <c r="P2" s="1633"/>
      <c r="Q2" s="1047"/>
      <c r="R2" s="503"/>
      <c r="S2" s="1689">
        <f>INDEX(PT_DIFFERENTIATION_NUM_NTAR,MATCH(A2,PT_DIFFERENTIATION_NTAR_ID,0))</f>
      </c>
      <c r="T2" s="435" t="s">
        <v>132</v>
      </c>
      <c r="U2" s="437"/>
      <c r="V2" s="3965"/>
      <c r="W2" s="3965"/>
      <c r="X2" s="3965"/>
      <c r="Y2" s="3965"/>
      <c r="Z2" s="3965"/>
      <c r="AA2" s="3965"/>
      <c r="AB2" s="3965"/>
      <c r="AC2" s="3966"/>
      <c r="AD2" s="3964">
        <f>INDEX(PT_DIFFERENTIATION_NTAR,MATCH(A2,PT_DIFFERENTIATION_NTAR_ID,0))</f>
      </c>
      <c r="AE2" s="3965"/>
      <c r="AF2" s="3965"/>
      <c r="AG2" s="3965"/>
      <c r="AH2" s="3965"/>
      <c r="AI2" s="3965"/>
      <c r="AJ2" s="3965"/>
      <c r="AK2" s="3965"/>
      <c r="AL2" s="3965"/>
      <c r="AM2" s="3965"/>
      <c r="AN2" s="3965"/>
      <c r="AO2" s="3965"/>
      <c r="AP2" s="3965"/>
      <c r="AQ2" s="3965"/>
      <c r="AR2" s="3965"/>
      <c r="AS2" s="3965"/>
      <c r="AT2" s="3965"/>
      <c r="AU2" s="3965"/>
      <c r="AV2" s="3965"/>
      <c r="AW2" s="3965"/>
      <c r="AX2" s="3965"/>
      <c r="AY2" s="3965"/>
      <c r="AZ2" s="3965"/>
      <c r="BA2" s="3965"/>
      <c r="BB2" s="3966"/>
      <c r="BC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4"/>
      <c r="BF2" s="664" t="str">
        <f>IF(T2="","",T2)</f>
        <v>Наименование тарифа</v>
      </c>
      <c r="BG2" s="664"/>
      <c r="BH2" s="664"/>
    </row>
    <row customHeight="1" ht="21" hidden="1">
      <c r="A3" s="1586"/>
      <c r="B3" s="1586"/>
      <c r="C3" s="1586"/>
      <c r="D3" s="1586"/>
      <c r="E3" s="2352"/>
      <c r="F3" s="2351">
        <v>1</v>
      </c>
      <c r="G3" s="1586"/>
      <c r="H3" s="1586"/>
      <c r="I3" s="1586"/>
      <c r="J3" s="1586"/>
      <c r="K3" s="1586"/>
      <c r="L3" s="1587"/>
      <c r="M3" s="1588"/>
      <c r="N3" s="1588"/>
      <c r="O3" s="1588"/>
      <c r="P3" s="1634"/>
      <c r="Q3" s="1635"/>
      <c r="R3" s="501"/>
      <c r="S3" s="1689">
        <f>INDEX(PT_DIFFERENTIATION_NUM_TER,MATCH(B3,PT_DIFFERENTIATION_TER_ID,0))</f>
      </c>
      <c r="T3" s="447" t="s">
        <v>1469</v>
      </c>
      <c r="U3" s="437"/>
      <c r="V3" s="3965"/>
      <c r="W3" s="3965"/>
      <c r="X3" s="3965"/>
      <c r="Y3" s="3965"/>
      <c r="Z3" s="3965"/>
      <c r="AA3" s="3965"/>
      <c r="AB3" s="3965"/>
      <c r="AC3" s="3966"/>
      <c r="AD3" s="3964">
        <f>INDEX(PT_DIFFERENTIATION_TER,MATCH(B3,PT_DIFFERENTIATION_TER_ID,0))</f>
      </c>
      <c r="AE3" s="3965"/>
      <c r="AF3" s="3965"/>
      <c r="AG3" s="3965"/>
      <c r="AH3" s="3965"/>
      <c r="AI3" s="3965"/>
      <c r="AJ3" s="3965"/>
      <c r="AK3" s="3965"/>
      <c r="AL3" s="3965"/>
      <c r="AM3" s="3965"/>
      <c r="AN3" s="3965"/>
      <c r="AO3" s="3965"/>
      <c r="AP3" s="3965"/>
      <c r="AQ3" s="3965"/>
      <c r="AR3" s="3965"/>
      <c r="AS3" s="3965"/>
      <c r="AT3" s="3965"/>
      <c r="AU3" s="3965"/>
      <c r="AV3" s="3965"/>
      <c r="AW3" s="3965"/>
      <c r="AX3" s="3965"/>
      <c r="AY3" s="3965"/>
      <c r="AZ3" s="3965"/>
      <c r="BA3" s="3965"/>
      <c r="BB3" s="3966"/>
      <c r="BC3" s="1473" t="s">
        <v>1470</v>
      </c>
      <c r="BE3" s="664"/>
      <c r="BF3" s="664" t="str">
        <f>IF(T3="","",T3)</f>
        <v>Территория действия тарифа</v>
      </c>
      <c r="BG3" s="664"/>
      <c r="BH3" s="664"/>
    </row>
    <row customHeight="1" ht="42" hidden="1">
      <c r="A4" s="1586"/>
      <c r="B4" s="1586"/>
      <c r="C4" s="1586"/>
      <c r="D4" s="1586"/>
      <c r="E4" s="2352"/>
      <c r="F4" s="2352"/>
      <c r="G4" s="2351">
        <v>1</v>
      </c>
      <c r="H4" s="1586"/>
      <c r="I4" s="1586"/>
      <c r="J4" s="1586"/>
      <c r="K4" s="1586"/>
      <c r="L4" s="1587"/>
      <c r="M4" s="1588"/>
      <c r="N4" s="1588"/>
      <c r="O4" s="1588"/>
      <c r="P4" s="1636"/>
      <c r="Q4" s="1635"/>
      <c r="R4" s="501"/>
      <c r="S4" s="1689">
        <f>INDEX(PT_DIFFERENTIATION_NUM_CS,MATCH(C4,PT_DIFFERENTIATION_CS_ID,0))</f>
      </c>
      <c r="T4" s="448" t="s">
        <v>1685</v>
      </c>
      <c r="U4" s="437"/>
      <c r="V4" s="3965"/>
      <c r="W4" s="3965"/>
      <c r="X4" s="3965"/>
      <c r="Y4" s="3965"/>
      <c r="Z4" s="3965"/>
      <c r="AA4" s="3965"/>
      <c r="AB4" s="3965"/>
      <c r="AC4" s="3966"/>
      <c r="AD4" s="3964">
        <f>INDEX(PT_DIFFERENTIATION_CS,MATCH(C4,PT_DIFFERENTIATION_CS_ID,0))</f>
      </c>
      <c r="AE4" s="3965"/>
      <c r="AF4" s="3965"/>
      <c r="AG4" s="3965"/>
      <c r="AH4" s="3965"/>
      <c r="AI4" s="3965"/>
      <c r="AJ4" s="3965"/>
      <c r="AK4" s="3965"/>
      <c r="AL4" s="3965"/>
      <c r="AM4" s="3965"/>
      <c r="AN4" s="3965"/>
      <c r="AO4" s="3965"/>
      <c r="AP4" s="3965"/>
      <c r="AQ4" s="3965"/>
      <c r="AR4" s="3965"/>
      <c r="AS4" s="3965"/>
      <c r="AT4" s="3965"/>
      <c r="AU4" s="3965"/>
      <c r="AV4" s="3965"/>
      <c r="AW4" s="3965"/>
      <c r="AX4" s="3965"/>
      <c r="AY4" s="3965"/>
      <c r="AZ4" s="3965"/>
      <c r="BA4" s="3965"/>
      <c r="BB4" s="3966"/>
      <c r="BC4" s="1473" t="s">
        <v>1686</v>
      </c>
      <c r="BE4" s="664"/>
      <c r="BF4" s="664" t="str">
        <f>IF(T4="","",T4)</f>
        <v>Наименование централизованной системы холодного водоснабжения</v>
      </c>
      <c r="BG4" s="664"/>
      <c r="BH4" s="664"/>
    </row>
    <row s="6608" customFormat="1" customHeight="1" ht="14.25" hidden="1">
      <c r="A5" s="1565"/>
      <c r="B5" s="1565"/>
      <c r="C5" s="1565"/>
      <c r="D5" s="1565"/>
      <c r="E5" s="2352"/>
      <c r="F5" s="2352"/>
      <c r="G5" s="2352"/>
      <c r="H5" s="2351">
        <v>1</v>
      </c>
      <c r="I5" s="1565"/>
      <c r="J5" s="1565"/>
      <c r="K5" s="1565"/>
      <c r="L5" s="1568"/>
      <c r="M5" s="1537"/>
      <c r="N5" s="1537"/>
      <c r="O5" s="1537"/>
      <c r="P5" s="1721"/>
      <c r="Q5" s="1722"/>
      <c r="R5" s="505"/>
      <c r="S5" s="1227"/>
      <c r="T5" s="1723"/>
      <c r="U5" s="1607"/>
      <c r="V5" s="2391"/>
      <c r="W5" s="2391"/>
      <c r="X5" s="2391"/>
      <c r="Y5" s="2391"/>
      <c r="Z5" s="2391"/>
      <c r="AA5" s="2391"/>
      <c r="AB5" s="2391"/>
      <c r="AC5" s="2392"/>
      <c r="AD5" s="2390"/>
      <c r="AE5" s="2391"/>
      <c r="AF5" s="2391"/>
      <c r="AG5" s="2391"/>
      <c r="AH5" s="2391"/>
      <c r="AI5" s="2391"/>
      <c r="AJ5" s="2391"/>
      <c r="AK5" s="2391"/>
      <c r="AL5" s="2391"/>
      <c r="AM5" s="2391"/>
      <c r="AN5" s="2391"/>
      <c r="AO5" s="2391"/>
      <c r="AP5" s="2391"/>
      <c r="AQ5" s="2391"/>
      <c r="AR5" s="2391"/>
      <c r="AS5" s="2391"/>
      <c r="AT5" s="2391"/>
      <c r="AU5" s="2391"/>
      <c r="AV5" s="2391"/>
      <c r="AW5" s="2391"/>
      <c r="AX5" s="2391"/>
      <c r="AY5" s="2391"/>
      <c r="AZ5" s="2391"/>
      <c r="BA5" s="2391"/>
      <c r="BB5" s="2392"/>
      <c r="BC5" s="1608" t="s">
        <v>1474</v>
      </c>
      <c r="BE5" s="664"/>
      <c r="BF5" s="664" t="str">
        <f>IF(T5="","",T5)</f>
        <v/>
      </c>
      <c r="BG5" s="664"/>
      <c r="BH5" s="664"/>
    </row>
    <row s="6608" customFormat="1" customHeight="1" ht="14.25" hidden="1">
      <c r="A6" s="1565"/>
      <c r="B6" s="1565"/>
      <c r="C6" s="1565"/>
      <c r="D6" s="1565"/>
      <c r="E6" s="2352"/>
      <c r="F6" s="2352"/>
      <c r="G6" s="2352"/>
      <c r="H6" s="2352"/>
      <c r="I6" s="2380" t="str">
        <f>S5&amp;".1"</f>
        <v>.1</v>
      </c>
      <c r="J6" s="1565"/>
      <c r="K6" s="1565"/>
      <c r="L6" s="1568" t="s">
        <v>1475</v>
      </c>
      <c r="M6" s="674"/>
      <c r="N6" s="674"/>
      <c r="O6" s="674"/>
      <c r="P6" s="2350">
        <v>1</v>
      </c>
      <c r="Q6" s="1686"/>
      <c r="R6" s="504"/>
      <c r="S6" s="1227"/>
      <c r="T6" s="1606"/>
      <c r="U6" s="1607"/>
      <c r="V6" s="2391"/>
      <c r="W6" s="2391"/>
      <c r="X6" s="2391"/>
      <c r="Y6" s="2391"/>
      <c r="Z6" s="2391"/>
      <c r="AA6" s="2391"/>
      <c r="AB6" s="2391"/>
      <c r="AC6" s="2392"/>
      <c r="AD6" s="2390"/>
      <c r="AE6" s="2391"/>
      <c r="AF6" s="2391"/>
      <c r="AG6" s="2391"/>
      <c r="AH6" s="2391"/>
      <c r="AI6" s="2391"/>
      <c r="AJ6" s="2391"/>
      <c r="AK6" s="2391"/>
      <c r="AL6" s="2391"/>
      <c r="AM6" s="2391"/>
      <c r="AN6" s="2391"/>
      <c r="AO6" s="2391"/>
      <c r="AP6" s="2391"/>
      <c r="AQ6" s="2391"/>
      <c r="AR6" s="2391"/>
      <c r="AS6" s="2391"/>
      <c r="AT6" s="2391"/>
      <c r="AU6" s="2391"/>
      <c r="AV6" s="2391"/>
      <c r="AW6" s="2391"/>
      <c r="AX6" s="2391"/>
      <c r="AY6" s="2391"/>
      <c r="AZ6" s="2391"/>
      <c r="BA6" s="2391"/>
      <c r="BB6" s="2392"/>
      <c r="BC6" s="1608"/>
      <c r="BE6" s="664"/>
      <c r="BF6" s="664" t="str">
        <f>IF(T6="","",T6)</f>
        <v/>
      </c>
      <c r="BG6" s="664"/>
      <c r="BH6" s="664"/>
    </row>
    <row s="6608" customFormat="1" customHeight="1" ht="14.25" hidden="1">
      <c r="A7" s="1565"/>
      <c r="B7" s="1565"/>
      <c r="C7" s="1565"/>
      <c r="D7" s="1565"/>
      <c r="E7" s="2352"/>
      <c r="F7" s="2352"/>
      <c r="G7" s="2352"/>
      <c r="H7" s="2352"/>
      <c r="I7" s="2381"/>
      <c r="J7" s="2349" t="str">
        <f>S5&amp;".1"</f>
        <v>.1</v>
      </c>
      <c r="K7" s="1565"/>
      <c r="L7" s="1568"/>
      <c r="M7" s="674"/>
      <c r="N7" s="674"/>
      <c r="O7" s="674"/>
      <c r="P7" s="2350"/>
      <c r="Q7" s="2350">
        <v>1</v>
      </c>
      <c r="R7" s="505"/>
      <c r="S7" s="1227"/>
      <c r="T7" s="1622"/>
      <c r="U7" s="1607"/>
      <c r="V7" s="2391"/>
      <c r="W7" s="2391"/>
      <c r="X7" s="2391"/>
      <c r="Y7" s="2391"/>
      <c r="Z7" s="2391"/>
      <c r="AA7" s="2391"/>
      <c r="AB7" s="2391"/>
      <c r="AC7" s="2392"/>
      <c r="AD7" s="2390"/>
      <c r="AE7" s="2391"/>
      <c r="AF7" s="2391"/>
      <c r="AG7" s="2391"/>
      <c r="AH7" s="2391"/>
      <c r="AI7" s="2391"/>
      <c r="AJ7" s="2391"/>
      <c r="AK7" s="2391"/>
      <c r="AL7" s="2391"/>
      <c r="AM7" s="2391"/>
      <c r="AN7" s="2391"/>
      <c r="AO7" s="2391"/>
      <c r="AP7" s="2391"/>
      <c r="AQ7" s="2391"/>
      <c r="AR7" s="2391"/>
      <c r="AS7" s="2391"/>
      <c r="AT7" s="2391"/>
      <c r="AU7" s="2391"/>
      <c r="AV7" s="2391"/>
      <c r="AW7" s="2391"/>
      <c r="AX7" s="2391"/>
      <c r="AY7" s="2391"/>
      <c r="AZ7" s="2391"/>
      <c r="BA7" s="2391"/>
      <c r="BB7" s="2392"/>
      <c r="BC7" s="1608"/>
      <c r="BE7" s="664"/>
      <c r="BF7" s="664" t="str">
        <f>IF(T7="","",T7)</f>
        <v/>
      </c>
      <c r="BG7" s="664"/>
      <c r="BH7" s="664"/>
    </row>
    <row customHeight="1" ht="11.25" hidden="1">
      <c r="A8" s="1586"/>
      <c r="B8" s="1586"/>
      <c r="C8" s="1586"/>
      <c r="D8" s="1586"/>
      <c r="E8" s="2352"/>
      <c r="F8" s="2352"/>
      <c r="G8" s="2352"/>
      <c r="H8" s="2352"/>
      <c r="I8" s="2381"/>
      <c r="J8" s="2382"/>
      <c r="K8" s="2349">
        <f>S4&amp;".1"</f>
      </c>
      <c r="L8" s="1587"/>
      <c r="P8" s="2350"/>
      <c r="Q8" s="2350"/>
      <c r="R8" s="2440">
        <v>1</v>
      </c>
      <c r="S8" s="2434">
        <f>$K8</f>
      </c>
      <c r="T8" s="2512"/>
      <c r="U8" s="437"/>
      <c r="V8" s="3992"/>
      <c r="W8" s="3994"/>
      <c r="X8" s="3992"/>
      <c r="Y8" s="3994"/>
      <c r="Z8" s="1976"/>
      <c r="AA8" s="1683" t="s">
        <v>66</v>
      </c>
      <c r="AB8" s="1976"/>
      <c r="AC8" s="1683" t="s">
        <v>66</v>
      </c>
      <c r="AD8" s="2159" t="s">
        <v>66</v>
      </c>
      <c r="AE8" s="2423"/>
      <c r="AF8" s="2424">
        <v>1</v>
      </c>
      <c r="AG8" s="2516"/>
      <c r="AH8" s="2069" t="s">
        <v>66</v>
      </c>
      <c r="AI8" s="2423"/>
      <c r="AJ8" s="2424">
        <v>1</v>
      </c>
      <c r="AK8" s="2515" t="s">
        <v>17</v>
      </c>
      <c r="AL8" s="2069" t="s">
        <v>66</v>
      </c>
      <c r="AM8" s="2507"/>
      <c r="AN8" s="2424">
        <v>1</v>
      </c>
      <c r="AO8" s="2509"/>
      <c r="AP8" s="2510" t="s">
        <v>66</v>
      </c>
      <c r="AQ8" s="450"/>
      <c r="AR8" s="1687">
        <v>1</v>
      </c>
      <c r="AS8" s="1690" t="s">
        <v>17</v>
      </c>
      <c r="AT8" s="3992"/>
      <c r="AU8" s="3994"/>
      <c r="AV8" s="3992"/>
      <c r="AW8" s="3994"/>
      <c r="AX8" s="1976"/>
      <c r="AY8" s="1683" t="s">
        <v>66</v>
      </c>
      <c r="AZ8" s="1976"/>
      <c r="BA8" s="1683" t="s">
        <v>66</v>
      </c>
      <c r="BB8" s="4093"/>
      <c r="BC8" s="2346" t="s">
        <v>1705</v>
      </c>
      <c r="BE8" s="664"/>
      <c r="BF8" s="664" t="str">
        <f>IF(T8="","",T8)</f>
        <v/>
      </c>
      <c r="BG8" s="664"/>
      <c r="BH8" s="664"/>
    </row>
    <row customHeight="1" ht="11.25" hidden="1">
      <c r="A9" s="1586"/>
      <c r="B9" s="1586"/>
      <c r="C9" s="1586"/>
      <c r="D9" s="1586"/>
      <c r="E9" s="2352"/>
      <c r="F9" s="2352"/>
      <c r="G9" s="2352"/>
      <c r="H9" s="2352"/>
      <c r="I9" s="2381"/>
      <c r="J9" s="2382"/>
      <c r="K9" s="2349"/>
      <c r="L9" s="1587"/>
      <c r="P9" s="2350"/>
      <c r="Q9" s="2350"/>
      <c r="R9" s="2440"/>
      <c r="S9" s="2435"/>
      <c r="T9" s="2513"/>
      <c r="U9" s="437"/>
      <c r="V9" s="4152"/>
      <c r="W9" s="4208"/>
      <c r="X9" s="4152"/>
      <c r="Y9" s="4208"/>
      <c r="Z9" s="4152"/>
      <c r="AA9" s="4152"/>
      <c r="AB9" s="4152"/>
      <c r="AC9" s="4152"/>
      <c r="AD9" s="2160"/>
      <c r="AE9" s="2423"/>
      <c r="AF9" s="2424"/>
      <c r="AG9" s="2516"/>
      <c r="AH9" s="2069"/>
      <c r="AI9" s="2423"/>
      <c r="AJ9" s="2424"/>
      <c r="AK9" s="2515"/>
      <c r="AL9" s="2069"/>
      <c r="AM9" s="2508"/>
      <c r="AN9" s="2424"/>
      <c r="AO9" s="2509"/>
      <c r="AP9" s="2511"/>
      <c r="AQ9" s="457"/>
      <c r="AR9" s="579"/>
      <c r="AS9" s="579" t="s">
        <v>1706</v>
      </c>
      <c r="AT9" s="4152"/>
      <c r="AU9" s="4208"/>
      <c r="AV9" s="4152"/>
      <c r="AW9" s="4208"/>
      <c r="AX9" s="4152"/>
      <c r="AY9" s="4152"/>
      <c r="AZ9" s="4152"/>
      <c r="BA9" s="4152"/>
      <c r="BB9" s="4206"/>
      <c r="BC9" s="2347"/>
      <c r="BE9" s="664"/>
      <c r="BF9" s="664"/>
      <c r="BG9" s="664"/>
      <c r="BH9" s="664"/>
    </row>
    <row customHeight="1" ht="11.25" hidden="1">
      <c r="A10" s="1586"/>
      <c r="B10" s="1586"/>
      <c r="C10" s="1586"/>
      <c r="D10" s="1586"/>
      <c r="E10" s="2352"/>
      <c r="F10" s="2352"/>
      <c r="G10" s="2352"/>
      <c r="H10" s="2352"/>
      <c r="I10" s="2381"/>
      <c r="J10" s="2382"/>
      <c r="K10" s="2349"/>
      <c r="L10" s="1587"/>
      <c r="P10" s="2350"/>
      <c r="Q10" s="2350"/>
      <c r="R10" s="2440"/>
      <c r="S10" s="2435"/>
      <c r="T10" s="2513"/>
      <c r="U10" s="437"/>
      <c r="V10" s="4152"/>
      <c r="W10" s="4208"/>
      <c r="X10" s="4152"/>
      <c r="Y10" s="4208"/>
      <c r="Z10" s="4152"/>
      <c r="AA10" s="4152"/>
      <c r="AB10" s="4152"/>
      <c r="AC10" s="4152"/>
      <c r="AD10" s="2160"/>
      <c r="AE10" s="2423"/>
      <c r="AF10" s="2424"/>
      <c r="AG10" s="2516"/>
      <c r="AH10" s="2069"/>
      <c r="AI10" s="2423"/>
      <c r="AJ10" s="2424"/>
      <c r="AK10" s="2515"/>
      <c r="AL10" s="2069"/>
      <c r="AM10" s="457"/>
      <c r="AN10" s="1724"/>
      <c r="AO10" s="1724" t="s">
        <v>1707</v>
      </c>
      <c r="AP10" s="579"/>
      <c r="AQ10" s="579"/>
      <c r="AR10" s="579"/>
      <c r="AS10" s="4152"/>
      <c r="AT10" s="4152"/>
      <c r="AU10" s="4208"/>
      <c r="AV10" s="4152"/>
      <c r="AW10" s="4208"/>
      <c r="AX10" s="4152"/>
      <c r="AY10" s="4152"/>
      <c r="AZ10" s="4152"/>
      <c r="BA10" s="4152"/>
      <c r="BB10" s="4206"/>
      <c r="BC10" s="2347"/>
      <c r="BE10" s="664"/>
      <c r="BF10" s="664"/>
      <c r="BG10" s="664"/>
      <c r="BH10" s="664"/>
    </row>
    <row customHeight="1" ht="11.25" hidden="1">
      <c r="A11" s="1586"/>
      <c r="B11" s="1586"/>
      <c r="C11" s="1586"/>
      <c r="D11" s="1586"/>
      <c r="E11" s="2352"/>
      <c r="F11" s="2352"/>
      <c r="G11" s="2352"/>
      <c r="H11" s="2352"/>
      <c r="I11" s="2381"/>
      <c r="J11" s="2382"/>
      <c r="K11" s="2349"/>
      <c r="L11" s="1587"/>
      <c r="P11" s="2350"/>
      <c r="Q11" s="2350"/>
      <c r="R11" s="2440"/>
      <c r="S11" s="2435"/>
      <c r="T11" s="2513"/>
      <c r="U11" s="437"/>
      <c r="V11" s="4152"/>
      <c r="W11" s="4208"/>
      <c r="X11" s="4152"/>
      <c r="Y11" s="4208"/>
      <c r="Z11" s="4152"/>
      <c r="AA11" s="4152"/>
      <c r="AB11" s="4152"/>
      <c r="AC11" s="4152"/>
      <c r="AD11" s="2160"/>
      <c r="AE11" s="2423"/>
      <c r="AF11" s="2424"/>
      <c r="AG11" s="2516"/>
      <c r="AH11" s="2069"/>
      <c r="AI11" s="431"/>
      <c r="AJ11" s="578"/>
      <c r="AK11" s="452" t="s">
        <v>1708</v>
      </c>
      <c r="AL11" s="4152"/>
      <c r="AM11" s="4152"/>
      <c r="AN11" s="4152"/>
      <c r="AO11" s="4152"/>
      <c r="AP11" s="4152"/>
      <c r="AQ11" s="4152"/>
      <c r="AR11" s="4152"/>
      <c r="AS11" s="4152"/>
      <c r="AT11" s="4152"/>
      <c r="AU11" s="4208"/>
      <c r="AV11" s="4152"/>
      <c r="AW11" s="4208"/>
      <c r="AX11" s="4152"/>
      <c r="AY11" s="4152"/>
      <c r="AZ11" s="4152"/>
      <c r="BA11" s="4152"/>
      <c r="BB11" s="4206"/>
      <c r="BC11" s="2347"/>
      <c r="BE11" s="664"/>
      <c r="BF11" s="664"/>
      <c r="BG11" s="664"/>
      <c r="BH11" s="664"/>
    </row>
    <row customHeight="1" ht="11.25" hidden="1">
      <c r="A12" s="1586"/>
      <c r="B12" s="1586"/>
      <c r="C12" s="1586"/>
      <c r="D12" s="1586"/>
      <c r="E12" s="2352"/>
      <c r="F12" s="2352"/>
      <c r="G12" s="2352"/>
      <c r="H12" s="2352"/>
      <c r="I12" s="2381"/>
      <c r="J12" s="2382"/>
      <c r="K12" s="2349"/>
      <c r="L12" s="1587"/>
      <c r="P12" s="2350"/>
      <c r="Q12" s="2350"/>
      <c r="R12" s="2440"/>
      <c r="S12" s="2436"/>
      <c r="T12" s="2514"/>
      <c r="U12" s="437"/>
      <c r="V12" s="4152"/>
      <c r="W12" s="4153" t="str">
        <f>Z8&amp;"-"&amp;AB8</f>
        <v>-</v>
      </c>
      <c r="X12" s="4152"/>
      <c r="Y12" s="4153" t="str">
        <f>AB8&amp;"-"&amp;AD8</f>
        <v>-да</v>
      </c>
      <c r="Z12" s="4152"/>
      <c r="AA12" s="4152"/>
      <c r="AB12" s="4152"/>
      <c r="AC12" s="4152"/>
      <c r="AD12" s="2074"/>
      <c r="AE12" s="451"/>
      <c r="AF12" s="453"/>
      <c r="AG12" s="579" t="s">
        <v>1709</v>
      </c>
      <c r="AH12" s="4152"/>
      <c r="AI12" s="4152"/>
      <c r="AJ12" s="4152"/>
      <c r="AK12" s="4152"/>
      <c r="AL12" s="4152"/>
      <c r="AM12" s="4152"/>
      <c r="AN12" s="4152"/>
      <c r="AO12" s="4152"/>
      <c r="AP12" s="4152"/>
      <c r="AQ12" s="4152"/>
      <c r="AR12" s="4152"/>
      <c r="AS12" s="4152"/>
      <c r="AT12" s="4152"/>
      <c r="AU12" s="4153" t="str">
        <f>AX8&amp;"-"&amp;AZ8</f>
        <v>-</v>
      </c>
      <c r="AV12" s="4152"/>
      <c r="AW12" s="4153" t="str">
        <f>AZ8&amp;"-"&amp;BB8</f>
        <v>-</v>
      </c>
      <c r="AX12" s="4152"/>
      <c r="AY12" s="4152"/>
      <c r="AZ12" s="4152"/>
      <c r="BA12" s="4152"/>
      <c r="BB12" s="4213" t="str">
        <f>BE8&amp;"-"&amp;BG8</f>
        <v>-</v>
      </c>
      <c r="BC12" s="2347"/>
      <c r="BE12" s="664"/>
      <c r="BF12" s="664" t="str">
        <f>IF(T12="","",T12)</f>
        <v/>
      </c>
      <c r="BG12" s="664"/>
      <c r="BH12" s="664"/>
    </row>
    <row customHeight="1" ht="11.25" hidden="1">
      <c r="A13" s="1586"/>
      <c r="B13" s="1586"/>
      <c r="C13" s="1586"/>
      <c r="D13" s="1586"/>
      <c r="E13" s="2352"/>
      <c r="F13" s="2352"/>
      <c r="G13" s="2352"/>
      <c r="H13" s="2352"/>
      <c r="I13" s="2381"/>
      <c r="J13" s="2349"/>
      <c r="K13" s="1586"/>
      <c r="L13" s="1587"/>
      <c r="P13" s="2350"/>
      <c r="Q13" s="2350"/>
      <c r="R13" s="504"/>
      <c r="S13" s="1495"/>
      <c r="T13" s="424" t="s">
        <v>1549</v>
      </c>
      <c r="U13" s="519"/>
      <c r="V13" s="519"/>
      <c r="W13" s="519"/>
      <c r="X13" s="519"/>
      <c r="Y13" s="519"/>
      <c r="Z13" s="519"/>
      <c r="AA13" s="519"/>
      <c r="AB13" s="519"/>
      <c r="AC13" s="519"/>
      <c r="AD13" s="1729"/>
      <c r="AE13" s="519"/>
      <c r="AF13" s="519"/>
      <c r="AG13" s="519"/>
      <c r="AH13" s="519"/>
      <c r="AI13" s="519"/>
      <c r="AJ13" s="519"/>
      <c r="AK13" s="519"/>
      <c r="AL13" s="519"/>
      <c r="AM13" s="519"/>
      <c r="AN13" s="519"/>
      <c r="AO13" s="519"/>
      <c r="AP13" s="519"/>
      <c r="AQ13" s="519"/>
      <c r="AR13" s="519"/>
      <c r="AS13" s="519"/>
      <c r="AT13" s="519"/>
      <c r="AU13" s="519"/>
      <c r="AV13" s="519"/>
      <c r="AW13" s="519"/>
      <c r="AX13" s="519"/>
      <c r="AY13" s="519"/>
      <c r="AZ13" s="519"/>
      <c r="BA13" s="519"/>
      <c r="BB13" s="471"/>
      <c r="BC13" s="2348"/>
      <c r="BE13" s="664"/>
      <c r="BF13" s="664" t="str">
        <f>IF(T13="","",T13)</f>
        <v>Добавить строку</v>
      </c>
      <c r="BG13" s="664"/>
      <c r="BH13" s="664"/>
    </row>
    <row s="6608" customFormat="1" customHeight="1" ht="14.25" hidden="1">
      <c r="A14" s="1565"/>
      <c r="B14" s="1565"/>
      <c r="C14" s="1565"/>
      <c r="D14" s="1565"/>
      <c r="E14" s="2352"/>
      <c r="F14" s="2352"/>
      <c r="G14" s="2352"/>
      <c r="H14" s="2352"/>
      <c r="I14" s="2380"/>
      <c r="J14" s="1565"/>
      <c r="K14" s="1565"/>
      <c r="L14" s="1568"/>
      <c r="M14" s="674"/>
      <c r="N14" s="674"/>
      <c r="O14" s="674"/>
      <c r="P14" s="2350"/>
      <c r="Q14" s="1686"/>
      <c r="R14" s="504"/>
      <c r="S14" s="1609"/>
      <c r="T14" s="1610"/>
      <c r="U14" s="1611"/>
      <c r="V14" s="1611"/>
      <c r="W14" s="1611"/>
      <c r="X14" s="1611"/>
      <c r="Y14" s="1611"/>
      <c r="Z14" s="1611"/>
      <c r="AA14" s="1611"/>
      <c r="AB14" s="1611"/>
      <c r="AC14" s="1611"/>
      <c r="AD14" s="1611"/>
      <c r="AE14" s="1611"/>
      <c r="AF14" s="1611"/>
      <c r="AG14" s="1611"/>
      <c r="AH14" s="1611"/>
      <c r="AI14" s="1611"/>
      <c r="AJ14" s="1611"/>
      <c r="AK14" s="1611"/>
      <c r="AL14" s="1611"/>
      <c r="AM14" s="1611"/>
      <c r="AN14" s="1611"/>
      <c r="AO14" s="1611"/>
      <c r="AP14" s="1611"/>
      <c r="AQ14" s="1611"/>
      <c r="AR14" s="1611"/>
      <c r="AS14" s="1611"/>
      <c r="AT14" s="1611"/>
      <c r="AU14" s="1611"/>
      <c r="AV14" s="1611"/>
      <c r="AW14" s="1611"/>
      <c r="AX14" s="1611"/>
      <c r="AY14" s="1611"/>
      <c r="AZ14" s="1611"/>
      <c r="BA14" s="1611"/>
      <c r="BB14" s="1611"/>
      <c r="BC14" s="1612"/>
      <c r="BE14" s="664"/>
      <c r="BF14" s="664" t="str">
        <f>IF(T14="","",T14)</f>
        <v/>
      </c>
      <c r="BG14" s="664"/>
      <c r="BH14" s="664"/>
    </row>
    <row s="6608" customFormat="1" customHeight="1" ht="14.25" hidden="1">
      <c r="A15" s="1565"/>
      <c r="B15" s="1565"/>
      <c r="C15" s="1565"/>
      <c r="D15" s="1565"/>
      <c r="E15" s="2352"/>
      <c r="F15" s="2352"/>
      <c r="G15" s="2352"/>
      <c r="H15" s="2351"/>
      <c r="I15" s="1565"/>
      <c r="J15" s="1565"/>
      <c r="K15" s="1565"/>
      <c r="L15" s="1568"/>
      <c r="M15" s="1537"/>
      <c r="N15" s="1537"/>
      <c r="O15" s="682"/>
      <c r="P15" s="537"/>
      <c r="Q15" s="1566"/>
      <c r="R15" s="1624"/>
      <c r="S15" s="1609"/>
      <c r="T15" s="1610"/>
      <c r="U15" s="1611"/>
      <c r="V15" s="1611"/>
      <c r="W15" s="1611"/>
      <c r="X15" s="1611"/>
      <c r="Y15" s="1611"/>
      <c r="Z15" s="1611"/>
      <c r="AA15" s="1611"/>
      <c r="AB15" s="1611"/>
      <c r="AC15" s="1611"/>
      <c r="AD15" s="1611"/>
      <c r="AE15" s="1611"/>
      <c r="AF15" s="1611"/>
      <c r="AG15" s="1611"/>
      <c r="AH15" s="1611"/>
      <c r="AI15" s="1611"/>
      <c r="AJ15" s="1611"/>
      <c r="AK15" s="1611"/>
      <c r="AL15" s="1611"/>
      <c r="AM15" s="1611"/>
      <c r="AN15" s="1611"/>
      <c r="AO15" s="1611"/>
      <c r="AP15" s="1611"/>
      <c r="AQ15" s="1611"/>
      <c r="AR15" s="1611"/>
      <c r="AS15" s="1611"/>
      <c r="AT15" s="1611"/>
      <c r="AU15" s="1611"/>
      <c r="AV15" s="1611"/>
      <c r="AW15" s="1611"/>
      <c r="AX15" s="1611"/>
      <c r="AY15" s="1611"/>
      <c r="AZ15" s="1611"/>
      <c r="BA15" s="1611"/>
      <c r="BB15" s="1611"/>
      <c r="BC15" s="1612"/>
      <c r="BE15" s="664"/>
      <c r="BF15" s="664" t="str">
        <f>IF(T15="","",T15)</f>
        <v/>
      </c>
      <c r="BG15" s="664"/>
      <c r="BH15" s="664"/>
    </row>
    <row s="6520" customFormat="1" customHeight="1" ht="14.25" hidden="1">
      <c r="A16" s="1565"/>
      <c r="B16" s="1565"/>
      <c r="C16" s="1565"/>
      <c r="D16" s="1536"/>
      <c r="E16" s="2352"/>
      <c r="F16" s="2352"/>
      <c r="G16" s="2351"/>
      <c r="H16" s="1536"/>
      <c r="I16" s="1536"/>
      <c r="J16" s="1536"/>
      <c r="K16" s="1536"/>
      <c r="L16" s="1688"/>
      <c r="M16" s="1537"/>
      <c r="N16" s="1537"/>
      <c r="P16" s="1538"/>
      <c r="Q16" s="1539"/>
      <c r="R16" s="1538"/>
      <c r="S16" s="1544"/>
      <c r="T16" s="1547"/>
      <c r="U16" s="1546"/>
      <c r="V16" s="1546"/>
      <c r="W16" s="1546"/>
      <c r="X16" s="1546"/>
      <c r="Y16" s="1546"/>
      <c r="Z16" s="1546"/>
      <c r="AA16" s="1546"/>
      <c r="AB16" s="1546"/>
      <c r="AC16" s="1546"/>
      <c r="AD16" s="1546"/>
      <c r="AE16" s="1546"/>
      <c r="AF16" s="1546"/>
      <c r="AG16" s="1546"/>
      <c r="AH16" s="1546"/>
      <c r="AI16" s="1546"/>
      <c r="AJ16" s="1546"/>
      <c r="AK16" s="1546"/>
      <c r="AL16" s="1546"/>
      <c r="AM16" s="1546"/>
      <c r="AN16" s="1546"/>
      <c r="AO16" s="1546"/>
      <c r="AP16" s="1546"/>
      <c r="AQ16" s="1546"/>
      <c r="AR16" s="1546"/>
      <c r="AS16" s="1546"/>
      <c r="AT16" s="1546"/>
      <c r="AU16" s="1546"/>
      <c r="AV16" s="1546"/>
      <c r="AW16" s="1546"/>
      <c r="AX16" s="1546"/>
      <c r="AY16" s="1546"/>
      <c r="AZ16" s="1546"/>
      <c r="BA16" s="1546"/>
      <c r="BB16" s="1546"/>
      <c r="BC16" s="1546"/>
      <c r="BE16" s="956"/>
      <c r="BF16" s="956" t="str">
        <f>IF(T16="","",T16)</f>
        <v/>
      </c>
      <c r="BG16" s="956"/>
      <c r="BH16" s="956"/>
    </row>
    <row s="6520" customFormat="1" customHeight="1" ht="14.25" hidden="1">
      <c r="A17" s="1565"/>
      <c r="B17" s="1565"/>
      <c r="C17" s="1536"/>
      <c r="D17" s="1536"/>
      <c r="E17" s="2352"/>
      <c r="F17" s="2351"/>
      <c r="G17" s="1536"/>
      <c r="H17" s="1536"/>
      <c r="I17" s="1536"/>
      <c r="J17" s="1536"/>
      <c r="K17" s="1536"/>
      <c r="L17" s="1688"/>
      <c r="M17" s="1543"/>
      <c r="N17" s="1543"/>
      <c r="P17" s="1538"/>
      <c r="Q17" s="1539"/>
      <c r="R17" s="1538"/>
      <c r="S17" s="1544"/>
      <c r="T17" s="1547" t="s">
        <v>1445</v>
      </c>
      <c r="U17" s="1546"/>
      <c r="V17" s="1546"/>
      <c r="W17" s="1546"/>
      <c r="X17" s="1546"/>
      <c r="Y17" s="1546"/>
      <c r="Z17" s="1546"/>
      <c r="AA17" s="1546"/>
      <c r="AB17" s="1546"/>
      <c r="AC17" s="1546"/>
      <c r="AD17" s="1546"/>
      <c r="AE17" s="1546"/>
      <c r="AF17" s="1546"/>
      <c r="AG17" s="1546"/>
      <c r="AH17" s="1546"/>
      <c r="AI17" s="1546"/>
      <c r="AJ17" s="1546"/>
      <c r="AK17" s="1546"/>
      <c r="AL17" s="1546"/>
      <c r="AM17" s="1546"/>
      <c r="AN17" s="1546"/>
      <c r="AO17" s="1546"/>
      <c r="AP17" s="1546"/>
      <c r="AQ17" s="1546"/>
      <c r="AR17" s="1546"/>
      <c r="AS17" s="1546"/>
      <c r="AT17" s="1546"/>
      <c r="AU17" s="1546"/>
      <c r="AV17" s="1546"/>
      <c r="AW17" s="1546"/>
      <c r="AX17" s="1546"/>
      <c r="AY17" s="1546"/>
      <c r="AZ17" s="1546"/>
      <c r="BA17" s="1546"/>
      <c r="BB17" s="1546"/>
      <c r="BC17" s="1546"/>
      <c r="BE17" s="956"/>
      <c r="BF17" s="956" t="str">
        <f>IF(T17="","",T17)</f>
        <v>Добавить централизованную систему для дифференциации</v>
      </c>
      <c r="BG17" s="956"/>
      <c r="BH17" s="956"/>
    </row>
    <row s="6608" customFormat="1" customHeight="1" ht="14.25" hidden="1">
      <c r="A18" s="1565"/>
      <c r="B18" s="1565"/>
      <c r="C18" s="1565"/>
      <c r="D18" s="1565"/>
      <c r="E18" s="2351"/>
      <c r="F18" s="1565"/>
      <c r="G18" s="1565"/>
      <c r="H18" s="1565"/>
      <c r="I18" s="1565"/>
      <c r="J18" s="1565"/>
      <c r="K18" s="1565"/>
      <c r="L18" s="1568"/>
      <c r="M18" s="1543"/>
      <c r="N18" s="1543"/>
      <c r="O18" s="682"/>
      <c r="P18" s="537"/>
      <c r="Q18" s="1566"/>
      <c r="R18" s="537"/>
      <c r="S18" s="1544"/>
      <c r="T18" s="1547" t="s">
        <v>1446</v>
      </c>
      <c r="U18" s="1546"/>
      <c r="V18" s="1546"/>
      <c r="W18" s="1546"/>
      <c r="X18" s="1546"/>
      <c r="Y18" s="1546"/>
      <c r="Z18" s="1546"/>
      <c r="AA18" s="1546"/>
      <c r="AB18" s="1546"/>
      <c r="AC18" s="1546"/>
      <c r="AD18" s="1546"/>
      <c r="AE18" s="1546"/>
      <c r="AF18" s="1546"/>
      <c r="AG18" s="1546"/>
      <c r="AH18" s="1546"/>
      <c r="AI18" s="1546"/>
      <c r="AJ18" s="1546"/>
      <c r="AK18" s="1546"/>
      <c r="AL18" s="1546"/>
      <c r="AM18" s="1546"/>
      <c r="AN18" s="1546"/>
      <c r="AO18" s="1546"/>
      <c r="AP18" s="1546"/>
      <c r="AQ18" s="1546"/>
      <c r="AR18" s="1546"/>
      <c r="AS18" s="1546"/>
      <c r="AT18" s="1546"/>
      <c r="AU18" s="1546"/>
      <c r="AV18" s="1546"/>
      <c r="AW18" s="1546"/>
      <c r="AX18" s="1546"/>
      <c r="AY18" s="1546"/>
      <c r="AZ18" s="1546"/>
      <c r="BA18" s="1546"/>
      <c r="BB18" s="1546"/>
      <c r="BC18" s="1546"/>
      <c r="BE18" s="664"/>
      <c r="BF18" s="664" t="str">
        <f>IF(T18="","",T18)</f>
        <v>Добавить территорию для дифференциации</v>
      </c>
      <c r="BG18" s="664"/>
      <c r="BH18" s="664"/>
    </row>
    <row customHeight="1" ht="14.25" hidden="1">
      <c r="AC19" s="475"/>
      <c r="BA19" s="475"/>
    </row>
    <row customHeight="1" ht="14.25" hidden="1">
      <c r="AD20" s="1546" t="s">
        <v>56</v>
      </c>
      <c r="AE20" s="1725"/>
      <c r="AF20" s="712">
        <v>1</v>
      </c>
      <c r="AG20" s="1726"/>
      <c r="AH20" s="1546" t="s">
        <v>56</v>
      </c>
      <c r="AI20" s="1725"/>
      <c r="AJ20" s="712">
        <v>1</v>
      </c>
      <c r="AK20" s="1726"/>
      <c r="AL20" s="1546" t="s">
        <v>56</v>
      </c>
      <c r="AM20" s="1727"/>
      <c r="AN20" s="712">
        <v>1</v>
      </c>
      <c r="AO20" s="1728"/>
      <c r="AP20" s="1546" t="s">
        <v>56</v>
      </c>
      <c r="AQ20" s="1727"/>
      <c r="AR20" s="712">
        <v>1</v>
      </c>
      <c r="AS20" s="1728"/>
      <c r="AT20" s="3993"/>
      <c r="AU20" s="4113"/>
      <c r="AV20" s="3993"/>
      <c r="AW20" s="4113"/>
      <c r="AX20" s="1978"/>
      <c r="AY20" s="1684" t="s">
        <v>66</v>
      </c>
      <c r="AZ20" s="1978"/>
      <c r="BA20" s="1684" t="s">
        <v>66</v>
      </c>
    </row>
    <row customHeight="1" ht="14.25" hidden="1">
      <c r="BD21" s="660"/>
      <c r="BE21" s="660"/>
      <c r="BF21" s="660"/>
      <c r="BG21" s="660"/>
      <c r="BH21" s="660"/>
    </row>
    <row customHeight="1" ht="14.25" hidden="1">
      <c r="O22" s="1590" t="s">
        <v>1486</v>
      </c>
      <c r="Z22" s="1567"/>
      <c r="AB22" s="1567"/>
      <c r="AC22" s="475"/>
      <c r="AX22" s="1567"/>
      <c r="AZ22" s="1567"/>
      <c r="BA22" s="475"/>
      <c r="BD22" s="660"/>
      <c r="BE22" s="660"/>
      <c r="BF22" s="660"/>
      <c r="BG22" s="660"/>
      <c r="BH22" s="660"/>
    </row>
    <row customHeight="1" ht="14.25" hidden="1">
      <c r="AC23" s="475"/>
      <c r="BA23" s="475"/>
      <c r="BD23" s="660"/>
      <c r="BE23" s="660"/>
      <c r="BF23" s="660"/>
      <c r="BG23" s="660"/>
      <c r="BH23" s="660"/>
    </row>
    <row s="6744" customFormat="1" customHeight="1" ht="14.25" hidden="1">
      <c r="M24" s="1732"/>
      <c r="N24" s="1732"/>
      <c r="O24" s="1733" t="s">
        <v>1487</v>
      </c>
      <c r="P24" s="1732"/>
      <c r="Q24" s="1734"/>
      <c r="R24" s="1734"/>
      <c r="AA24" s="1731" t="s">
        <v>1489</v>
      </c>
      <c r="AC24" s="1731" t="s">
        <v>1490</v>
      </c>
      <c r="AD24" s="1731" t="s">
        <v>1550</v>
      </c>
      <c r="AH24" s="1731" t="s">
        <v>1550</v>
      </c>
      <c r="AK24" s="1731" t="s">
        <v>1710</v>
      </c>
      <c r="AL24" s="1731" t="s">
        <v>1550</v>
      </c>
      <c r="AP24" s="1731" t="s">
        <v>1550</v>
      </c>
      <c r="AY24" s="1731" t="s">
        <v>1489</v>
      </c>
      <c r="BA24" s="1731" t="s">
        <v>1490</v>
      </c>
      <c r="BD24" s="1735"/>
      <c r="BE24" s="1735"/>
      <c r="BF24" s="1735"/>
      <c r="BG24" s="1735"/>
      <c r="BH24" s="1735"/>
    </row>
    <row customHeight="1" ht="14.25" hidden="1">
      <c r="O25" s="1587"/>
      <c r="BD25" s="660"/>
      <c r="BE25" s="660"/>
      <c r="BF25" s="660"/>
      <c r="BG25" s="660"/>
      <c r="BH25" s="660"/>
    </row>
    <row customHeight="1" ht="14.25" hidden="1">
      <c r="O26" s="1587"/>
      <c r="BD26" s="660"/>
      <c r="BE26" s="660"/>
      <c r="BF26" s="660"/>
      <c r="BG26" s="660"/>
      <c r="BH26" s="660"/>
    </row>
    <row customHeight="1" ht="14.25">
      <c r="Q27" s="428"/>
      <c r="R27" s="529"/>
      <c r="S27" s="1492"/>
      <c r="T27" s="513"/>
      <c r="U27" s="513"/>
      <c r="V27" s="673"/>
      <c r="W27" s="673"/>
      <c r="X27" s="673"/>
      <c r="Y27" s="673"/>
      <c r="Z27" s="673"/>
      <c r="AA27" s="673"/>
      <c r="AB27" s="673"/>
      <c r="AC27" s="673"/>
      <c r="AD27" s="673"/>
      <c r="AE27" s="673"/>
      <c r="AF27" s="673"/>
      <c r="AG27" s="673"/>
      <c r="AH27" s="673"/>
      <c r="AI27" s="673"/>
      <c r="AJ27" s="673"/>
      <c r="AK27" s="673"/>
      <c r="AL27" s="673"/>
      <c r="AM27" s="673"/>
      <c r="AN27" s="673"/>
      <c r="AO27" s="673"/>
      <c r="AP27" s="673"/>
      <c r="AQ27" s="673"/>
      <c r="AR27" s="673"/>
      <c r="AS27" s="673"/>
      <c r="AT27" s="673"/>
      <c r="AU27" s="673"/>
      <c r="AV27" s="673"/>
      <c r="AW27" s="673"/>
      <c r="AX27" s="673"/>
      <c r="AY27" s="673"/>
      <c r="AZ27" s="673"/>
      <c r="BA27" s="673"/>
    </row>
    <row customHeight="1" ht="33.75">
      <c r="Q28" s="428"/>
      <c r="R28" s="529"/>
      <c r="S28" s="2341" t="str">
        <f>IF(TEMPLATE_GROUP="P",PT_P_FORM_COLDVSNA_5_NAME_FORM,PT_R_FORM_COLDVSNA_17_NAME_FORM)</f>
        <v>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v>
      </c>
      <c r="T28" s="2341"/>
      <c r="U28" s="2341"/>
      <c r="V28" s="2341"/>
      <c r="W28" s="2341"/>
      <c r="X28" s="2341"/>
      <c r="Y28" s="2341"/>
      <c r="Z28" s="2341"/>
      <c r="AA28" s="2341"/>
      <c r="AB28" s="2341"/>
      <c r="AC28" s="2341"/>
      <c r="AD28" s="2341"/>
      <c r="AE28" s="2341"/>
      <c r="AF28" s="2341"/>
      <c r="AG28" s="2341"/>
      <c r="AH28" s="2341"/>
      <c r="AI28" s="2341"/>
      <c r="AJ28" s="2341"/>
      <c r="AK28" s="2341"/>
      <c r="AL28" s="2341"/>
      <c r="AM28" s="2341"/>
      <c r="AN28" s="2341"/>
      <c r="AO28" s="2341"/>
      <c r="AP28" s="2341"/>
      <c r="AQ28" s="2341"/>
      <c r="AR28" s="2341"/>
      <c r="AS28" s="2341"/>
      <c r="AT28" s="2341"/>
      <c r="AU28" s="2341"/>
      <c r="AV28" s="2341"/>
      <c r="AW28" s="2341"/>
      <c r="AX28" s="2341"/>
      <c r="AY28" s="2341"/>
      <c r="AZ28" s="2341"/>
      <c r="BA28" s="1448"/>
    </row>
    <row customHeight="1" ht="14.25">
      <c r="Q29" s="428"/>
      <c r="R29" s="529"/>
      <c r="S29"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342"/>
      <c r="U29" s="2342"/>
      <c r="V29" s="2342"/>
      <c r="W29" s="2342"/>
      <c r="X29" s="2342"/>
      <c r="Y29" s="2342"/>
      <c r="Z29" s="2342"/>
      <c r="AA29" s="2342"/>
      <c r="AB29" s="2342"/>
      <c r="AC29" s="2342"/>
      <c r="AD29" s="2342"/>
      <c r="AE29" s="2342"/>
      <c r="AF29" s="2342"/>
      <c r="AG29" s="2342"/>
      <c r="AH29" s="2342"/>
      <c r="AI29" s="2342"/>
      <c r="AJ29" s="2342"/>
      <c r="AK29" s="2342"/>
      <c r="AL29" s="2342"/>
      <c r="AM29" s="2342"/>
      <c r="AN29" s="2342"/>
      <c r="AO29" s="2342"/>
      <c r="AP29" s="2342"/>
      <c r="AQ29" s="2342"/>
      <c r="AR29" s="2342"/>
      <c r="AS29" s="2342"/>
      <c r="AT29" s="2342"/>
      <c r="AU29" s="2342"/>
      <c r="AV29" s="2342"/>
      <c r="AW29" s="2342"/>
      <c r="AX29" s="2342"/>
      <c r="AY29" s="2342"/>
      <c r="AZ29" s="2342"/>
      <c r="BA29" s="1448"/>
    </row>
    <row customHeight="1" ht="14.25" hidden="1">
      <c r="Q30" s="428"/>
      <c r="R30" s="529"/>
      <c r="S30" s="1492"/>
      <c r="T30" s="513"/>
      <c r="U30" s="513"/>
      <c r="V30" s="468"/>
      <c r="W30" s="468"/>
      <c r="X30" s="468"/>
      <c r="Y30" s="468"/>
      <c r="Z30" s="468"/>
      <c r="AA30" s="468"/>
      <c r="AB30" s="468"/>
      <c r="AC30" s="468"/>
      <c r="AD30" s="468"/>
      <c r="AE30" s="468"/>
      <c r="AF30" s="468"/>
      <c r="AG30" s="468"/>
      <c r="AH30" s="468"/>
      <c r="AI30" s="468"/>
      <c r="AJ30" s="468"/>
      <c r="AK30" s="468"/>
      <c r="AL30" s="468"/>
      <c r="AM30" s="468"/>
      <c r="AN30" s="468"/>
      <c r="AO30" s="468"/>
      <c r="AP30" s="468"/>
      <c r="AQ30" s="468"/>
      <c r="AR30" s="468"/>
      <c r="AS30" s="468"/>
      <c r="AT30" s="468"/>
      <c r="AU30" s="468"/>
      <c r="AV30" s="468"/>
      <c r="AW30" s="468"/>
      <c r="AX30" s="468"/>
      <c r="AY30" s="468"/>
      <c r="AZ30" s="468"/>
      <c r="BA30" s="468"/>
      <c r="BB30" s="673"/>
    </row>
    <row s="6550" customFormat="1" customHeight="1" ht="25.5" hidden="1">
      <c r="A31" s="1591"/>
      <c r="B31" s="1591"/>
      <c r="C31" s="1591"/>
      <c r="D31" s="1591"/>
      <c r="E31" s="1591"/>
      <c r="F31" s="1591"/>
      <c r="G31" s="1591"/>
      <c r="H31" s="1591"/>
      <c r="I31" s="1591"/>
      <c r="J31" s="1591"/>
      <c r="K31" s="1591"/>
      <c r="L31" s="1592"/>
      <c r="M31" s="1591"/>
      <c r="N31" s="1591"/>
      <c r="O31" s="1591"/>
      <c r="P31" s="1591"/>
      <c r="Q31" s="1591"/>
      <c r="S31" s="2343" t="s">
        <v>39</v>
      </c>
      <c r="T31" s="2343"/>
      <c r="U31" s="1595"/>
      <c r="V31" s="2344"/>
      <c r="W31" s="2344"/>
      <c r="X31" s="2344"/>
      <c r="Y31" s="2344"/>
      <c r="Z31" s="2344"/>
      <c r="AA31" s="2344"/>
      <c r="AB31" s="2344"/>
      <c r="AC31" s="474"/>
      <c r="AD31" s="2344" t="str">
        <f>IF(TITLE_NAME_OR_PR_CHANGE="",IF(TITLE_NAME_OR_PR="","",TITLE_NAME_OR_PR),TITLE_NAME_OR_PR_CHANGE)</f>
        <v/>
      </c>
      <c r="AE31" s="2344"/>
      <c r="AF31" s="2344"/>
      <c r="AG31" s="2344"/>
      <c r="AH31" s="2344"/>
      <c r="AI31" s="2344"/>
      <c r="AJ31" s="2344"/>
      <c r="AK31" s="2344"/>
      <c r="AL31" s="2344"/>
      <c r="AM31" s="2344"/>
      <c r="AN31" s="2344"/>
      <c r="AO31" s="2344"/>
      <c r="AP31" s="2344"/>
      <c r="AQ31" s="2344"/>
      <c r="AR31" s="2344"/>
      <c r="AS31" s="2344"/>
      <c r="AT31" s="2344"/>
      <c r="AU31" s="2344"/>
      <c r="AV31" s="2344"/>
      <c r="AW31" s="2344"/>
      <c r="AX31" s="2344"/>
      <c r="AY31" s="2344"/>
      <c r="AZ31" s="2344"/>
      <c r="BA31" s="474"/>
      <c r="BB31" s="474"/>
      <c r="BC31" s="417"/>
      <c r="BD31" s="520"/>
      <c r="BE31" s="520"/>
      <c r="BF31" s="520"/>
      <c r="BG31" s="520"/>
      <c r="BH31" s="520"/>
    </row>
    <row s="6550" customFormat="1" customHeight="1" ht="18.75" hidden="1">
      <c r="A32" s="1591"/>
      <c r="B32" s="1591"/>
      <c r="C32" s="1591"/>
      <c r="D32" s="1591"/>
      <c r="E32" s="1591"/>
      <c r="F32" s="1591"/>
      <c r="G32" s="1591"/>
      <c r="H32" s="1591"/>
      <c r="I32" s="1591"/>
      <c r="J32" s="1591"/>
      <c r="K32" s="1591"/>
      <c r="L32" s="1592"/>
      <c r="M32" s="1591"/>
      <c r="N32" s="1591"/>
      <c r="O32" s="1591"/>
      <c r="P32" s="1591"/>
      <c r="Q32" s="1591"/>
      <c r="S32" s="2343" t="s">
        <v>1492</v>
      </c>
      <c r="T32" s="2343"/>
      <c r="U32" s="1595"/>
      <c r="V32" s="2344"/>
      <c r="W32" s="2344"/>
      <c r="X32" s="2344"/>
      <c r="Y32" s="2344"/>
      <c r="Z32" s="2344"/>
      <c r="AA32" s="2344"/>
      <c r="AB32" s="2344"/>
      <c r="AC32" s="474"/>
      <c r="AD32" s="2344" t="str">
        <f>IF(TITLE_DATE_CHANGE_PERIOD="",IF(TITLE_DATE_PR="","",TITLE_DATE_PR),TITLE_DATE_CHANGE_PERIOD)</f>
        <v/>
      </c>
      <c r="AE32" s="2344"/>
      <c r="AF32" s="2344"/>
      <c r="AG32" s="2344"/>
      <c r="AH32" s="2344"/>
      <c r="AI32" s="2344"/>
      <c r="AJ32" s="2344"/>
      <c r="AK32" s="2344"/>
      <c r="AL32" s="2344"/>
      <c r="AM32" s="2344"/>
      <c r="AN32" s="2344"/>
      <c r="AO32" s="2344"/>
      <c r="AP32" s="2344"/>
      <c r="AQ32" s="2344"/>
      <c r="AR32" s="2344"/>
      <c r="AS32" s="2344"/>
      <c r="AT32" s="2344"/>
      <c r="AU32" s="2344"/>
      <c r="AV32" s="2344"/>
      <c r="AW32" s="2344"/>
      <c r="AX32" s="2344"/>
      <c r="AY32" s="2344"/>
      <c r="AZ32" s="2344"/>
      <c r="BA32" s="474"/>
      <c r="BB32" s="474"/>
      <c r="BC32" s="417"/>
      <c r="BD32" s="520"/>
      <c r="BE32" s="520"/>
      <c r="BF32" s="520"/>
      <c r="BG32" s="520"/>
      <c r="BH32" s="520"/>
    </row>
    <row s="6550" customFormat="1" customHeight="1" ht="18.75" hidden="1">
      <c r="A33" s="1591"/>
      <c r="B33" s="1591"/>
      <c r="C33" s="1591"/>
      <c r="D33" s="1591"/>
      <c r="E33" s="1591"/>
      <c r="F33" s="1591"/>
      <c r="G33" s="1591"/>
      <c r="H33" s="1591"/>
      <c r="I33" s="1591"/>
      <c r="J33" s="1591"/>
      <c r="K33" s="1591"/>
      <c r="L33" s="1592"/>
      <c r="M33" s="1591"/>
      <c r="N33" s="1591"/>
      <c r="O33" s="1591"/>
      <c r="P33" s="1591"/>
      <c r="Q33" s="1591"/>
      <c r="S33" s="2343" t="s">
        <v>1493</v>
      </c>
      <c r="T33" s="2343"/>
      <c r="U33" s="1595"/>
      <c r="V33" s="2344"/>
      <c r="W33" s="2344"/>
      <c r="X33" s="2344"/>
      <c r="Y33" s="2344"/>
      <c r="Z33" s="2344"/>
      <c r="AA33" s="2344"/>
      <c r="AB33" s="2344"/>
      <c r="AC33" s="474"/>
      <c r="AD33" s="2344" t="str">
        <f>IF(TITLE_NUMBER_PR_CHANGE="",IF(TITLE_NUMBER_PR="","",TITLE_NUMBER_PR),TITLE_NUMBER_PR_CHANGE)</f>
        <v/>
      </c>
      <c r="AE33" s="2344"/>
      <c r="AF33" s="2344"/>
      <c r="AG33" s="2344"/>
      <c r="AH33" s="2344"/>
      <c r="AI33" s="2344"/>
      <c r="AJ33" s="2344"/>
      <c r="AK33" s="2344"/>
      <c r="AL33" s="2344"/>
      <c r="AM33" s="2344"/>
      <c r="AN33" s="2344"/>
      <c r="AO33" s="2344"/>
      <c r="AP33" s="2344"/>
      <c r="AQ33" s="2344"/>
      <c r="AR33" s="2344"/>
      <c r="AS33" s="2344"/>
      <c r="AT33" s="2344"/>
      <c r="AU33" s="2344"/>
      <c r="AV33" s="2344"/>
      <c r="AW33" s="2344"/>
      <c r="AX33" s="2344"/>
      <c r="AY33" s="2344"/>
      <c r="AZ33" s="2344"/>
      <c r="BA33" s="474"/>
      <c r="BB33" s="474"/>
      <c r="BC33" s="417"/>
      <c r="BD33" s="520"/>
      <c r="BE33" s="520"/>
      <c r="BF33" s="520"/>
      <c r="BG33" s="520"/>
      <c r="BH33" s="520"/>
    </row>
    <row s="6550" customFormat="1" customHeight="1" ht="18.75" hidden="1">
      <c r="A34" s="1591"/>
      <c r="B34" s="1591"/>
      <c r="C34" s="1591"/>
      <c r="D34" s="1591"/>
      <c r="E34" s="1591"/>
      <c r="F34" s="1591"/>
      <c r="G34" s="1591"/>
      <c r="H34" s="1591"/>
      <c r="I34" s="1591"/>
      <c r="J34" s="1591"/>
      <c r="K34" s="1591"/>
      <c r="L34" s="1592"/>
      <c r="M34" s="1591"/>
      <c r="N34" s="1591"/>
      <c r="O34" s="1591"/>
      <c r="P34" s="1591"/>
      <c r="Q34" s="1591"/>
      <c r="S34" s="2343" t="s">
        <v>40</v>
      </c>
      <c r="T34" s="2343"/>
      <c r="U34" s="1595"/>
      <c r="V34" s="2344"/>
      <c r="W34" s="2344"/>
      <c r="X34" s="2344"/>
      <c r="Y34" s="2344"/>
      <c r="Z34" s="2344"/>
      <c r="AA34" s="2344"/>
      <c r="AB34" s="2344"/>
      <c r="AC34" s="474"/>
      <c r="AD34" s="2344" t="str">
        <f>IF(TITLE_IST_PUB_CHANGE="",IF(TITLE_IST_PUB="","",TITLE_IST_PUB),TITLE_IST_PUB_CHANGE)</f>
        <v/>
      </c>
      <c r="AE34" s="2344"/>
      <c r="AF34" s="2344"/>
      <c r="AG34" s="2344"/>
      <c r="AH34" s="2344"/>
      <c r="AI34" s="2344"/>
      <c r="AJ34" s="2344"/>
      <c r="AK34" s="2344"/>
      <c r="AL34" s="2344"/>
      <c r="AM34" s="2344"/>
      <c r="AN34" s="2344"/>
      <c r="AO34" s="2344"/>
      <c r="AP34" s="2344"/>
      <c r="AQ34" s="2344"/>
      <c r="AR34" s="2344"/>
      <c r="AS34" s="2344"/>
      <c r="AT34" s="2344"/>
      <c r="AU34" s="2344"/>
      <c r="AV34" s="2344"/>
      <c r="AW34" s="2344"/>
      <c r="AX34" s="2344"/>
      <c r="AY34" s="2344"/>
      <c r="AZ34" s="2344"/>
      <c r="BA34" s="474"/>
      <c r="BB34" s="474"/>
      <c r="BC34" s="417"/>
      <c r="BD34" s="520"/>
      <c r="BE34" s="520"/>
      <c r="BF34" s="520"/>
      <c r="BG34" s="520"/>
      <c r="BH34" s="520"/>
    </row>
    <row customHeight="1" ht="14.25" hidden="1">
      <c r="Q35" s="428"/>
      <c r="R35" s="529"/>
      <c r="S35" s="1492"/>
      <c r="T35" s="513"/>
      <c r="U35" s="513"/>
      <c r="V35" s="468"/>
      <c r="W35" s="468"/>
      <c r="X35" s="468"/>
      <c r="Y35" s="468"/>
      <c r="Z35" s="468"/>
      <c r="AA35" s="468"/>
      <c r="AB35" s="468"/>
      <c r="AC35" s="468"/>
      <c r="AD35" s="468"/>
      <c r="AE35" s="468"/>
      <c r="AF35" s="468"/>
      <c r="AG35" s="468"/>
      <c r="AH35" s="468"/>
      <c r="AI35" s="468"/>
      <c r="AJ35" s="468"/>
      <c r="AK35" s="468"/>
      <c r="AL35" s="468"/>
      <c r="AM35" s="468"/>
      <c r="AN35" s="468"/>
      <c r="AO35" s="468"/>
      <c r="AP35" s="468"/>
      <c r="AQ35" s="468"/>
      <c r="AR35" s="468"/>
      <c r="AS35" s="468"/>
      <c r="AT35" s="468"/>
      <c r="AU35" s="468"/>
      <c r="AV35" s="468"/>
      <c r="AW35" s="468"/>
      <c r="AX35" s="468"/>
      <c r="AY35" s="468"/>
      <c r="AZ35" s="468"/>
      <c r="BA35" s="468"/>
      <c r="BB35" s="673"/>
    </row>
    <row s="6550" customFormat="1" customHeight="1" ht="18.75" hidden="1">
      <c r="A36" s="1591"/>
      <c r="B36" s="1591"/>
      <c r="C36" s="1591"/>
      <c r="D36" s="1591"/>
      <c r="E36" s="1591"/>
      <c r="F36" s="1591"/>
      <c r="G36" s="1591"/>
      <c r="H36" s="1591"/>
      <c r="I36" s="1591"/>
      <c r="J36" s="1591"/>
      <c r="K36" s="1591"/>
      <c r="L36" s="1592"/>
      <c r="M36" s="1591"/>
      <c r="N36" s="1591"/>
      <c r="O36" s="1591"/>
      <c r="P36" s="1591"/>
      <c r="Q36" s="1591"/>
      <c r="S36" s="2343" t="s">
        <v>1492</v>
      </c>
      <c r="T36" s="2343"/>
      <c r="U36" s="1595"/>
      <c r="V36" s="2344"/>
      <c r="W36" s="2344"/>
      <c r="X36" s="2344"/>
      <c r="Y36" s="2344"/>
      <c r="Z36" s="2344"/>
      <c r="AA36" s="2344"/>
      <c r="AB36" s="2344"/>
      <c r="AC36" s="474"/>
      <c r="AD36" s="2344" t="str">
        <f>IF(TITLE_DATE_CHANGE_PERIOD="",IF(TITLE_DATE_PR="","",TITLE_DATE_PR),TITLE_DATE_CHANGE_PERIOD)</f>
        <v/>
      </c>
      <c r="AE36" s="2344"/>
      <c r="AF36" s="2344"/>
      <c r="AG36" s="2344"/>
      <c r="AH36" s="2344"/>
      <c r="AI36" s="2344"/>
      <c r="AJ36" s="2344"/>
      <c r="AK36" s="2344"/>
      <c r="AL36" s="2344"/>
      <c r="AM36" s="2344"/>
      <c r="AN36" s="2344"/>
      <c r="AO36" s="2344"/>
      <c r="AP36" s="2344"/>
      <c r="AQ36" s="2344"/>
      <c r="AR36" s="2344"/>
      <c r="AS36" s="2344"/>
      <c r="AT36" s="2344"/>
      <c r="AU36" s="2344"/>
      <c r="AV36" s="2344"/>
      <c r="AW36" s="2344"/>
      <c r="AX36" s="2344"/>
      <c r="AY36" s="2344"/>
      <c r="AZ36" s="2344"/>
      <c r="BA36" s="474"/>
      <c r="BB36" s="474"/>
      <c r="BC36" s="417"/>
      <c r="BD36" s="520"/>
      <c r="BE36" s="520"/>
      <c r="BF36" s="520"/>
      <c r="BG36" s="520"/>
      <c r="BH36" s="520"/>
    </row>
    <row s="6550" customFormat="1" customHeight="1" ht="18.75" hidden="1">
      <c r="A37" s="1591"/>
      <c r="B37" s="1591"/>
      <c r="C37" s="1591"/>
      <c r="D37" s="1591"/>
      <c r="E37" s="1591"/>
      <c r="F37" s="1591"/>
      <c r="G37" s="1591"/>
      <c r="H37" s="1591"/>
      <c r="I37" s="1591"/>
      <c r="J37" s="1591"/>
      <c r="K37" s="1591"/>
      <c r="L37" s="1592"/>
      <c r="M37" s="1591"/>
      <c r="N37" s="1591"/>
      <c r="O37" s="1591"/>
      <c r="P37" s="1591"/>
      <c r="Q37" s="1591"/>
      <c r="S37" s="2343" t="s">
        <v>1493</v>
      </c>
      <c r="T37" s="2343"/>
      <c r="U37" s="1595"/>
      <c r="V37" s="2344"/>
      <c r="W37" s="2344"/>
      <c r="X37" s="2344"/>
      <c r="Y37" s="2344"/>
      <c r="Z37" s="2344"/>
      <c r="AA37" s="2344"/>
      <c r="AB37" s="2344"/>
      <c r="AC37" s="474"/>
      <c r="AD37" s="2344" t="str">
        <f>IF(TITLE_NUMBER_PR_CHANGE="",IF(TITLE_NUMBER_PR="","",TITLE_NUMBER_PR),TITLE_NUMBER_PR_CHANGE)</f>
        <v/>
      </c>
      <c r="AE37" s="2344"/>
      <c r="AF37" s="2344"/>
      <c r="AG37" s="2344"/>
      <c r="AH37" s="2344"/>
      <c r="AI37" s="2344"/>
      <c r="AJ37" s="2344"/>
      <c r="AK37" s="2344"/>
      <c r="AL37" s="2344"/>
      <c r="AM37" s="2344"/>
      <c r="AN37" s="2344"/>
      <c r="AO37" s="2344"/>
      <c r="AP37" s="2344"/>
      <c r="AQ37" s="2344"/>
      <c r="AR37" s="2344"/>
      <c r="AS37" s="2344"/>
      <c r="AT37" s="2344"/>
      <c r="AU37" s="2344"/>
      <c r="AV37" s="2344"/>
      <c r="AW37" s="2344"/>
      <c r="AX37" s="2344"/>
      <c r="AY37" s="2344"/>
      <c r="AZ37" s="2344"/>
      <c r="BA37" s="474"/>
      <c r="BB37" s="474"/>
      <c r="BC37" s="417"/>
      <c r="BD37" s="520"/>
      <c r="BE37" s="520"/>
      <c r="BF37" s="520"/>
      <c r="BG37" s="520"/>
      <c r="BH37" s="520"/>
    </row>
    <row s="6550" customFormat="1" customHeight="1" ht="0">
      <c r="A38" s="1591"/>
      <c r="B38" s="1591"/>
      <c r="C38" s="1591"/>
      <c r="D38" s="1591"/>
      <c r="E38" s="1591"/>
      <c r="F38" s="1591"/>
      <c r="G38" s="1591"/>
      <c r="H38" s="1591"/>
      <c r="I38" s="1591"/>
      <c r="J38" s="1591"/>
      <c r="K38" s="1591"/>
      <c r="L38" s="1592"/>
      <c r="M38" s="1591"/>
      <c r="N38" s="1591"/>
      <c r="O38" s="1591"/>
      <c r="P38" s="1591"/>
      <c r="Q38" s="1591"/>
      <c r="S38" s="470"/>
      <c r="T38" s="470"/>
      <c r="U38" s="1678"/>
      <c r="V38" s="474"/>
      <c r="W38" s="474"/>
      <c r="X38" s="474"/>
      <c r="Y38" s="474"/>
      <c r="Z38" s="474"/>
      <c r="AA38" s="474"/>
      <c r="AB38" s="474"/>
      <c r="AC38" s="415" t="s">
        <v>1496</v>
      </c>
      <c r="AD38" s="474"/>
      <c r="AE38" s="474"/>
      <c r="AF38" s="474"/>
      <c r="AG38" s="474"/>
      <c r="AH38" s="474"/>
      <c r="AI38" s="474"/>
      <c r="AJ38" s="474"/>
      <c r="AK38" s="474"/>
      <c r="AL38" s="474"/>
      <c r="AM38" s="474"/>
      <c r="AN38" s="474"/>
      <c r="AO38" s="474"/>
      <c r="AP38" s="474"/>
      <c r="AQ38" s="474"/>
      <c r="AR38" s="474"/>
      <c r="AS38" s="474"/>
      <c r="AT38" s="474"/>
      <c r="AU38" s="474"/>
      <c r="AV38" s="474"/>
      <c r="AW38" s="474"/>
      <c r="AX38" s="474"/>
      <c r="AY38" s="474"/>
      <c r="AZ38" s="474"/>
      <c r="BA38" s="415" t="s">
        <v>1496</v>
      </c>
      <c r="BD38" s="520"/>
      <c r="BE38" s="520"/>
      <c r="BF38" s="520"/>
      <c r="BG38" s="520"/>
      <c r="BH38" s="520"/>
    </row>
    <row customHeight="1" ht="14.25">
      <c r="Q39" s="428"/>
      <c r="R39" s="529"/>
      <c r="S39" s="1492"/>
      <c r="T39" s="513"/>
      <c r="U39" s="1449"/>
      <c r="V39" s="2345"/>
      <c r="W39" s="2345"/>
      <c r="X39" s="2345"/>
      <c r="Y39" s="2345"/>
      <c r="Z39" s="2345"/>
      <c r="AA39" s="2345"/>
      <c r="AB39" s="2345"/>
      <c r="AC39" s="2345"/>
      <c r="AD39" s="2345"/>
      <c r="AE39" s="2345"/>
      <c r="AF39" s="2345"/>
      <c r="AG39" s="2345"/>
      <c r="AH39" s="2345"/>
      <c r="AI39" s="2345"/>
      <c r="AJ39" s="2345"/>
      <c r="AK39" s="2345"/>
      <c r="AL39" s="2345"/>
      <c r="AM39" s="2345"/>
      <c r="AN39" s="2345"/>
      <c r="AO39" s="2345"/>
      <c r="AP39" s="2345"/>
      <c r="AQ39" s="2345"/>
      <c r="AR39" s="2345"/>
      <c r="AS39" s="2345"/>
      <c r="AT39" s="2345"/>
      <c r="AU39" s="2345"/>
      <c r="AV39" s="2345"/>
      <c r="AW39" s="2345"/>
      <c r="AX39" s="2345"/>
      <c r="AY39" s="2345"/>
      <c r="AZ39" s="2345"/>
      <c r="BA39" s="2345"/>
    </row>
    <row customHeight="1" ht="14.25">
      <c r="Q40" s="428"/>
      <c r="R40" s="529"/>
      <c r="S40" s="2204" t="s">
        <v>300</v>
      </c>
      <c r="T40" s="2204"/>
      <c r="U40" s="2204"/>
      <c r="V40" s="2204"/>
      <c r="W40" s="2204"/>
      <c r="X40" s="2204"/>
      <c r="Y40" s="2204"/>
      <c r="Z40" s="2204"/>
      <c r="AA40" s="2204"/>
      <c r="AB40" s="2204"/>
      <c r="AC40" s="2204"/>
      <c r="AD40" s="2204"/>
      <c r="AE40" s="2204"/>
      <c r="AF40" s="2204"/>
      <c r="AG40" s="2204"/>
      <c r="AH40" s="2204"/>
      <c r="AI40" s="2204"/>
      <c r="AJ40" s="2204"/>
      <c r="AK40" s="2204"/>
      <c r="AL40" s="2204"/>
      <c r="AM40" s="2204"/>
      <c r="AN40" s="2204"/>
      <c r="AO40" s="2204"/>
      <c r="AP40" s="2204"/>
      <c r="AQ40" s="2204"/>
      <c r="AR40" s="2204"/>
      <c r="AS40" s="2204"/>
      <c r="AT40" s="2204"/>
      <c r="AU40" s="2204"/>
      <c r="AV40" s="2204"/>
      <c r="AW40" s="2204"/>
      <c r="AX40" s="2204"/>
      <c r="AY40" s="2204"/>
      <c r="AZ40" s="2204"/>
      <c r="BA40" s="2204"/>
      <c r="BB40" s="2204"/>
      <c r="BC40" s="2204" t="s">
        <v>301</v>
      </c>
    </row>
    <row customHeight="1" ht="14.25">
      <c r="Q41" s="428"/>
      <c r="R41" s="529"/>
      <c r="S41" s="2367" t="s">
        <v>87</v>
      </c>
      <c r="T41" s="2228" t="s">
        <v>1711</v>
      </c>
      <c r="U41" s="438"/>
      <c r="V41" s="2368" t="s">
        <v>1498</v>
      </c>
      <c r="W41" s="2369"/>
      <c r="X41" s="2369"/>
      <c r="Y41" s="2369"/>
      <c r="Z41" s="2369"/>
      <c r="AA41" s="2369"/>
      <c r="AB41" s="2370"/>
      <c r="AC41" s="2371" t="s">
        <v>1499</v>
      </c>
      <c r="AD41" s="2426" t="s">
        <v>1712</v>
      </c>
      <c r="AE41" s="2385"/>
      <c r="AF41" s="2385"/>
      <c r="AG41" s="2427"/>
      <c r="AH41" s="2426" t="s">
        <v>1713</v>
      </c>
      <c r="AI41" s="2385"/>
      <c r="AJ41" s="2385"/>
      <c r="AK41" s="2427"/>
      <c r="AL41" s="2426" t="s">
        <v>1714</v>
      </c>
      <c r="AM41" s="2385"/>
      <c r="AN41" s="2385"/>
      <c r="AO41" s="2427"/>
      <c r="AP41" s="2426" t="s">
        <v>1715</v>
      </c>
      <c r="AQ41" s="2385"/>
      <c r="AR41" s="2385"/>
      <c r="AS41" s="2427"/>
      <c r="AT41" s="2368" t="s">
        <v>1498</v>
      </c>
      <c r="AU41" s="2369"/>
      <c r="AV41" s="2369"/>
      <c r="AW41" s="2369"/>
      <c r="AX41" s="2369"/>
      <c r="AY41" s="2369"/>
      <c r="AZ41" s="2370"/>
      <c r="BA41" s="2371" t="s">
        <v>1499</v>
      </c>
      <c r="BB41" s="2374" t="s">
        <v>1501</v>
      </c>
      <c r="BC41" s="2204"/>
    </row>
    <row customHeight="1" ht="33.75">
      <c r="Q42" s="428"/>
      <c r="R42" s="529"/>
      <c r="S42" s="2367"/>
      <c r="T42" s="2228"/>
      <c r="U42" s="1216"/>
      <c r="V42" s="2217" t="s">
        <v>1716</v>
      </c>
      <c r="W42" s="2218"/>
      <c r="X42" s="2217" t="s">
        <v>1717</v>
      </c>
      <c r="Y42" s="2218"/>
      <c r="Z42" s="2404" t="s">
        <v>1718</v>
      </c>
      <c r="AA42" s="2405"/>
      <c r="AB42" s="2406"/>
      <c r="AC42" s="2372"/>
      <c r="AD42" s="2428"/>
      <c r="AE42" s="2429"/>
      <c r="AF42" s="2429"/>
      <c r="AG42" s="2430"/>
      <c r="AH42" s="2428"/>
      <c r="AI42" s="2429"/>
      <c r="AJ42" s="2429"/>
      <c r="AK42" s="2430"/>
      <c r="AL42" s="2428"/>
      <c r="AM42" s="2429"/>
      <c r="AN42" s="2429"/>
      <c r="AO42" s="2430"/>
      <c r="AP42" s="2428"/>
      <c r="AQ42" s="2429"/>
      <c r="AR42" s="2429"/>
      <c r="AS42" s="2430"/>
      <c r="AT42" s="2217" t="s">
        <v>1716</v>
      </c>
      <c r="AU42" s="2218"/>
      <c r="AV42" s="2217" t="s">
        <v>1717</v>
      </c>
      <c r="AW42" s="2218"/>
      <c r="AX42" s="2404" t="s">
        <v>1718</v>
      </c>
      <c r="AY42" s="2405"/>
      <c r="AZ42" s="2406"/>
      <c r="BA42" s="2372"/>
      <c r="BB42" s="2375"/>
      <c r="BC42" s="2204"/>
    </row>
    <row customHeight="1" ht="14.25">
      <c r="Q43" s="428"/>
      <c r="R43" s="529"/>
      <c r="S43" s="2367"/>
      <c r="T43" s="2228"/>
      <c r="U43" s="1216"/>
      <c r="V43" s="2219"/>
      <c r="W43" s="2220"/>
      <c r="X43" s="2219"/>
      <c r="Y43" s="2220"/>
      <c r="Z43" s="2407"/>
      <c r="AA43" s="2408"/>
      <c r="AB43" s="2409"/>
      <c r="AC43" s="2372"/>
      <c r="AD43" s="2428"/>
      <c r="AE43" s="2429"/>
      <c r="AF43" s="2429"/>
      <c r="AG43" s="2430"/>
      <c r="AH43" s="2428"/>
      <c r="AI43" s="2429"/>
      <c r="AJ43" s="2429"/>
      <c r="AK43" s="2430"/>
      <c r="AL43" s="2428"/>
      <c r="AM43" s="2429"/>
      <c r="AN43" s="2429"/>
      <c r="AO43" s="2430"/>
      <c r="AP43" s="2428"/>
      <c r="AQ43" s="2429"/>
      <c r="AR43" s="2429"/>
      <c r="AS43" s="2430"/>
      <c r="AT43" s="2219"/>
      <c r="AU43" s="2220"/>
      <c r="AV43" s="2219"/>
      <c r="AW43" s="2220"/>
      <c r="AX43" s="2407"/>
      <c r="AY43" s="2408"/>
      <c r="AZ43" s="2409"/>
      <c r="BA43" s="2372"/>
      <c r="BB43" s="2375"/>
      <c r="BC43" s="2204"/>
    </row>
    <row customHeight="1" ht="14.25">
      <c r="A44" s="1593"/>
      <c r="B44" s="1593" t="s">
        <v>144</v>
      </c>
      <c r="C44" s="1593" t="s">
        <v>145</v>
      </c>
      <c r="D44" s="1593" t="s">
        <v>146</v>
      </c>
      <c r="E44" s="1587" t="s">
        <v>1506</v>
      </c>
      <c r="F44" s="1587" t="s">
        <v>1507</v>
      </c>
      <c r="G44" s="1587" t="s">
        <v>1508</v>
      </c>
      <c r="H44" s="1587" t="s">
        <v>1509</v>
      </c>
      <c r="I44" s="1587" t="s">
        <v>1510</v>
      </c>
      <c r="J44" s="1587" t="s">
        <v>1511</v>
      </c>
      <c r="K44" s="1587" t="s">
        <v>1512</v>
      </c>
      <c r="L44" s="1587" t="s">
        <v>1487</v>
      </c>
      <c r="Q44" s="428"/>
      <c r="R44" s="529"/>
      <c r="S44" s="2367"/>
      <c r="T44" s="2228"/>
      <c r="U44" s="439"/>
      <c r="V44" s="1672" t="s">
        <v>1558</v>
      </c>
      <c r="W44" s="1672" t="s">
        <v>1559</v>
      </c>
      <c r="X44" s="1672" t="s">
        <v>1558</v>
      </c>
      <c r="Y44" s="1672" t="s">
        <v>1559</v>
      </c>
      <c r="Z44" s="1679" t="s">
        <v>1515</v>
      </c>
      <c r="AA44" s="2364" t="s">
        <v>1516</v>
      </c>
      <c r="AB44" s="2365"/>
      <c r="AC44" s="2373"/>
      <c r="AD44" s="2431"/>
      <c r="AE44" s="2432"/>
      <c r="AF44" s="2432"/>
      <c r="AG44" s="2433"/>
      <c r="AH44" s="2431"/>
      <c r="AI44" s="2432"/>
      <c r="AJ44" s="2432"/>
      <c r="AK44" s="2433"/>
      <c r="AL44" s="2431"/>
      <c r="AM44" s="2432"/>
      <c r="AN44" s="2432"/>
      <c r="AO44" s="2433"/>
      <c r="AP44" s="2431"/>
      <c r="AQ44" s="2432"/>
      <c r="AR44" s="2432"/>
      <c r="AS44" s="2433"/>
      <c r="AT44" s="1672" t="s">
        <v>1558</v>
      </c>
      <c r="AU44" s="1672" t="s">
        <v>1559</v>
      </c>
      <c r="AV44" s="1672" t="s">
        <v>1558</v>
      </c>
      <c r="AW44" s="1672" t="s">
        <v>1559</v>
      </c>
      <c r="AX44" s="1679" t="s">
        <v>1515</v>
      </c>
      <c r="AY44" s="2364" t="s">
        <v>1516</v>
      </c>
      <c r="AZ44" s="2365"/>
      <c r="BA44" s="2373"/>
      <c r="BB44" s="2376"/>
      <c r="BC44" s="2204"/>
    </row>
    <row s="5794" customFormat="1" customHeight="1" ht="11.25" hidden="1">
      <c r="A45" s="1593"/>
      <c r="B45" s="1593"/>
      <c r="C45" s="1593"/>
      <c r="D45" s="1593"/>
      <c r="E45" s="1593"/>
      <c r="F45" s="1593"/>
      <c r="G45" s="1593"/>
      <c r="H45" s="1593"/>
      <c r="I45" s="1593"/>
      <c r="J45" s="1593"/>
      <c r="K45" s="1593"/>
      <c r="L45" s="1587"/>
      <c r="M45" s="1585"/>
      <c r="N45" s="1585"/>
      <c r="O45" s="1585"/>
      <c r="P45" s="674"/>
      <c r="Q45" s="1467"/>
      <c r="R45" s="1467">
        <v>1</v>
      </c>
      <c r="S45" s="1494" t="s">
        <v>118</v>
      </c>
      <c r="T45" s="1468" t="s">
        <v>102</v>
      </c>
      <c r="U45" s="1450" t="str">
        <f>OFFSET(U45,0,-1)</f>
        <v>2</v>
      </c>
      <c r="V45" s="1675">
        <f>OFFSET(V45,0,-1)+1</f>
        <v>3</v>
      </c>
      <c r="W45" s="1675">
        <f>OFFSET(W45,0,-1)+1</f>
        <v>4</v>
      </c>
      <c r="X45" s="1675">
        <f>OFFSET(X45,0,-1)+1</f>
        <v>5</v>
      </c>
      <c r="Y45" s="1675">
        <f>OFFSET(Y45,0,-1)+1</f>
        <v>6</v>
      </c>
      <c r="Z45" s="1675">
        <f>OFFSET(Z45,0,-1)+1</f>
        <v>7</v>
      </c>
      <c r="AA45" s="2366">
        <f>OFFSET(AA45,0,-1)+1</f>
        <v>8</v>
      </c>
      <c r="AB45" s="2366"/>
      <c r="AC45" s="1675">
        <f>OFFSET(AC45,0,-2)+1</f>
        <v>9</v>
      </c>
      <c r="AD45" s="1675">
        <f>OFFSET(AD45,0,-1)+1</f>
        <v>10</v>
      </c>
      <c r="AE45" s="1675"/>
      <c r="AF45" s="1675"/>
      <c r="AG45" s="1675"/>
      <c r="AH45" s="1675"/>
      <c r="AI45" s="1675"/>
      <c r="AJ45" s="1675"/>
      <c r="AK45" s="1675"/>
      <c r="AL45" s="1675"/>
      <c r="AM45" s="1675"/>
      <c r="AN45" s="1675"/>
      <c r="AO45" s="1675"/>
      <c r="AP45" s="1675"/>
      <c r="AQ45" s="1675"/>
      <c r="AR45" s="1675"/>
      <c r="AS45" s="1675"/>
      <c r="AT45" s="1675"/>
      <c r="AU45" s="1675"/>
      <c r="AV45" s="1675"/>
      <c r="AW45" s="1675">
        <f>OFFSET(AW45,0,-1)+1</f>
        <v>1</v>
      </c>
      <c r="AX45" s="1675">
        <f>OFFSET(AX45,0,-1)+1</f>
        <v>2</v>
      </c>
      <c r="AY45" s="2366">
        <f>OFFSET(AY45,0,-1)+1</f>
        <v>3</v>
      </c>
      <c r="AZ45" s="2366"/>
      <c r="BA45" s="1675">
        <f>OFFSET(BA45,0,-2)+1</f>
        <v>4</v>
      </c>
      <c r="BB45" s="1450">
        <f>OFFSET(BB45,0,-1)</f>
        <v>4</v>
      </c>
      <c r="BC45" s="1675">
        <f>OFFSET(BC45,0,-1)+1</f>
        <v>5</v>
      </c>
      <c r="BD45" s="675"/>
      <c r="BE45" s="675"/>
      <c r="BF45" s="675"/>
      <c r="BG45" s="675"/>
      <c r="BH45" s="675"/>
    </row>
    <row customHeight="1" ht="21">
      <c r="A46" s="1586" t="s">
        <v>246</v>
      </c>
      <c r="B46" s="1586"/>
      <c r="C46" s="1586"/>
      <c r="D46" s="1586"/>
      <c r="E46" s="2351">
        <v>1</v>
      </c>
      <c r="F46" s="1586"/>
      <c r="G46" s="1586"/>
      <c r="H46" s="1586"/>
      <c r="I46" s="1586"/>
      <c r="J46" s="1586"/>
      <c r="K46" s="1586"/>
      <c r="L46" s="1587"/>
      <c r="M46" s="1588"/>
      <c r="N46" s="1588"/>
      <c r="O46" s="1588"/>
      <c r="P46" s="1633"/>
      <c r="Q46" s="1047"/>
      <c r="R46" s="503"/>
      <c r="S46" s="1681">
        <f>INDEX(PT_DIFFERENTIATION_NUM_NTAR,MATCH(A46,PT_DIFFERENTIATION_NTAR_ID,0))</f>
        <v>0</v>
      </c>
      <c r="T46" s="435" t="s">
        <v>132</v>
      </c>
      <c r="U46" s="437"/>
      <c r="V46" s="3965"/>
      <c r="W46" s="3965"/>
      <c r="X46" s="3965"/>
      <c r="Y46" s="3965"/>
      <c r="Z46" s="3965"/>
      <c r="AA46" s="3965"/>
      <c r="AB46" s="3965"/>
      <c r="AC46" s="3966"/>
      <c r="AD46" s="3964" t="str">
        <f>INDEX(PT_DIFFERENTIATION_NTAR,MATCH(A46,PT_DIFFERENTIATION_NTAR_ID,0))</f>
        <v/>
      </c>
      <c r="AE46" s="3965"/>
      <c r="AF46" s="3965"/>
      <c r="AG46" s="3965"/>
      <c r="AH46" s="3965"/>
      <c r="AI46" s="3965"/>
      <c r="AJ46" s="3965"/>
      <c r="AK46" s="3965"/>
      <c r="AL46" s="3965"/>
      <c r="AM46" s="3965"/>
      <c r="AN46" s="3965"/>
      <c r="AO46" s="3965"/>
      <c r="AP46" s="3965"/>
      <c r="AQ46" s="3965"/>
      <c r="AR46" s="3965"/>
      <c r="AS46" s="3965"/>
      <c r="AT46" s="3965"/>
      <c r="AU46" s="3965"/>
      <c r="AV46" s="3965"/>
      <c r="AW46" s="3965"/>
      <c r="AX46" s="3965"/>
      <c r="AY46" s="3965"/>
      <c r="AZ46" s="3965"/>
      <c r="BA46" s="3965"/>
      <c r="BB46" s="3966"/>
      <c r="BC46"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4"/>
      <c r="BF46" s="664" t="str">
        <f>IF(T46="","",T46)</f>
        <v>Наименование тарифа</v>
      </c>
      <c r="BG46" s="664"/>
      <c r="BH46" s="664"/>
    </row>
    <row customHeight="1" ht="21">
      <c r="A47" s="1586" t="s">
        <v>246</v>
      </c>
      <c r="B47" s="1586" t="s">
        <v>247</v>
      </c>
      <c r="C47" s="1586"/>
      <c r="D47" s="1586"/>
      <c r="E47" s="2352"/>
      <c r="F47" s="2351">
        <v>1</v>
      </c>
      <c r="G47" s="1586"/>
      <c r="H47" s="1586"/>
      <c r="I47" s="1586"/>
      <c r="J47" s="1586"/>
      <c r="K47" s="1586"/>
      <c r="L47" s="1587"/>
      <c r="M47" s="1588"/>
      <c r="N47" s="1588"/>
      <c r="O47" s="1588"/>
      <c r="P47" s="1634"/>
      <c r="Q47" s="1635"/>
      <c r="R47" s="501"/>
      <c r="S47" s="1681" t="str">
        <f>INDEX(PT_DIFFERENTIATION_NUM_TER,MATCH(B47,PT_DIFFERENTIATION_TER_ID,0))</f>
        <v>.</v>
      </c>
      <c r="T47" s="447" t="s">
        <v>1469</v>
      </c>
      <c r="U47" s="437"/>
      <c r="V47" s="3965"/>
      <c r="W47" s="3965"/>
      <c r="X47" s="3965"/>
      <c r="Y47" s="3965"/>
      <c r="Z47" s="3965"/>
      <c r="AA47" s="3965"/>
      <c r="AB47" s="3965"/>
      <c r="AC47" s="3966"/>
      <c r="AD47" s="3964" t="str">
        <f>INDEX(PT_DIFFERENTIATION_TER,MATCH(B47,PT_DIFFERENTIATION_TER_ID,0))</f>
        <v/>
      </c>
      <c r="AE47" s="3965"/>
      <c r="AF47" s="3965"/>
      <c r="AG47" s="3965"/>
      <c r="AH47" s="3965"/>
      <c r="AI47" s="3965"/>
      <c r="AJ47" s="3965"/>
      <c r="AK47" s="3965"/>
      <c r="AL47" s="3965"/>
      <c r="AM47" s="3965"/>
      <c r="AN47" s="3965"/>
      <c r="AO47" s="3965"/>
      <c r="AP47" s="3965"/>
      <c r="AQ47" s="3965"/>
      <c r="AR47" s="3965"/>
      <c r="AS47" s="3965"/>
      <c r="AT47" s="3965"/>
      <c r="AU47" s="3965"/>
      <c r="AV47" s="3965"/>
      <c r="AW47" s="3965"/>
      <c r="AX47" s="3965"/>
      <c r="AY47" s="3965"/>
      <c r="AZ47" s="3965"/>
      <c r="BA47" s="3965"/>
      <c r="BB47" s="3966"/>
      <c r="BC47" s="1473" t="s">
        <v>1470</v>
      </c>
      <c r="BE47" s="664"/>
      <c r="BF47" s="664" t="str">
        <f>IF(T47="","",T47)</f>
        <v>Территория действия тарифа</v>
      </c>
      <c r="BG47" s="664"/>
      <c r="BH47" s="664"/>
    </row>
    <row customHeight="1" ht="42">
      <c r="A48" s="1586" t="s">
        <v>246</v>
      </c>
      <c r="B48" s="1586" t="s">
        <v>247</v>
      </c>
      <c r="C48" s="1586" t="s">
        <v>248</v>
      </c>
      <c r="D48" s="1586"/>
      <c r="E48" s="2352"/>
      <c r="F48" s="2352"/>
      <c r="G48" s="2351">
        <v>1</v>
      </c>
      <c r="H48" s="1586"/>
      <c r="I48" s="1586"/>
      <c r="J48" s="1586"/>
      <c r="K48" s="1586"/>
      <c r="L48" s="1587"/>
      <c r="M48" s="1588"/>
      <c r="N48" s="1588"/>
      <c r="O48" s="1588"/>
      <c r="P48" s="1636"/>
      <c r="Q48" s="1635"/>
      <c r="R48" s="501"/>
      <c r="S48" s="1681" t="str">
        <f>INDEX(PT_DIFFERENTIATION_NUM_CS,MATCH(C48,PT_DIFFERENTIATION_CS_ID,0))</f>
        <v>..</v>
      </c>
      <c r="T48" s="448" t="s">
        <v>1685</v>
      </c>
      <c r="U48" s="437"/>
      <c r="V48" s="3965"/>
      <c r="W48" s="3965"/>
      <c r="X48" s="3965"/>
      <c r="Y48" s="3965"/>
      <c r="Z48" s="3965"/>
      <c r="AA48" s="3965"/>
      <c r="AB48" s="3965"/>
      <c r="AC48" s="3966"/>
      <c r="AD48" s="3964" t="str">
        <f>INDEX(PT_DIFFERENTIATION_CS,MATCH(C48,PT_DIFFERENTIATION_CS_ID,0))</f>
        <v/>
      </c>
      <c r="AE48" s="3965"/>
      <c r="AF48" s="3965"/>
      <c r="AG48" s="3965"/>
      <c r="AH48" s="3965"/>
      <c r="AI48" s="3965"/>
      <c r="AJ48" s="3965"/>
      <c r="AK48" s="3965"/>
      <c r="AL48" s="3965"/>
      <c r="AM48" s="3965"/>
      <c r="AN48" s="3965"/>
      <c r="AO48" s="3965"/>
      <c r="AP48" s="3965"/>
      <c r="AQ48" s="3965"/>
      <c r="AR48" s="3965"/>
      <c r="AS48" s="3965"/>
      <c r="AT48" s="3965"/>
      <c r="AU48" s="3965"/>
      <c r="AV48" s="3965"/>
      <c r="AW48" s="3965"/>
      <c r="AX48" s="3965"/>
      <c r="AY48" s="3965"/>
      <c r="AZ48" s="3965"/>
      <c r="BA48" s="3965"/>
      <c r="BB48" s="3966"/>
      <c r="BC48" s="1473" t="s">
        <v>1686</v>
      </c>
      <c r="BE48" s="664"/>
      <c r="BF48" s="664" t="str">
        <f>IF(T48="","",T48)</f>
        <v>Наименование централизованной системы холодного водоснабжения</v>
      </c>
      <c r="BG48" s="664"/>
      <c r="BH48" s="664"/>
    </row>
    <row s="6608" customFormat="1" customHeight="1" ht="0">
      <c r="A49" s="1565" t="s">
        <v>246</v>
      </c>
      <c r="B49" s="1565" t="s">
        <v>247</v>
      </c>
      <c r="C49" s="1565" t="s">
        <v>248</v>
      </c>
      <c r="D49" s="1565" t="s">
        <v>1719</v>
      </c>
      <c r="E49" s="2352"/>
      <c r="F49" s="2352"/>
      <c r="G49" s="2352"/>
      <c r="H49" s="2351">
        <v>1</v>
      </c>
      <c r="I49" s="1565"/>
      <c r="J49" s="1565"/>
      <c r="K49" s="1565"/>
      <c r="L49" s="1568"/>
      <c r="M49" s="1537"/>
      <c r="N49" s="1537"/>
      <c r="O49" s="1537"/>
      <c r="P49" s="1721"/>
      <c r="Q49" s="1722"/>
      <c r="R49" s="505"/>
      <c r="S49" s="1227"/>
      <c r="T49" s="1723"/>
      <c r="U49" s="1607"/>
      <c r="V49" s="2391"/>
      <c r="W49" s="2391"/>
      <c r="X49" s="2391"/>
      <c r="Y49" s="2391"/>
      <c r="Z49" s="2391"/>
      <c r="AA49" s="2391"/>
      <c r="AB49" s="2391"/>
      <c r="AC49" s="2392"/>
      <c r="AD49" s="2390"/>
      <c r="AE49" s="2391"/>
      <c r="AF49" s="2391"/>
      <c r="AG49" s="2391"/>
      <c r="AH49" s="2391"/>
      <c r="AI49" s="2391"/>
      <c r="AJ49" s="2391"/>
      <c r="AK49" s="2391"/>
      <c r="AL49" s="2391"/>
      <c r="AM49" s="2391"/>
      <c r="AN49" s="2391"/>
      <c r="AO49" s="2391"/>
      <c r="AP49" s="2391"/>
      <c r="AQ49" s="2391"/>
      <c r="AR49" s="2391"/>
      <c r="AS49" s="2391"/>
      <c r="AT49" s="2391"/>
      <c r="AU49" s="2391"/>
      <c r="AV49" s="2391"/>
      <c r="AW49" s="2391"/>
      <c r="AX49" s="2391"/>
      <c r="AY49" s="2391"/>
      <c r="AZ49" s="2391"/>
      <c r="BA49" s="2391"/>
      <c r="BB49" s="2392"/>
      <c r="BC49" s="1608" t="s">
        <v>1474</v>
      </c>
      <c r="BE49" s="664"/>
      <c r="BF49" s="664" t="str">
        <f>IF(T49="","",T49)</f>
        <v/>
      </c>
      <c r="BG49" s="664"/>
      <c r="BH49" s="664"/>
    </row>
    <row s="6608" customFormat="1" customHeight="1" ht="0">
      <c r="A50" s="1565" t="s">
        <v>246</v>
      </c>
      <c r="B50" s="1565" t="s">
        <v>247</v>
      </c>
      <c r="C50" s="1565" t="s">
        <v>248</v>
      </c>
      <c r="D50" s="1565" t="s">
        <v>1719</v>
      </c>
      <c r="E50" s="2352"/>
      <c r="F50" s="2352"/>
      <c r="G50" s="2352"/>
      <c r="H50" s="2352"/>
      <c r="I50" s="2380" t="str">
        <f>S49&amp;".1"</f>
        <v>.1</v>
      </c>
      <c r="J50" s="1565"/>
      <c r="K50" s="1565"/>
      <c r="L50" s="1568" t="s">
        <v>1475</v>
      </c>
      <c r="M50" s="674"/>
      <c r="N50" s="674"/>
      <c r="O50" s="674"/>
      <c r="P50" s="2350">
        <v>1</v>
      </c>
      <c r="Q50" s="1686"/>
      <c r="R50" s="504"/>
      <c r="S50" s="1227"/>
      <c r="T50" s="1606"/>
      <c r="U50" s="1607"/>
      <c r="V50" s="2391"/>
      <c r="W50" s="2391"/>
      <c r="X50" s="2391"/>
      <c r="Y50" s="2391"/>
      <c r="Z50" s="2391"/>
      <c r="AA50" s="2391"/>
      <c r="AB50" s="2391"/>
      <c r="AC50" s="2392"/>
      <c r="AD50" s="2390"/>
      <c r="AE50" s="2391"/>
      <c r="AF50" s="2391"/>
      <c r="AG50" s="2391"/>
      <c r="AH50" s="2391"/>
      <c r="AI50" s="2391"/>
      <c r="AJ50" s="2391"/>
      <c r="AK50" s="2391"/>
      <c r="AL50" s="2391"/>
      <c r="AM50" s="2391"/>
      <c r="AN50" s="2391"/>
      <c r="AO50" s="2391"/>
      <c r="AP50" s="2391"/>
      <c r="AQ50" s="2391"/>
      <c r="AR50" s="2391"/>
      <c r="AS50" s="2391"/>
      <c r="AT50" s="2391"/>
      <c r="AU50" s="2391"/>
      <c r="AV50" s="2391"/>
      <c r="AW50" s="2391"/>
      <c r="AX50" s="2391"/>
      <c r="AY50" s="2391"/>
      <c r="AZ50" s="2391"/>
      <c r="BA50" s="2391"/>
      <c r="BB50" s="2392"/>
      <c r="BC50" s="1608"/>
      <c r="BE50" s="664"/>
      <c r="BF50" s="664" t="str">
        <f>IF(T50="","",T50)</f>
        <v/>
      </c>
      <c r="BG50" s="664"/>
      <c r="BH50" s="664"/>
    </row>
    <row s="6608" customFormat="1" customHeight="1" ht="0">
      <c r="A51" s="1565" t="s">
        <v>246</v>
      </c>
      <c r="B51" s="1565" t="s">
        <v>247</v>
      </c>
      <c r="C51" s="1565" t="s">
        <v>248</v>
      </c>
      <c r="D51" s="1565" t="s">
        <v>1719</v>
      </c>
      <c r="E51" s="2352"/>
      <c r="F51" s="2352"/>
      <c r="G51" s="2352"/>
      <c r="H51" s="2352"/>
      <c r="I51" s="2381"/>
      <c r="J51" s="2349" t="str">
        <f>S49&amp;".1"</f>
        <v>.1</v>
      </c>
      <c r="K51" s="1565"/>
      <c r="L51" s="1568"/>
      <c r="M51" s="674"/>
      <c r="N51" s="674"/>
      <c r="O51" s="674"/>
      <c r="P51" s="2350"/>
      <c r="Q51" s="2350">
        <v>1</v>
      </c>
      <c r="R51" s="505"/>
      <c r="S51" s="1227"/>
      <c r="T51" s="1622"/>
      <c r="U51" s="1607"/>
      <c r="V51" s="2391"/>
      <c r="W51" s="2391"/>
      <c r="X51" s="2391"/>
      <c r="Y51" s="2391"/>
      <c r="Z51" s="2391"/>
      <c r="AA51" s="2391"/>
      <c r="AB51" s="2391"/>
      <c r="AC51" s="2392"/>
      <c r="AD51" s="2390"/>
      <c r="AE51" s="2391"/>
      <c r="AF51" s="2391"/>
      <c r="AG51" s="2391"/>
      <c r="AH51" s="2391"/>
      <c r="AI51" s="2391"/>
      <c r="AJ51" s="2391"/>
      <c r="AK51" s="2391"/>
      <c r="AL51" s="2391"/>
      <c r="AM51" s="2391"/>
      <c r="AN51" s="2517"/>
      <c r="AO51" s="2517"/>
      <c r="AP51" s="2391"/>
      <c r="AQ51" s="2391"/>
      <c r="AR51" s="2391"/>
      <c r="AS51" s="2391"/>
      <c r="AT51" s="2391"/>
      <c r="AU51" s="2391"/>
      <c r="AV51" s="2391"/>
      <c r="AW51" s="2391"/>
      <c r="AX51" s="2391"/>
      <c r="AY51" s="2391"/>
      <c r="AZ51" s="2391"/>
      <c r="BA51" s="2391"/>
      <c r="BB51" s="2392"/>
      <c r="BC51" s="1608"/>
      <c r="BE51" s="664"/>
      <c r="BF51" s="664" t="str">
        <f>IF(T51="","",T51)</f>
        <v/>
      </c>
      <c r="BG51" s="664"/>
      <c r="BH51" s="664"/>
    </row>
    <row customHeight="1" ht="11.25">
      <c r="A52" s="1586" t="s">
        <v>246</v>
      </c>
      <c r="B52" s="1586" t="s">
        <v>247</v>
      </c>
      <c r="C52" s="1586" t="s">
        <v>248</v>
      </c>
      <c r="D52" s="1586" t="s">
        <v>1719</v>
      </c>
      <c r="E52" s="2352"/>
      <c r="F52" s="2352"/>
      <c r="G52" s="2352"/>
      <c r="H52" s="2352"/>
      <c r="I52" s="2381"/>
      <c r="J52" s="2382"/>
      <c r="K52" s="2349" t="str">
        <f>S48&amp;".1"</f>
        <v>...1</v>
      </c>
      <c r="L52" s="1587"/>
      <c r="P52" s="2350"/>
      <c r="Q52" s="2350"/>
      <c r="R52" s="505">
        <v>1</v>
      </c>
      <c r="S52" s="2434" t="str">
        <f>$K52</f>
        <v>...1</v>
      </c>
      <c r="T52" s="2512"/>
      <c r="U52" s="437"/>
      <c r="V52" s="3992"/>
      <c r="W52" s="3994"/>
      <c r="X52" s="3992"/>
      <c r="Y52" s="3994"/>
      <c r="Z52" s="1976"/>
      <c r="AA52" s="1683" t="s">
        <v>66</v>
      </c>
      <c r="AB52" s="1976"/>
      <c r="AC52" s="1683" t="s">
        <v>66</v>
      </c>
      <c r="AD52" s="2159" t="s">
        <v>66</v>
      </c>
      <c r="AE52" s="2423"/>
      <c r="AF52" s="2424">
        <v>1</v>
      </c>
      <c r="AG52" s="2516"/>
      <c r="AH52" s="2069" t="s">
        <v>66</v>
      </c>
      <c r="AI52" s="2423"/>
      <c r="AJ52" s="2424">
        <v>1</v>
      </c>
      <c r="AK52" s="2515" t="s">
        <v>17</v>
      </c>
      <c r="AL52" s="2069" t="s">
        <v>66</v>
      </c>
      <c r="AM52" s="2507"/>
      <c r="AN52" s="2424">
        <v>1</v>
      </c>
      <c r="AO52" s="2509"/>
      <c r="AP52" s="2510" t="s">
        <v>66</v>
      </c>
      <c r="AQ52" s="450"/>
      <c r="AR52" s="1687">
        <v>1</v>
      </c>
      <c r="AS52" s="1690" t="s">
        <v>17</v>
      </c>
      <c r="AT52" s="3992"/>
      <c r="AU52" s="3994"/>
      <c r="AV52" s="3992"/>
      <c r="AW52" s="3994"/>
      <c r="AX52" s="1976"/>
      <c r="AY52" s="1683" t="s">
        <v>66</v>
      </c>
      <c r="AZ52" s="1976"/>
      <c r="BA52" s="1683" t="s">
        <v>66</v>
      </c>
      <c r="BB52" s="4093"/>
      <c r="BC52" s="2346" t="s">
        <v>1705</v>
      </c>
      <c r="BE52" s="664"/>
      <c r="BF52" s="664" t="str">
        <f>IF(T52="","",T52)</f>
        <v/>
      </c>
      <c r="BG52" s="664"/>
      <c r="BH52" s="664"/>
    </row>
    <row customHeight="1" ht="11.25">
      <c r="A53" s="1586"/>
      <c r="B53" s="1586"/>
      <c r="C53" s="1586"/>
      <c r="D53" s="1586"/>
      <c r="E53" s="2352"/>
      <c r="F53" s="2352"/>
      <c r="G53" s="2352"/>
      <c r="H53" s="2352"/>
      <c r="I53" s="2381"/>
      <c r="J53" s="2382"/>
      <c r="K53" s="2349"/>
      <c r="L53" s="1587"/>
      <c r="P53" s="2350"/>
      <c r="Q53" s="2350"/>
      <c r="R53" s="505"/>
      <c r="S53" s="2435"/>
      <c r="T53" s="2513"/>
      <c r="U53" s="437"/>
      <c r="V53" s="4152"/>
      <c r="W53" s="4208"/>
      <c r="X53" s="4152"/>
      <c r="Y53" s="4208"/>
      <c r="Z53" s="4152"/>
      <c r="AA53" s="4152"/>
      <c r="AB53" s="4152"/>
      <c r="AC53" s="4152"/>
      <c r="AD53" s="2160"/>
      <c r="AE53" s="2423"/>
      <c r="AF53" s="2424"/>
      <c r="AG53" s="2516"/>
      <c r="AH53" s="2069"/>
      <c r="AI53" s="2423"/>
      <c r="AJ53" s="2424"/>
      <c r="AK53" s="2515"/>
      <c r="AL53" s="2069"/>
      <c r="AM53" s="2508"/>
      <c r="AN53" s="2424"/>
      <c r="AO53" s="2509"/>
      <c r="AP53" s="2511"/>
      <c r="AQ53" s="457"/>
      <c r="AR53" s="579"/>
      <c r="AS53" s="579" t="s">
        <v>1706</v>
      </c>
      <c r="AT53" s="4152"/>
      <c r="AU53" s="4208"/>
      <c r="AV53" s="4152"/>
      <c r="AW53" s="4208"/>
      <c r="AX53" s="4152"/>
      <c r="AY53" s="4152"/>
      <c r="AZ53" s="4152"/>
      <c r="BA53" s="4152"/>
      <c r="BB53" s="4206"/>
      <c r="BC53" s="2347"/>
      <c r="BE53" s="664"/>
      <c r="BF53" s="664"/>
      <c r="BG53" s="664"/>
      <c r="BH53" s="664"/>
    </row>
    <row customHeight="1" ht="11.25">
      <c r="A54" s="1586" t="s">
        <v>246</v>
      </c>
      <c r="B54" s="1586"/>
      <c r="C54" s="1586"/>
      <c r="D54" s="1586"/>
      <c r="E54" s="2352"/>
      <c r="F54" s="2352"/>
      <c r="G54" s="2352"/>
      <c r="H54" s="2352"/>
      <c r="I54" s="2381"/>
      <c r="J54" s="2382"/>
      <c r="K54" s="2349"/>
      <c r="L54" s="1587"/>
      <c r="P54" s="2350"/>
      <c r="Q54" s="2350"/>
      <c r="R54" s="505"/>
      <c r="S54" s="2435"/>
      <c r="T54" s="2513"/>
      <c r="U54" s="437"/>
      <c r="V54" s="4152"/>
      <c r="W54" s="4208"/>
      <c r="X54" s="4152"/>
      <c r="Y54" s="4208"/>
      <c r="Z54" s="4152"/>
      <c r="AA54" s="4152"/>
      <c r="AB54" s="4152"/>
      <c r="AC54" s="4152"/>
      <c r="AD54" s="2160"/>
      <c r="AE54" s="2423"/>
      <c r="AF54" s="2424"/>
      <c r="AG54" s="2516"/>
      <c r="AH54" s="2069"/>
      <c r="AI54" s="2423"/>
      <c r="AJ54" s="2424"/>
      <c r="AK54" s="2515"/>
      <c r="AL54" s="2069"/>
      <c r="AM54" s="457"/>
      <c r="AN54" s="1724"/>
      <c r="AO54" s="1724" t="s">
        <v>1707</v>
      </c>
      <c r="AP54" s="579"/>
      <c r="AQ54" s="579"/>
      <c r="AR54" s="579"/>
      <c r="AS54" s="4152"/>
      <c r="AT54" s="4152"/>
      <c r="AU54" s="4208"/>
      <c r="AV54" s="4152"/>
      <c r="AW54" s="4208"/>
      <c r="AX54" s="4152"/>
      <c r="AY54" s="4152"/>
      <c r="AZ54" s="4152"/>
      <c r="BA54" s="4152"/>
      <c r="BB54" s="4206"/>
      <c r="BC54" s="2347"/>
      <c r="BE54" s="664"/>
      <c r="BF54" s="664"/>
      <c r="BG54" s="664"/>
      <c r="BH54" s="664"/>
    </row>
    <row customHeight="1" ht="11.25">
      <c r="A55" s="1586" t="s">
        <v>246</v>
      </c>
      <c r="B55" s="1586"/>
      <c r="C55" s="1586"/>
      <c r="D55" s="1586"/>
      <c r="E55" s="2352"/>
      <c r="F55" s="2352"/>
      <c r="G55" s="2352"/>
      <c r="H55" s="2352"/>
      <c r="I55" s="2381"/>
      <c r="J55" s="2382"/>
      <c r="K55" s="2349"/>
      <c r="L55" s="1587"/>
      <c r="P55" s="2350"/>
      <c r="Q55" s="2350"/>
      <c r="R55" s="505"/>
      <c r="S55" s="2435"/>
      <c r="T55" s="2513"/>
      <c r="U55" s="437"/>
      <c r="V55" s="4152"/>
      <c r="W55" s="4208"/>
      <c r="X55" s="4152"/>
      <c r="Y55" s="4208"/>
      <c r="Z55" s="4152"/>
      <c r="AA55" s="4152"/>
      <c r="AB55" s="4152"/>
      <c r="AC55" s="4152"/>
      <c r="AD55" s="2160"/>
      <c r="AE55" s="2423"/>
      <c r="AF55" s="2424"/>
      <c r="AG55" s="2516"/>
      <c r="AH55" s="2069"/>
      <c r="AI55" s="431"/>
      <c r="AJ55" s="578"/>
      <c r="AK55" s="452" t="s">
        <v>1708</v>
      </c>
      <c r="AL55" s="4152"/>
      <c r="AM55" s="4152"/>
      <c r="AN55" s="4152"/>
      <c r="AO55" s="4152"/>
      <c r="AP55" s="4152"/>
      <c r="AQ55" s="4152"/>
      <c r="AR55" s="4152"/>
      <c r="AS55" s="4152"/>
      <c r="AT55" s="4152"/>
      <c r="AU55" s="4208"/>
      <c r="AV55" s="4152"/>
      <c r="AW55" s="4208"/>
      <c r="AX55" s="4152"/>
      <c r="AY55" s="4152"/>
      <c r="AZ55" s="4152"/>
      <c r="BA55" s="4152"/>
      <c r="BB55" s="4206"/>
      <c r="BC55" s="2347"/>
      <c r="BE55" s="664"/>
      <c r="BF55" s="664"/>
      <c r="BG55" s="664"/>
      <c r="BH55" s="664"/>
    </row>
    <row customHeight="1" ht="11.25">
      <c r="A56" s="1586" t="s">
        <v>246</v>
      </c>
      <c r="B56" s="1586" t="s">
        <v>247</v>
      </c>
      <c r="C56" s="1586" t="s">
        <v>248</v>
      </c>
      <c r="D56" s="1586" t="s">
        <v>1719</v>
      </c>
      <c r="E56" s="2352"/>
      <c r="F56" s="2352"/>
      <c r="G56" s="2352"/>
      <c r="H56" s="2352"/>
      <c r="I56" s="2381"/>
      <c r="J56" s="2382"/>
      <c r="K56" s="2349"/>
      <c r="L56" s="1587"/>
      <c r="P56" s="2350"/>
      <c r="Q56" s="2350"/>
      <c r="R56" s="505"/>
      <c r="S56" s="2436"/>
      <c r="T56" s="2514"/>
      <c r="U56" s="437"/>
      <c r="V56" s="4152"/>
      <c r="W56" s="4153" t="str">
        <f>Z52&amp;"-"&amp;AB52</f>
        <v>-</v>
      </c>
      <c r="X56" s="4152"/>
      <c r="Y56" s="4153" t="str">
        <f>AB52&amp;"-"&amp;AD52</f>
        <v>-да</v>
      </c>
      <c r="Z56" s="4152"/>
      <c r="AA56" s="4152"/>
      <c r="AB56" s="4152"/>
      <c r="AC56" s="4152"/>
      <c r="AD56" s="2074"/>
      <c r="AE56" s="451"/>
      <c r="AF56" s="453"/>
      <c r="AG56" s="579" t="s">
        <v>1709</v>
      </c>
      <c r="AH56" s="4152"/>
      <c r="AI56" s="4152"/>
      <c r="AJ56" s="4152"/>
      <c r="AK56" s="4152"/>
      <c r="AL56" s="4152"/>
      <c r="AM56" s="4152"/>
      <c r="AN56" s="4152"/>
      <c r="AO56" s="4152"/>
      <c r="AP56" s="4152"/>
      <c r="AQ56" s="4152"/>
      <c r="AR56" s="4152"/>
      <c r="AS56" s="4152"/>
      <c r="AT56" s="4152"/>
      <c r="AU56" s="4153" t="str">
        <f>AX52&amp;"-"&amp;AZ52</f>
        <v>-</v>
      </c>
      <c r="AV56" s="4152"/>
      <c r="AW56" s="4153" t="str">
        <f>AZ52&amp;"-"&amp;BB52</f>
        <v>-</v>
      </c>
      <c r="AX56" s="4152"/>
      <c r="AY56" s="4152"/>
      <c r="AZ56" s="4152"/>
      <c r="BA56" s="4152"/>
      <c r="BB56" s="4213" t="str">
        <f>BE52&amp;"-"&amp;BG52</f>
        <v>-</v>
      </c>
      <c r="BC56" s="2347"/>
      <c r="BE56" s="664"/>
      <c r="BF56" s="664" t="str">
        <f>IF(T56="","",T56)</f>
        <v/>
      </c>
      <c r="BG56" s="664"/>
      <c r="BH56" s="664"/>
    </row>
    <row customHeight="1" ht="11.25">
      <c r="A57" s="1586" t="s">
        <v>246</v>
      </c>
      <c r="B57" s="1586" t="s">
        <v>247</v>
      </c>
      <c r="C57" s="1586" t="s">
        <v>248</v>
      </c>
      <c r="D57" s="1586" t="s">
        <v>1719</v>
      </c>
      <c r="E57" s="2352"/>
      <c r="F57" s="2352"/>
      <c r="G57" s="2352"/>
      <c r="H57" s="2352"/>
      <c r="I57" s="2381"/>
      <c r="J57" s="2349"/>
      <c r="K57" s="1586"/>
      <c r="L57" s="1587"/>
      <c r="P57" s="2350"/>
      <c r="Q57" s="2350"/>
      <c r="R57" s="504"/>
      <c r="S57" s="1495"/>
      <c r="T57" s="424" t="s">
        <v>1549</v>
      </c>
      <c r="U57" s="519"/>
      <c r="V57" s="519"/>
      <c r="W57" s="519"/>
      <c r="X57" s="519"/>
      <c r="Y57" s="519"/>
      <c r="Z57" s="519"/>
      <c r="AA57" s="519"/>
      <c r="AB57" s="519"/>
      <c r="AC57" s="471"/>
      <c r="AD57" s="1729"/>
      <c r="AE57" s="519"/>
      <c r="AF57" s="519"/>
      <c r="AG57" s="519"/>
      <c r="AH57" s="519"/>
      <c r="AI57" s="519"/>
      <c r="AJ57" s="519"/>
      <c r="AK57" s="519"/>
      <c r="AL57" s="519"/>
      <c r="AM57" s="519"/>
      <c r="AN57" s="519"/>
      <c r="AO57" s="519"/>
      <c r="AP57" s="519"/>
      <c r="AQ57" s="519"/>
      <c r="AR57" s="519"/>
      <c r="AS57" s="519"/>
      <c r="AT57" s="519"/>
      <c r="AU57" s="519"/>
      <c r="AV57" s="519"/>
      <c r="AW57" s="519"/>
      <c r="AX57" s="519"/>
      <c r="AY57" s="519"/>
      <c r="AZ57" s="519"/>
      <c r="BA57" s="519"/>
      <c r="BB57" s="471"/>
      <c r="BC57" s="2348"/>
      <c r="BE57" s="664"/>
      <c r="BF57" s="664" t="str">
        <f>IF(T57="","",T57)</f>
        <v>Добавить строку</v>
      </c>
      <c r="BG57" s="664"/>
      <c r="BH57" s="664"/>
    </row>
    <row s="6608" customFormat="1" customHeight="1" ht="0">
      <c r="A58" s="1565" t="s">
        <v>246</v>
      </c>
      <c r="B58" s="1565" t="s">
        <v>247</v>
      </c>
      <c r="C58" s="1565" t="s">
        <v>248</v>
      </c>
      <c r="D58" s="1565" t="s">
        <v>1719</v>
      </c>
      <c r="E58" s="2352"/>
      <c r="F58" s="2352"/>
      <c r="G58" s="2352"/>
      <c r="H58" s="2352"/>
      <c r="I58" s="2380"/>
      <c r="J58" s="1565"/>
      <c r="K58" s="1565"/>
      <c r="L58" s="1568"/>
      <c r="M58" s="674"/>
      <c r="N58" s="674"/>
      <c r="O58" s="674"/>
      <c r="P58" s="2350"/>
      <c r="Q58" s="1686"/>
      <c r="R58" s="504"/>
      <c r="S58" s="1609"/>
      <c r="T58" s="1610"/>
      <c r="U58" s="1611"/>
      <c r="V58" s="1611"/>
      <c r="W58" s="1611"/>
      <c r="X58" s="1611"/>
      <c r="Y58" s="1611"/>
      <c r="Z58" s="1611"/>
      <c r="AA58" s="1611"/>
      <c r="AB58" s="1611"/>
      <c r="AC58" s="1611"/>
      <c r="AD58" s="1611"/>
      <c r="AE58" s="1611"/>
      <c r="AF58" s="1611"/>
      <c r="AG58" s="1611"/>
      <c r="AH58" s="1611"/>
      <c r="AI58" s="1611"/>
      <c r="AJ58" s="1611"/>
      <c r="AK58" s="1611"/>
      <c r="AL58" s="1611"/>
      <c r="AM58" s="1611"/>
      <c r="AN58" s="1611"/>
      <c r="AO58" s="1611"/>
      <c r="AP58" s="1611"/>
      <c r="AQ58" s="1611"/>
      <c r="AR58" s="1611"/>
      <c r="AS58" s="1611"/>
      <c r="AT58" s="1611"/>
      <c r="AU58" s="1611"/>
      <c r="AV58" s="1611"/>
      <c r="AW58" s="1611"/>
      <c r="AX58" s="1611"/>
      <c r="AY58" s="1611"/>
      <c r="AZ58" s="1611"/>
      <c r="BA58" s="1611"/>
      <c r="BB58" s="1611"/>
      <c r="BC58" s="1612"/>
      <c r="BE58" s="664"/>
      <c r="BF58" s="664" t="str">
        <f>IF(T58="","",T58)</f>
        <v/>
      </c>
      <c r="BG58" s="664"/>
      <c r="BH58" s="664"/>
    </row>
    <row s="6608" customFormat="1" customHeight="1" ht="0">
      <c r="A59" s="1565" t="s">
        <v>246</v>
      </c>
      <c r="B59" s="1565" t="s">
        <v>247</v>
      </c>
      <c r="C59" s="1565" t="s">
        <v>248</v>
      </c>
      <c r="D59" s="1565" t="s">
        <v>1719</v>
      </c>
      <c r="E59" s="2352"/>
      <c r="F59" s="2352"/>
      <c r="G59" s="2352"/>
      <c r="H59" s="2351"/>
      <c r="I59" s="1565"/>
      <c r="J59" s="1565"/>
      <c r="K59" s="1565"/>
      <c r="L59" s="1568"/>
      <c r="M59" s="1537"/>
      <c r="N59" s="1537"/>
      <c r="O59" s="682"/>
      <c r="P59" s="537"/>
      <c r="Q59" s="1566"/>
      <c r="R59" s="1624"/>
      <c r="S59" s="1609"/>
      <c r="T59" s="1610"/>
      <c r="U59" s="1611"/>
      <c r="V59" s="1611"/>
      <c r="W59" s="1611"/>
      <c r="X59" s="1611"/>
      <c r="Y59" s="1611"/>
      <c r="Z59" s="1611"/>
      <c r="AA59" s="1611"/>
      <c r="AB59" s="1611"/>
      <c r="AC59" s="1611"/>
      <c r="AD59" s="1611"/>
      <c r="AE59" s="1611"/>
      <c r="AF59" s="1611"/>
      <c r="AG59" s="1611"/>
      <c r="AH59" s="1611"/>
      <c r="AI59" s="1611"/>
      <c r="AJ59" s="1611"/>
      <c r="AK59" s="1611"/>
      <c r="AL59" s="1611"/>
      <c r="AM59" s="1611"/>
      <c r="AN59" s="1611"/>
      <c r="AO59" s="1611"/>
      <c r="AP59" s="1611"/>
      <c r="AQ59" s="1611"/>
      <c r="AR59" s="1611"/>
      <c r="AS59" s="1611"/>
      <c r="AT59" s="1611"/>
      <c r="AU59" s="1611"/>
      <c r="AV59" s="1611"/>
      <c r="AW59" s="1611"/>
      <c r="AX59" s="1611"/>
      <c r="AY59" s="1611"/>
      <c r="AZ59" s="1611"/>
      <c r="BA59" s="1611"/>
      <c r="BB59" s="1611"/>
      <c r="BC59" s="1612"/>
      <c r="BE59" s="664"/>
      <c r="BF59" s="664" t="str">
        <f>IF(T59="","",T59)</f>
        <v/>
      </c>
      <c r="BG59" s="664"/>
      <c r="BH59" s="664"/>
    </row>
    <row s="6520" customFormat="1" customHeight="1" ht="0">
      <c r="A60" s="1565" t="s">
        <v>246</v>
      </c>
      <c r="B60" s="1565" t="s">
        <v>247</v>
      </c>
      <c r="C60" s="1565" t="s">
        <v>248</v>
      </c>
      <c r="D60" s="1536"/>
      <c r="E60" s="2352"/>
      <c r="F60" s="2352"/>
      <c r="G60" s="2351"/>
      <c r="H60" s="1536"/>
      <c r="I60" s="1536"/>
      <c r="J60" s="1536"/>
      <c r="K60" s="1536"/>
      <c r="L60" s="1688"/>
      <c r="M60" s="1537"/>
      <c r="N60" s="1537"/>
      <c r="P60" s="1538"/>
      <c r="Q60" s="1539"/>
      <c r="R60" s="1538"/>
      <c r="S60" s="1544"/>
      <c r="T60" s="1547"/>
      <c r="U60" s="1546"/>
      <c r="V60" s="1546"/>
      <c r="W60" s="1546"/>
      <c r="X60" s="1546"/>
      <c r="Y60" s="1546"/>
      <c r="Z60" s="1546"/>
      <c r="AA60" s="1546"/>
      <c r="AB60" s="1546"/>
      <c r="AC60" s="1546"/>
      <c r="AD60" s="1546"/>
      <c r="AE60" s="1546"/>
      <c r="AF60" s="1546"/>
      <c r="AG60" s="1546"/>
      <c r="AH60" s="1546"/>
      <c r="AI60" s="1546"/>
      <c r="AJ60" s="1546"/>
      <c r="AK60" s="1546"/>
      <c r="AL60" s="1546"/>
      <c r="AM60" s="1546"/>
      <c r="AN60" s="1546"/>
      <c r="AO60" s="1546"/>
      <c r="AP60" s="1546"/>
      <c r="AQ60" s="1546"/>
      <c r="AR60" s="1546"/>
      <c r="AS60" s="1546"/>
      <c r="AT60" s="1546"/>
      <c r="AU60" s="1546"/>
      <c r="AV60" s="1546"/>
      <c r="AW60" s="1546"/>
      <c r="AX60" s="1546"/>
      <c r="AY60" s="1546"/>
      <c r="AZ60" s="1546"/>
      <c r="BA60" s="1546"/>
      <c r="BB60" s="1546"/>
      <c r="BC60" s="1546"/>
      <c r="BE60" s="956"/>
      <c r="BF60" s="956" t="str">
        <f>IF(T60="","",T60)</f>
        <v/>
      </c>
      <c r="BG60" s="956"/>
      <c r="BH60" s="956"/>
    </row>
    <row s="6520" customFormat="1" customHeight="1" ht="0">
      <c r="A61" s="1565" t="s">
        <v>246</v>
      </c>
      <c r="B61" s="1565" t="s">
        <v>247</v>
      </c>
      <c r="C61" s="1536"/>
      <c r="D61" s="1536"/>
      <c r="E61" s="2352"/>
      <c r="F61" s="2351"/>
      <c r="G61" s="1536"/>
      <c r="H61" s="1536"/>
      <c r="I61" s="1536"/>
      <c r="J61" s="1536"/>
      <c r="K61" s="1536"/>
      <c r="L61" s="1688"/>
      <c r="M61" s="1543"/>
      <c r="N61" s="1543"/>
      <c r="P61" s="1538"/>
      <c r="Q61" s="1539"/>
      <c r="R61" s="1538"/>
      <c r="S61" s="1544"/>
      <c r="T61" s="1547" t="s">
        <v>1445</v>
      </c>
      <c r="U61" s="1546"/>
      <c r="V61" s="1546"/>
      <c r="W61" s="1546"/>
      <c r="X61" s="1546"/>
      <c r="Y61" s="1546"/>
      <c r="Z61" s="1546"/>
      <c r="AA61" s="1546"/>
      <c r="AB61" s="1546"/>
      <c r="AC61" s="1546"/>
      <c r="AD61" s="1546"/>
      <c r="AE61" s="1546"/>
      <c r="AF61" s="1546"/>
      <c r="AG61" s="1546"/>
      <c r="AH61" s="1546"/>
      <c r="AI61" s="1546"/>
      <c r="AJ61" s="1546"/>
      <c r="AK61" s="1546"/>
      <c r="AL61" s="1546"/>
      <c r="AM61" s="1546"/>
      <c r="AN61" s="1546"/>
      <c r="AO61" s="1546"/>
      <c r="AP61" s="1546"/>
      <c r="AQ61" s="1546"/>
      <c r="AR61" s="1546"/>
      <c r="AS61" s="1546"/>
      <c r="AT61" s="1546"/>
      <c r="AU61" s="1546"/>
      <c r="AV61" s="1546"/>
      <c r="AW61" s="1546"/>
      <c r="AX61" s="1546"/>
      <c r="AY61" s="1546"/>
      <c r="AZ61" s="1546"/>
      <c r="BA61" s="1546"/>
      <c r="BB61" s="1546"/>
      <c r="BC61" s="1546"/>
      <c r="BE61" s="956"/>
      <c r="BF61" s="956" t="str">
        <f>IF(T61="","",T61)</f>
        <v>Добавить централизованную систему для дифференциации</v>
      </c>
      <c r="BG61" s="956"/>
      <c r="BH61" s="956"/>
    </row>
    <row s="6608" customFormat="1" customHeight="1" ht="0">
      <c r="A62" s="1565" t="s">
        <v>246</v>
      </c>
      <c r="B62" s="1565"/>
      <c r="C62" s="1565"/>
      <c r="D62" s="1565"/>
      <c r="E62" s="2351"/>
      <c r="F62" s="1565"/>
      <c r="G62" s="1565"/>
      <c r="H62" s="1565"/>
      <c r="I62" s="1565"/>
      <c r="J62" s="1565"/>
      <c r="K62" s="1565"/>
      <c r="L62" s="1568"/>
      <c r="M62" s="1543"/>
      <c r="N62" s="1543"/>
      <c r="O62" s="682"/>
      <c r="P62" s="537"/>
      <c r="Q62" s="1566"/>
      <c r="R62" s="537"/>
      <c r="S62" s="1544"/>
      <c r="T62" s="1547" t="s">
        <v>1446</v>
      </c>
      <c r="U62" s="1546"/>
      <c r="V62" s="1546"/>
      <c r="W62" s="1546"/>
      <c r="X62" s="1546"/>
      <c r="Y62" s="1546"/>
      <c r="Z62" s="1546"/>
      <c r="AA62" s="1546"/>
      <c r="AB62" s="1546"/>
      <c r="AC62" s="1546"/>
      <c r="AD62" s="1546"/>
      <c r="AE62" s="1546"/>
      <c r="AF62" s="1546"/>
      <c r="AG62" s="1546"/>
      <c r="AH62" s="1546"/>
      <c r="AI62" s="1546"/>
      <c r="AJ62" s="1546"/>
      <c r="AK62" s="1546"/>
      <c r="AL62" s="1546"/>
      <c r="AM62" s="1546"/>
      <c r="AN62" s="1546"/>
      <c r="AO62" s="1546"/>
      <c r="AP62" s="1546"/>
      <c r="AQ62" s="1546"/>
      <c r="AR62" s="1546"/>
      <c r="AS62" s="1546"/>
      <c r="AT62" s="1546"/>
      <c r="AU62" s="1546"/>
      <c r="AV62" s="1546"/>
      <c r="AW62" s="1546"/>
      <c r="AX62" s="1546"/>
      <c r="AY62" s="1546"/>
      <c r="AZ62" s="1546"/>
      <c r="BA62" s="1546"/>
      <c r="BB62" s="1546"/>
      <c r="BC62" s="1546"/>
      <c r="BE62" s="664"/>
      <c r="BF62" s="664" t="str">
        <f>IF(T62="","",T62)</f>
        <v>Добавить территорию для дифференциации</v>
      </c>
      <c r="BG62" s="664"/>
      <c r="BH62" s="664"/>
    </row>
    <row s="6520" customFormat="1" customHeight="1" ht="0">
      <c r="A63" s="1536"/>
      <c r="B63" s="1536"/>
      <c r="C63" s="1536"/>
      <c r="D63" s="1536"/>
      <c r="E63" s="1565"/>
      <c r="F63" s="1536"/>
      <c r="G63" s="1536"/>
      <c r="H63" s="1536"/>
      <c r="I63" s="1536"/>
      <c r="J63" s="1536"/>
      <c r="K63" s="1536"/>
      <c r="L63" s="1688"/>
      <c r="M63" s="1543"/>
      <c r="N63" s="1543"/>
      <c r="P63" s="1538"/>
      <c r="Q63" s="1539"/>
      <c r="R63" s="1538"/>
      <c r="S63" s="1544"/>
      <c r="T63" s="1547" t="s">
        <v>1447</v>
      </c>
      <c r="U63" s="1546"/>
      <c r="V63" s="1546"/>
      <c r="W63" s="1546"/>
      <c r="X63" s="1546"/>
      <c r="Y63" s="1546"/>
      <c r="Z63" s="1546"/>
      <c r="AA63" s="1546"/>
      <c r="AB63" s="1546"/>
      <c r="AC63" s="1546"/>
      <c r="AD63" s="1546"/>
      <c r="AE63" s="1546"/>
      <c r="AF63" s="1546"/>
      <c r="AG63" s="1546"/>
      <c r="AH63" s="1546"/>
      <c r="AI63" s="1546"/>
      <c r="AJ63" s="1546"/>
      <c r="AK63" s="1546"/>
      <c r="AL63" s="1546"/>
      <c r="AM63" s="1546"/>
      <c r="AN63" s="1546"/>
      <c r="AO63" s="1546"/>
      <c r="AP63" s="1546"/>
      <c r="AQ63" s="1546"/>
      <c r="AR63" s="1546"/>
      <c r="AS63" s="1546"/>
      <c r="AT63" s="1546"/>
      <c r="AU63" s="1546"/>
      <c r="AV63" s="1546"/>
      <c r="AW63" s="1546"/>
      <c r="AX63" s="1546"/>
      <c r="AY63" s="1546"/>
      <c r="AZ63" s="1546"/>
      <c r="BA63" s="1546"/>
      <c r="BB63" s="1546"/>
      <c r="BC63" s="1546"/>
      <c r="BE63" s="956"/>
      <c r="BF63" s="956" t="str">
        <f>IF(T63="","",T63)</f>
        <v>Добавить наименование тарифа</v>
      </c>
      <c r="BG63" s="956"/>
      <c r="BH63" s="956"/>
    </row>
    <row customHeight="1" ht="11.25" hidden="1">
      <c r="M64" s="1348"/>
      <c r="N64" s="1348"/>
      <c r="O64" s="701"/>
      <c r="P64" s="1348"/>
      <c r="Q64" s="1348"/>
      <c r="R64" s="1343"/>
      <c r="S64" s="1343"/>
      <c r="BD64" s="1343"/>
      <c r="BE64" s="1343"/>
      <c r="BF64" s="1343"/>
      <c r="BG64" s="1343"/>
      <c r="BH64" s="1343"/>
    </row>
    <row customHeight="1" ht="18.75" hidden="1">
      <c r="O65" s="701"/>
      <c r="S65" s="1460" t="s">
        <v>1517</v>
      </c>
      <c r="T65" s="2379" t="s">
        <v>1720</v>
      </c>
      <c r="U65" s="2379"/>
      <c r="V65" s="2379"/>
      <c r="W65" s="2379"/>
      <c r="X65" s="2379"/>
      <c r="Y65" s="2379"/>
      <c r="Z65" s="2379"/>
      <c r="AA65" s="2379"/>
      <c r="AB65" s="2379"/>
      <c r="AC65" s="2379"/>
      <c r="AD65" s="2379"/>
      <c r="AE65" s="2379"/>
      <c r="AF65" s="2379"/>
      <c r="AG65" s="2379"/>
      <c r="AH65" s="2379"/>
      <c r="AI65" s="2379"/>
      <c r="AJ65" s="2379"/>
      <c r="AK65" s="2379"/>
      <c r="AL65" s="2379"/>
      <c r="AM65" s="2379"/>
      <c r="AN65" s="2379"/>
      <c r="AO65" s="2379"/>
      <c r="AP65" s="2379"/>
      <c r="AQ65" s="2379"/>
      <c r="AR65" s="2379"/>
      <c r="AS65" s="2379"/>
      <c r="AT65" s="2379"/>
      <c r="AU65" s="2379"/>
      <c r="AV65" s="2379"/>
      <c r="AW65" s="2379"/>
      <c r="AX65" s="2379"/>
      <c r="AY65" s="2379"/>
      <c r="AZ65" s="2379"/>
      <c r="BA65" s="2379"/>
      <c r="BB65" s="2379"/>
      <c r="BC65" s="2379"/>
    </row>
    <row customHeight="1" ht="14.25" hidden="1">
      <c r="O66" s="701"/>
      <c r="T66" s="1673"/>
      <c r="U66" s="1673"/>
      <c r="V66" s="1673"/>
      <c r="W66" s="1673"/>
      <c r="X66" s="1673"/>
      <c r="Y66" s="1673"/>
      <c r="Z66" s="1673"/>
      <c r="AA66" s="1673"/>
      <c r="AB66" s="1673"/>
      <c r="AC66" s="1673"/>
      <c r="AD66" s="1673"/>
      <c r="AE66" s="1673"/>
      <c r="AF66" s="1673"/>
      <c r="AG66" s="1673"/>
      <c r="AH66" s="1673"/>
      <c r="AI66" s="1673"/>
      <c r="AJ66" s="1673"/>
      <c r="AK66" s="1673"/>
      <c r="AL66" s="1673"/>
      <c r="AM66" s="1673"/>
      <c r="AN66" s="1673"/>
      <c r="AO66" s="1673"/>
      <c r="AP66" s="1673"/>
      <c r="AQ66" s="1673"/>
      <c r="AR66" s="1673"/>
      <c r="AS66" s="1673"/>
      <c r="AT66" s="1673"/>
      <c r="AU66" s="1673"/>
      <c r="AV66" s="1673"/>
      <c r="AW66" s="1673"/>
      <c r="AX66" s="1673"/>
      <c r="AY66" s="1673"/>
      <c r="AZ66" s="1673"/>
      <c r="BA66" s="1673"/>
      <c r="BB66" s="1673"/>
      <c r="BC66" s="1673"/>
    </row>
    <row customHeight="1" ht="18.75" hidden="1">
      <c r="O67" s="701"/>
      <c r="S67" s="1460" t="s">
        <v>1517</v>
      </c>
      <c r="T67" s="2379" t="s">
        <v>1684</v>
      </c>
      <c r="U67" s="2379"/>
      <c r="V67" s="2379"/>
      <c r="W67" s="2379"/>
      <c r="X67" s="2379"/>
      <c r="Y67" s="2379"/>
      <c r="Z67" s="2379"/>
      <c r="AA67" s="2379"/>
      <c r="AB67" s="2379"/>
      <c r="AC67" s="2379"/>
      <c r="AD67" s="2379"/>
      <c r="AE67" s="2379"/>
      <c r="AF67" s="2379"/>
      <c r="AG67" s="2379"/>
      <c r="AH67" s="2379"/>
      <c r="AI67" s="2379"/>
      <c r="AJ67" s="2379"/>
      <c r="AK67" s="2379"/>
      <c r="AL67" s="2379"/>
      <c r="AM67" s="2379"/>
      <c r="AN67" s="2379"/>
      <c r="AO67" s="2379"/>
      <c r="AP67" s="2379"/>
      <c r="AQ67" s="2379"/>
      <c r="AR67" s="2379"/>
      <c r="AS67" s="2379"/>
      <c r="AT67" s="2379"/>
      <c r="AU67" s="2379"/>
      <c r="AV67" s="2379"/>
      <c r="AW67" s="2379"/>
      <c r="AX67" s="2379"/>
      <c r="AY67" s="2379"/>
      <c r="AZ67" s="2379"/>
      <c r="BA67" s="2379"/>
      <c r="BB67" s="2379"/>
      <c r="BC67" s="2379"/>
    </row>
    <row customHeight="1" ht="14.25">
      <c r="O68" s="701"/>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81C7B6-4A49-452B-8B06-F0369D35DB26}"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7184" width="10.7109375" hidden="1" customWidth="1"/>
    <col min="2" max="2" style="6539" width="16.8515625" hidden="1" customWidth="1"/>
    <col min="3" max="3" style="7085" width="5.57421875" hidden="1" customWidth="1"/>
    <col min="4" max="4" style="7185" width="3.7109375" customWidth="1"/>
    <col min="5" max="5" style="6130" width="7.7109375" customWidth="1"/>
    <col min="6" max="6" style="6130" width="54.57421875" customWidth="1"/>
    <col min="7" max="7" style="6130" width="10.421875" customWidth="1"/>
    <col min="8" max="8" style="6130" width="40.7109375" hidden="1" customWidth="1"/>
    <col min="9" max="9" style="6130" width="40.7109375" customWidth="1"/>
    <col min="10" max="10" style="6130" width="102.8515625" customWidth="1"/>
    <col min="11" max="11" style="6539" width="9.7109375" customWidth="1"/>
    <col min="12" max="12" style="7085" width="5.28125" customWidth="1"/>
    <col min="13" max="13" style="7085" width="3.7109375" customWidth="1"/>
    <col min="14" max="17" style="6539" width="3.7109375" customWidth="1"/>
    <col min="18" max="18" style="7085" width="10.57421875" customWidth="1"/>
    <col min="19" max="19" style="6539" width="34.7109375" customWidth="1"/>
    <col min="20" max="20" style="6539" width="9.421875" customWidth="1"/>
    <col min="21" max="21" style="7186" width="9.140625"/>
    <col min="22" max="26" style="6539" width="9.140625"/>
    <col min="27" max="31" style="7102" width="9.140625"/>
  </cols>
  <sheetData>
    <row customHeight="1" ht="11.25" hidden="1"/>
    <row customHeight="1" ht="23.25" hidden="1">
      <c r="B2" s="2452"/>
      <c r="C2" s="1355" t="s">
        <v>1721</v>
      </c>
      <c r="D2" s="1878"/>
      <c r="E2" s="710">
        <f>B2</f>
        <v>0</v>
      </c>
      <c r="F2" s="711"/>
      <c r="G2" s="1886" t="s">
        <v>1440</v>
      </c>
      <c r="H2" s="1886" t="s">
        <v>1440</v>
      </c>
      <c r="I2" s="1886" t="s">
        <v>1440</v>
      </c>
      <c r="J2" s="426" t="s">
        <v>1722</v>
      </c>
      <c r="K2" s="707"/>
    </row>
    <row s="7085" customFormat="1" customHeight="1" ht="0.75" hidden="1">
      <c r="B3" s="2452"/>
      <c r="C3" s="1355"/>
      <c r="D3" s="712"/>
      <c r="E3" s="713"/>
      <c r="F3" s="714" t="s">
        <v>1723</v>
      </c>
      <c r="G3" s="715"/>
      <c r="H3" s="715">
        <f>H4*H5+H7</f>
        <v>0</v>
      </c>
      <c r="I3" s="715">
        <f>I4*I5+I6</f>
        <v>0</v>
      </c>
      <c r="J3" s="716"/>
    </row>
    <row customHeight="1" ht="23.25" hidden="1">
      <c r="B4" s="2452"/>
      <c r="C4" s="1355"/>
      <c r="D4" s="1878"/>
      <c r="E4" s="710" t="str">
        <f>B2&amp;".1"</f>
        <v>.1</v>
      </c>
      <c r="F4" s="717" t="s">
        <v>1724</v>
      </c>
      <c r="G4" s="718"/>
      <c r="H4" s="705"/>
      <c r="I4" s="705"/>
      <c r="J4" s="426" t="s">
        <v>1725</v>
      </c>
      <c r="K4" s="707"/>
    </row>
    <row customHeight="1" ht="18.75" hidden="1">
      <c r="B5" s="2452"/>
      <c r="C5" s="1355"/>
      <c r="D5" s="1878"/>
      <c r="E5" s="710" t="str">
        <f>B2&amp;".2"</f>
        <v>.2</v>
      </c>
      <c r="F5" s="717" t="s">
        <v>1726</v>
      </c>
      <c r="G5" s="1886" t="s">
        <v>1727</v>
      </c>
      <c r="H5" s="705"/>
      <c r="I5" s="705"/>
      <c r="J5" s="426"/>
      <c r="K5" s="707"/>
    </row>
    <row customHeight="1" ht="18.75" hidden="1">
      <c r="B6" s="2452"/>
      <c r="C6" s="1355"/>
      <c r="D6" s="1878"/>
      <c r="E6" s="710" t="str">
        <f>B2&amp;".3"</f>
        <v>.3</v>
      </c>
      <c r="F6" s="717" t="s">
        <v>1728</v>
      </c>
      <c r="G6" s="1886" t="s">
        <v>1727</v>
      </c>
      <c r="H6" s="705"/>
      <c r="I6" s="705"/>
      <c r="J6" s="426"/>
      <c r="K6" s="707"/>
    </row>
    <row customHeight="1" ht="18.75" hidden="1">
      <c r="B7" s="2452"/>
      <c r="C7" s="1355"/>
      <c r="D7" s="1878"/>
      <c r="E7" s="710" t="str">
        <f>B2&amp;".4"</f>
        <v>.4</v>
      </c>
      <c r="F7" s="717" t="s">
        <v>1729</v>
      </c>
      <c r="G7" s="1886" t="s">
        <v>1440</v>
      </c>
      <c r="H7" s="719"/>
      <c r="I7" s="719"/>
      <c r="J7" s="426"/>
      <c r="K7" s="707"/>
    </row>
    <row s="6539" customFormat="1" customHeight="1" ht="11.25" hidden="1">
      <c r="A8" s="1170"/>
      <c r="C8" s="1876"/>
      <c r="D8" s="701"/>
      <c r="H8" s="1348">
        <v>4</v>
      </c>
      <c r="I8" s="1348">
        <v>4</v>
      </c>
      <c r="L8" s="1876"/>
      <c r="M8" s="1876"/>
      <c r="R8" s="1876"/>
    </row>
    <row s="6539" customFormat="1" customHeight="1" ht="22.5" hidden="1">
      <c r="A9" s="1170"/>
      <c r="C9" s="1876"/>
      <c r="D9" s="702"/>
      <c r="E9" s="1888"/>
      <c r="F9" s="704"/>
      <c r="G9" s="1886" t="s">
        <v>1727</v>
      </c>
      <c r="H9" s="705"/>
      <c r="I9" s="705"/>
      <c r="J9" s="706" t="s">
        <v>1730</v>
      </c>
      <c r="K9" s="707"/>
      <c r="L9" s="1876"/>
      <c r="M9" s="1876"/>
      <c r="R9" s="1876"/>
      <c r="U9" s="708"/>
      <c r="AA9" s="1872"/>
      <c r="AB9" s="1872"/>
      <c r="AC9" s="1872"/>
      <c r="AD9" s="1872"/>
      <c r="AE9" s="1872"/>
    </row>
    <row customHeight="1" ht="11.25" hidden="1"/>
    <row customHeight="1" ht="18.75" hidden="1">
      <c r="D11" s="1878"/>
      <c r="E11" s="710"/>
      <c r="F11" s="704"/>
      <c r="G11" s="1886" t="s">
        <v>808</v>
      </c>
      <c r="H11" s="705"/>
      <c r="I11" s="705"/>
      <c r="J11" s="426" t="s">
        <v>1731</v>
      </c>
      <c r="K11" s="707"/>
    </row>
    <row customHeight="1" ht="11.25" hidden="1"/>
    <row customHeight="1" ht="22.5" hidden="1">
      <c r="D13" s="1878"/>
      <c r="E13" s="710"/>
      <c r="F13" s="704"/>
      <c r="G13" s="1152" t="s">
        <v>1626</v>
      </c>
      <c r="H13" s="709"/>
      <c r="I13" s="709"/>
      <c r="J13" s="910" t="s">
        <v>1732</v>
      </c>
      <c r="K13" s="707"/>
    </row>
    <row customHeight="1" ht="11.25" hidden="1"/>
    <row customHeight="1" ht="22.5" hidden="1">
      <c r="D15" s="1878"/>
      <c r="E15" s="710"/>
      <c r="F15" s="704"/>
      <c r="G15" s="1886" t="s">
        <v>1733</v>
      </c>
      <c r="H15" s="709"/>
      <c r="I15" s="709"/>
      <c r="J15" s="426" t="s">
        <v>1734</v>
      </c>
      <c r="K15" s="707"/>
    </row>
    <row customHeight="1" ht="11.25" hidden="1"/>
    <row customHeight="1" ht="22.5" hidden="1">
      <c r="D17" s="1878"/>
      <c r="E17" s="710"/>
      <c r="F17" s="704"/>
      <c r="G17" s="1886" t="s">
        <v>1735</v>
      </c>
      <c r="H17" s="709"/>
      <c r="I17" s="709"/>
      <c r="J17" s="426" t="s">
        <v>1736</v>
      </c>
      <c r="K17" s="707"/>
    </row>
    <row customHeight="1" ht="11.25" hidden="1"/>
    <row s="7102" customFormat="1" customHeight="1" ht="11.25" hidden="1">
      <c r="A19" s="1170"/>
      <c r="B19" s="1348"/>
      <c r="C19" s="1876"/>
      <c r="D19" s="512"/>
      <c r="J19" s="1872">
        <v>4</v>
      </c>
      <c r="K19" s="1348"/>
      <c r="L19" s="1876"/>
      <c r="M19" s="1876"/>
      <c r="N19" s="1348"/>
      <c r="O19" s="1348"/>
      <c r="P19" s="1348"/>
      <c r="Q19" s="1348"/>
      <c r="R19" s="1876"/>
      <c r="S19" s="1348"/>
      <c r="T19" s="1348"/>
      <c r="U19" s="708"/>
      <c r="V19" s="1348"/>
      <c r="W19" s="1348"/>
      <c r="X19" s="1348"/>
      <c r="Y19" s="1348"/>
      <c r="Z19" s="1348"/>
    </row>
    <row r="21" customHeight="1" ht="24">
      <c r="E21" s="2328"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21" s="2329"/>
      <c r="G21" s="2329"/>
      <c r="H21" s="2329"/>
      <c r="I21" s="2330"/>
      <c r="J21" s="720"/>
    </row>
    <row customHeight="1" ht="24">
      <c r="E22" s="233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22" s="2332"/>
      <c r="G22" s="2332"/>
      <c r="H22" s="2332"/>
      <c r="I22" s="2333"/>
    </row>
    <row customHeight="1" ht="11.25">
      <c r="E23" s="1323"/>
      <c r="F23" s="1323"/>
      <c r="G23" s="1323"/>
      <c r="H23" s="1323"/>
      <c r="I23" s="1323"/>
    </row>
    <row s="7085" customFormat="1" customHeight="1" ht="0.75">
      <c r="A24" s="1355"/>
      <c r="D24" s="1882"/>
      <c r="H24" s="1065"/>
      <c r="I24" s="1065" t="s">
        <v>125</v>
      </c>
    </row>
    <row customHeight="1" ht="11.25">
      <c r="E25" s="875"/>
      <c r="F25" s="2472" t="s">
        <v>114</v>
      </c>
      <c r="G25" s="2473"/>
      <c r="H25" s="1892" t="str">
        <f>IF(H24="","",INDEX(DIFFERENTIATION_UNMERGE_VD,MATCH(H24,DIFFERENTIATION_ID_DIFF,0)))</f>
        <v/>
      </c>
      <c r="I25" s="1892" t="str">
        <f>IF(I24="","",INDEX(DIFFERENTIATION_UNMERGE_VD,MATCH(I24,DIFFERENTIATION_ID_DIFF,0)))</f>
        <v>Водоотведение</v>
      </c>
      <c r="J25" s="2204"/>
    </row>
    <row customHeight="1" ht="11.25">
      <c r="E26" s="875"/>
      <c r="F26" s="2472" t="s">
        <v>1428</v>
      </c>
      <c r="G26" s="2473"/>
      <c r="H26" s="1892" t="str">
        <f>IF(H24="","",INDEX(DIFFERENTIATION_UNMERGE_AREA,MATCH(H24,DIFFERENTIATION_ID_DIFF,0)))</f>
        <v/>
      </c>
      <c r="I26" s="1892" t="str">
        <f>IF(I24="","",INDEX(DIFFERENTIATION_UNMERGE_AREA,MATCH(I24,DIFFERENTIATION_ID_DIFF,0)))</f>
        <v>Краснодарский край (тариф на водоотведение)  </v>
      </c>
      <c r="J26" s="2204"/>
    </row>
    <row customHeight="1" ht="11.25">
      <c r="E27" s="875"/>
      <c r="F27" s="2472" t="s">
        <v>1429</v>
      </c>
      <c r="G27" s="2473"/>
      <c r="H27" s="1892" t="str">
        <f>IF(H24="","",INDEX(DIFFERENTIATION_UNMERGE_SYSTEM,MATCH(H24,DIFFERENTIATION_ID_DIFF,0)))</f>
        <v/>
      </c>
      <c r="I27" s="1892" t="str">
        <f>IF(I24="","",INDEX(DIFFERENTIATION_UNMERGE_SYSTEM,MATCH(I24,DIFFERENTIATION_ID_DIFF,0)))</f>
        <v>без дифференциации</v>
      </c>
      <c r="J27" s="2204"/>
    </row>
    <row customHeight="1" ht="11.25">
      <c r="E28" s="2474" t="s">
        <v>300</v>
      </c>
      <c r="F28" s="2475"/>
      <c r="G28" s="2475"/>
      <c r="H28" s="1885"/>
      <c r="I28" s="1885"/>
      <c r="J28" s="2204"/>
    </row>
    <row customHeight="1" ht="22.5">
      <c r="E29" s="1886" t="s">
        <v>87</v>
      </c>
      <c r="F29" s="1893" t="s">
        <v>302</v>
      </c>
      <c r="G29" s="1893" t="s">
        <v>1607</v>
      </c>
      <c r="H29" s="1893" t="s">
        <v>303</v>
      </c>
      <c r="I29" s="1893" t="s">
        <v>303</v>
      </c>
      <c r="J29" s="2204"/>
    </row>
    <row customHeight="1" ht="18.75">
      <c r="D30" s="1878"/>
      <c r="E30" s="710">
        <f>FHD_NUM_P_1</f>
        <v>1</v>
      </c>
      <c r="F30" s="871" t="str">
        <f>FHD_P_1</f>
        <v>Выручка от регулируемых видов деятельности в сфере водоотведения</v>
      </c>
      <c r="G30" s="1886" t="s">
        <v>1727</v>
      </c>
      <c r="H30" s="721"/>
      <c r="I30" s="721"/>
      <c r="J30" s="426" t="str">
        <f>FHD_NOTE_P_1</f>
        <v>Указывается выручка с распределением по видам деятельности.</v>
      </c>
      <c r="K30" s="707"/>
    </row>
    <row customHeight="1" ht="11.25">
      <c r="D31" s="1878"/>
      <c r="E31" s="710">
        <f>FHD_NUM_P_2</f>
        <v>2</v>
      </c>
      <c r="F31" s="871" t="str">
        <f>FHD_P_2</f>
        <v>Себестоимость производимых товаров (оказываемых услуг) по регулируемым видам деятельности в сфере водоотведения, включая:</v>
      </c>
      <c r="G31" s="1886" t="s">
        <v>1727</v>
      </c>
      <c r="H31" s="722">
        <f>SUMIF($K33:$K71,$K31,H33:H71)</f>
        <v>0</v>
      </c>
      <c r="I31" s="722">
        <f>SUMIF($K33:$K71,$K31,I33:I71)</f>
        <v>0</v>
      </c>
      <c r="J31" s="426" t="str">
        <f>FHD_NOTE_P_2</f>
        <v>Указывается суммарная себестоимость производимых товаров.</v>
      </c>
      <c r="K31" s="1876" t="s">
        <v>1737</v>
      </c>
    </row>
    <row customHeight="1" ht="11.25">
      <c r="D32" s="1878"/>
      <c r="E32" s="710" t="str">
        <f>FHD_NUM_P_3</f>
        <v>2.1</v>
      </c>
      <c r="F32" s="1137" t="str">
        <f>FHD_P_3</f>
        <v>Расходы на оплату услуг по приему, транспортировке и очистке сточных вод другими организациями</v>
      </c>
      <c r="G32" s="1886" t="s">
        <v>1727</v>
      </c>
      <c r="H32" s="721"/>
      <c r="I32" s="721"/>
      <c r="J32" s="426" t="str">
        <f>FHD_NOTE_P_3</f>
        <v/>
      </c>
      <c r="K32" s="1876" t="str">
        <f>IF((LEN(E32)-LEN(SUBSTITUTE(E32,".","")))/LEN(".")=1,"p","")</f>
        <v>p</v>
      </c>
    </row>
    <row customHeight="1" ht="11.25" hidden="1">
      <c r="A33" s="2518" t="s">
        <v>1738</v>
      </c>
      <c r="D33" s="1878"/>
      <c r="E33" s="710" t="str">
        <f>FHD_NUM_P_4</f>
        <v/>
      </c>
      <c r="F33" s="1137" t="str">
        <f>FHD_P_4</f>
        <v/>
      </c>
      <c r="G33" s="1886" t="s">
        <v>1727</v>
      </c>
      <c r="H33" s="722">
        <f>SUMIF($F34:$F40,$F3,H34:H40)</f>
        <v>0</v>
      </c>
      <c r="I33" s="722">
        <f>SUMIF($F34:$F40,$F3,I34:I40)</f>
        <v>0</v>
      </c>
      <c r="J33" s="426" t="str">
        <f>FHD_NOTE_P_4</f>
        <v/>
      </c>
      <c r="K33" s="1876" t="str">
        <f>IF((LEN(E33)-LEN(SUBSTITUTE(E33,".","")))/LEN(".")=1,"p","")</f>
        <v/>
      </c>
    </row>
    <row s="7114" customFormat="1" customHeight="1" ht="0.75" hidden="1">
      <c r="A34" s="2518"/>
      <c r="B34" s="2519" t="str">
        <f>E33&amp;".0"</f>
        <v>.0</v>
      </c>
      <c r="C34" s="1355"/>
      <c r="D34" s="724"/>
      <c r="E34" s="725"/>
      <c r="F34" s="726"/>
      <c r="G34" s="727"/>
      <c r="H34" s="661"/>
      <c r="I34" s="661"/>
      <c r="J34" s="728"/>
      <c r="K34" s="1876" t="str">
        <f>IF((LEN(E34)-LEN(SUBSTITUTE(E34,".","")))/LEN(".")=1,"p","")</f>
        <v/>
      </c>
      <c r="L34" s="1876"/>
      <c r="M34" s="1876"/>
      <c r="N34" s="1876"/>
      <c r="O34" s="1876"/>
      <c r="P34" s="1876"/>
      <c r="Q34" s="1876"/>
      <c r="R34" s="1876"/>
      <c r="S34" s="1876"/>
      <c r="T34" s="1876"/>
      <c r="U34" s="729"/>
      <c r="V34" s="1876"/>
      <c r="W34" s="1876"/>
      <c r="X34" s="1876"/>
      <c r="Y34" s="1876"/>
      <c r="Z34" s="1876"/>
      <c r="AA34" s="730"/>
      <c r="AB34" s="730"/>
      <c r="AC34" s="730"/>
      <c r="AD34" s="730"/>
      <c r="AE34" s="730"/>
    </row>
    <row s="7114" customFormat="1" customHeight="1" ht="0.75" hidden="1">
      <c r="A35" s="2518"/>
      <c r="B35" s="2519"/>
      <c r="C35" s="1355"/>
      <c r="D35" s="724"/>
      <c r="E35" s="731"/>
      <c r="F35" s="732"/>
      <c r="G35" s="727"/>
      <c r="H35" s="733"/>
      <c r="I35" s="733"/>
      <c r="J35" s="728"/>
      <c r="K35" s="1876" t="str">
        <f>IF((LEN(E35)-LEN(SUBSTITUTE(E35,".","")))/LEN(".")=1,"p","")</f>
        <v/>
      </c>
      <c r="L35" s="1876"/>
      <c r="M35" s="1876"/>
      <c r="N35" s="1876"/>
      <c r="O35" s="1876"/>
      <c r="P35" s="1876"/>
      <c r="Q35" s="1876"/>
      <c r="R35" s="1876"/>
      <c r="S35" s="1876"/>
      <c r="T35" s="1876"/>
      <c r="U35" s="729"/>
      <c r="V35" s="1876"/>
      <c r="W35" s="1876"/>
      <c r="X35" s="1876"/>
      <c r="Y35" s="1876"/>
      <c r="Z35" s="1876"/>
      <c r="AA35" s="730"/>
      <c r="AB35" s="730"/>
      <c r="AC35" s="730"/>
      <c r="AD35" s="730"/>
      <c r="AE35" s="730"/>
    </row>
    <row s="7114" customFormat="1" customHeight="1" ht="0.75" hidden="1">
      <c r="A36" s="2518"/>
      <c r="B36" s="2519"/>
      <c r="C36" s="1355"/>
      <c r="D36" s="724"/>
      <c r="E36" s="731"/>
      <c r="F36" s="732"/>
      <c r="G36" s="727"/>
      <c r="H36" s="733"/>
      <c r="I36" s="733"/>
      <c r="J36" s="728"/>
      <c r="K36" s="1876" t="str">
        <f>IF((LEN(E36)-LEN(SUBSTITUTE(E36,".","")))/LEN(".")=1,"p","")</f>
        <v/>
      </c>
      <c r="L36" s="1876"/>
      <c r="M36" s="1876"/>
      <c r="N36" s="1876"/>
      <c r="O36" s="1876"/>
      <c r="P36" s="1876"/>
      <c r="Q36" s="1876"/>
      <c r="R36" s="1876"/>
      <c r="S36" s="1876"/>
      <c r="T36" s="1876"/>
      <c r="U36" s="729"/>
      <c r="V36" s="1876"/>
      <c r="W36" s="1876"/>
      <c r="X36" s="1876"/>
      <c r="Y36" s="1876"/>
      <c r="Z36" s="1876"/>
      <c r="AA36" s="730"/>
      <c r="AB36" s="730"/>
      <c r="AC36" s="730"/>
      <c r="AD36" s="730"/>
      <c r="AE36" s="730"/>
    </row>
    <row s="7114" customFormat="1" customHeight="1" ht="0.75" hidden="1">
      <c r="A37" s="2518"/>
      <c r="B37" s="2519"/>
      <c r="C37" s="1355"/>
      <c r="D37" s="724"/>
      <c r="E37" s="731"/>
      <c r="F37" s="732"/>
      <c r="G37" s="727"/>
      <c r="H37" s="733"/>
      <c r="I37" s="733"/>
      <c r="J37" s="728"/>
      <c r="K37" s="1876" t="str">
        <f>IF((LEN(E37)-LEN(SUBSTITUTE(E37,".","")))/LEN(".")=1,"p","")</f>
        <v/>
      </c>
      <c r="L37" s="1876"/>
      <c r="M37" s="1876"/>
      <c r="N37" s="1876"/>
      <c r="O37" s="1876"/>
      <c r="P37" s="1876"/>
      <c r="Q37" s="1876"/>
      <c r="R37" s="1876"/>
      <c r="S37" s="1876"/>
      <c r="T37" s="1876"/>
      <c r="U37" s="729"/>
      <c r="V37" s="1876"/>
      <c r="W37" s="1876"/>
      <c r="X37" s="1876"/>
      <c r="Y37" s="1876"/>
      <c r="Z37" s="1876"/>
      <c r="AA37" s="730"/>
      <c r="AB37" s="730"/>
      <c r="AC37" s="730"/>
      <c r="AD37" s="730"/>
      <c r="AE37" s="730"/>
    </row>
    <row s="7114" customFormat="1" customHeight="1" ht="0.75" hidden="1">
      <c r="A38" s="2518"/>
      <c r="B38" s="2519"/>
      <c r="C38" s="1355"/>
      <c r="D38" s="724"/>
      <c r="E38" s="731"/>
      <c r="F38" s="732"/>
      <c r="G38" s="727"/>
      <c r="H38" s="733"/>
      <c r="I38" s="733"/>
      <c r="J38" s="728"/>
      <c r="K38" s="1876" t="str">
        <f>IF((LEN(E38)-LEN(SUBSTITUTE(E38,".","")))/LEN(".")=1,"p","")</f>
        <v/>
      </c>
      <c r="L38" s="1876"/>
      <c r="M38" s="1876"/>
      <c r="N38" s="1876"/>
      <c r="O38" s="1876"/>
      <c r="P38" s="1876"/>
      <c r="Q38" s="1876"/>
      <c r="R38" s="1876"/>
      <c r="S38" s="1876"/>
      <c r="T38" s="1876"/>
      <c r="U38" s="729"/>
      <c r="V38" s="1876"/>
      <c r="W38" s="1876"/>
      <c r="X38" s="1876"/>
      <c r="Y38" s="1876"/>
      <c r="Z38" s="1876"/>
      <c r="AA38" s="730"/>
      <c r="AB38" s="730"/>
      <c r="AC38" s="730"/>
      <c r="AD38" s="730"/>
      <c r="AE38" s="730"/>
    </row>
    <row s="7114" customFormat="1" customHeight="1" ht="0.75" hidden="1">
      <c r="A39" s="2518"/>
      <c r="B39" s="2519"/>
      <c r="C39" s="1355"/>
      <c r="D39" s="724"/>
      <c r="E39" s="731"/>
      <c r="F39" s="732"/>
      <c r="G39" s="727"/>
      <c r="H39" s="661"/>
      <c r="I39" s="661"/>
      <c r="J39" s="728"/>
      <c r="K39" s="1876" t="str">
        <f>IF((LEN(E39)-LEN(SUBSTITUTE(E39,".","")))/LEN(".")=1,"p","")</f>
        <v/>
      </c>
      <c r="L39" s="1876"/>
      <c r="M39" s="1876"/>
      <c r="N39" s="1876"/>
      <c r="O39" s="1876"/>
      <c r="P39" s="1876"/>
      <c r="Q39" s="1876"/>
      <c r="R39" s="1876"/>
      <c r="S39" s="1876"/>
      <c r="T39" s="1876"/>
      <c r="U39" s="729"/>
      <c r="V39" s="1876"/>
      <c r="W39" s="1876"/>
      <c r="X39" s="1876"/>
      <c r="Y39" s="1876"/>
      <c r="Z39" s="1876"/>
      <c r="AA39" s="730"/>
      <c r="AB39" s="730"/>
      <c r="AC39" s="730"/>
      <c r="AD39" s="730"/>
      <c r="AE39" s="730"/>
    </row>
    <row s="6539" customFormat="1" customHeight="1" ht="15" hidden="1">
      <c r="A40" s="2518"/>
      <c r="C40" s="1876"/>
      <c r="D40" s="1873"/>
      <c r="E40" s="734"/>
      <c r="F40" s="735" t="s">
        <v>1739</v>
      </c>
      <c r="G40" s="736"/>
      <c r="H40" s="737"/>
      <c r="I40" s="737"/>
      <c r="J40" s="438"/>
      <c r="K40" s="1876" t="str">
        <f>IF((LEN(E40)-LEN(SUBSTITUTE(E40,".","")))/LEN(".")=1,"p","")</f>
        <v/>
      </c>
      <c r="L40" s="1876"/>
      <c r="M40" s="1876"/>
      <c r="R40" s="1876"/>
      <c r="U40" s="708"/>
      <c r="AA40" s="1872"/>
      <c r="AB40" s="1872"/>
      <c r="AC40" s="1872"/>
      <c r="AD40" s="1872"/>
      <c r="AE40" s="1872"/>
    </row>
    <row customHeight="1" ht="11.25" hidden="1">
      <c r="A41" s="2518" t="s">
        <v>1740</v>
      </c>
      <c r="D41" s="1878"/>
      <c r="E41" s="710" t="str">
        <f>FHD_NUM_P_5</f>
        <v/>
      </c>
      <c r="F41" s="1137" t="str">
        <f>FHD_P_5</f>
        <v/>
      </c>
      <c r="G41" s="1886" t="s">
        <v>1727</v>
      </c>
      <c r="H41" s="721"/>
      <c r="I41" s="721"/>
      <c r="J41" s="426" t="str">
        <f>FHD_NOTE_P_5</f>
        <v/>
      </c>
      <c r="K41" s="1876" t="str">
        <f>IF((LEN(E41)-LEN(SUBSTITUTE(E41,".","")))/LEN(".")=1,"p","")</f>
        <v/>
      </c>
    </row>
    <row customHeight="1" ht="11.25" hidden="1">
      <c r="A42" s="2518"/>
      <c r="D42" s="1878"/>
      <c r="E42" s="710" t="str">
        <f>FHD_NUM_P_6</f>
        <v/>
      </c>
      <c r="F42" s="1137" t="str">
        <f>FHD_P_6</f>
        <v/>
      </c>
      <c r="G42" s="1886" t="s">
        <v>1727</v>
      </c>
      <c r="H42" s="721"/>
      <c r="I42" s="721"/>
      <c r="J42" s="426" t="str">
        <f>FHD_NOTE_P_6</f>
        <v/>
      </c>
      <c r="K42" s="1876" t="str">
        <f>IF((LEN(E42)-LEN(SUBSTITUTE(E42,".","")))/LEN(".")=1,"p","")</f>
        <v/>
      </c>
    </row>
    <row customHeight="1" ht="11.25" hidden="1">
      <c r="A43" s="2518"/>
      <c r="D43" s="1878"/>
      <c r="E43" s="710" t="str">
        <f>FHD_NUM_P_7</f>
        <v/>
      </c>
      <c r="F43" s="1137" t="str">
        <f>FHD_P_7</f>
        <v/>
      </c>
      <c r="G43" s="1886" t="s">
        <v>1727</v>
      </c>
      <c r="H43" s="721"/>
      <c r="I43" s="721"/>
      <c r="J43" s="426" t="str">
        <f>FHD_NOTE_P_7</f>
        <v/>
      </c>
      <c r="K43" s="1876" t="str">
        <f>IF((LEN(E43)-LEN(SUBSTITUTE(E43,".","")))/LEN(".")=1,"p","")</f>
        <v/>
      </c>
    </row>
    <row customHeight="1" ht="11.25">
      <c r="D44" s="1878"/>
      <c r="E44" s="710" t="str">
        <f>FHD_NUM_P_8</f>
        <v>2.2</v>
      </c>
      <c r="F44" s="1137" t="str">
        <f>FHD_P_8</f>
        <v>Расходы на приобретаемую электрическую энергию (мощность), используемую в технологическом процессе</v>
      </c>
      <c r="G44" s="1886" t="s">
        <v>1727</v>
      </c>
      <c r="H44" s="721"/>
      <c r="I44" s="721"/>
      <c r="J44" s="426" t="str">
        <f>FHD_NOTE_P_8</f>
        <v/>
      </c>
      <c r="K44" s="1876" t="str">
        <f>IF((LEN(E44)-LEN(SUBSTITUTE(E44,".","")))/LEN(".")=1,"p","")</f>
        <v>p</v>
      </c>
    </row>
    <row customHeight="1" ht="11.25">
      <c r="D45" s="1878"/>
      <c r="E45" s="710" t="str">
        <f>FHD_NUM_P_9</f>
        <v>2.2.1</v>
      </c>
      <c r="F45" s="1890" t="str">
        <f>FHD_P_9</f>
        <v>Средневзвешенная стоимость 1 кВт.ч (с учетом мощности)</v>
      </c>
      <c r="G45" s="1886" t="s">
        <v>1624</v>
      </c>
      <c r="H45" s="721"/>
      <c r="I45" s="721"/>
      <c r="J45" s="426" t="str">
        <f>FHD_NOTE_P_9</f>
        <v/>
      </c>
      <c r="K45" s="1876" t="str">
        <f>IF((LEN(E45)-LEN(SUBSTITUTE(E45,".","")))/LEN(".")=1,"p","")</f>
        <v/>
      </c>
    </row>
    <row s="6539" customFormat="1" customHeight="1" ht="11.25">
      <c r="A46" s="1170"/>
      <c r="C46" s="1876"/>
      <c r="D46" s="738"/>
      <c r="E46" s="710" t="str">
        <f>FHD_NUM_P_10</f>
        <v>2.2.2</v>
      </c>
      <c r="F46" s="1890" t="str">
        <f>FHD_P_10</f>
        <v>Объём приобретения электрической энергии</v>
      </c>
      <c r="G46" s="1886" t="s">
        <v>1741</v>
      </c>
      <c r="H46" s="721"/>
      <c r="I46" s="721"/>
      <c r="J46" s="426" t="str">
        <f>FHD_NOTE_P_10</f>
        <v/>
      </c>
      <c r="K46" s="1876" t="str">
        <f>IF((LEN(E46)-LEN(SUBSTITUTE(E46,".","")))/LEN(".")=1,"p","")</f>
        <v/>
      </c>
      <c r="L46" s="1876"/>
      <c r="M46" s="1876"/>
      <c r="R46" s="1876"/>
      <c r="U46" s="708"/>
      <c r="AA46" s="1872"/>
      <c r="AB46" s="1872"/>
      <c r="AC46" s="1872"/>
      <c r="AD46" s="1872"/>
      <c r="AE46" s="1872"/>
    </row>
    <row s="6539" customFormat="1" customHeight="1" ht="11.25" hidden="1">
      <c r="A47" s="1172" t="s">
        <v>1742</v>
      </c>
      <c r="C47" s="1876"/>
      <c r="D47" s="739"/>
      <c r="E47" s="710" t="str">
        <f>FHD_NUM_P_11</f>
        <v/>
      </c>
      <c r="F47" s="1137" t="str">
        <f>FHD_P_11</f>
        <v/>
      </c>
      <c r="G47" s="1886" t="s">
        <v>1727</v>
      </c>
      <c r="H47" s="721"/>
      <c r="I47" s="721"/>
      <c r="J47" s="426" t="str">
        <f>FHD_NOTE_P_11</f>
        <v/>
      </c>
      <c r="K47" s="1876" t="str">
        <f>IF((LEN(E47)-LEN(SUBSTITUTE(E47,".","")))/LEN(".")=1,"p","")</f>
        <v/>
      </c>
      <c r="L47" s="1876"/>
      <c r="M47" s="1876"/>
      <c r="R47" s="1876"/>
      <c r="U47" s="708"/>
      <c r="AA47" s="1872"/>
      <c r="AB47" s="1872"/>
      <c r="AC47" s="1872"/>
      <c r="AD47" s="1872"/>
      <c r="AE47" s="1872"/>
    </row>
    <row s="6539" customFormat="1" customHeight="1" ht="18">
      <c r="A48" s="1172" t="s">
        <v>1743</v>
      </c>
      <c r="C48" s="1876"/>
      <c r="D48" s="1878"/>
      <c r="E48" s="710" t="str">
        <f>FHD_NUM_P_12</f>
        <v>2.3</v>
      </c>
      <c r="F48" s="1137" t="str">
        <f>FHD_P_12</f>
        <v>Расходы на химические реагенты, используемые в технологическом процессе</v>
      </c>
      <c r="G48" s="1886" t="s">
        <v>1727</v>
      </c>
      <c r="H48" s="741"/>
      <c r="I48" s="741"/>
      <c r="J48" s="426" t="str">
        <f>FHD_NOTE_P_12</f>
        <v/>
      </c>
      <c r="K48" s="1876" t="str">
        <f>IF((LEN(E48)-LEN(SUBSTITUTE(E48,".","")))/LEN(".")=1,"p","")</f>
        <v>p</v>
      </c>
      <c r="L48" s="1876"/>
      <c r="M48" s="1876"/>
      <c r="R48" s="1876"/>
      <c r="U48" s="708"/>
      <c r="AA48" s="1872"/>
      <c r="AB48" s="1872"/>
      <c r="AC48" s="1872"/>
      <c r="AD48" s="1872"/>
      <c r="AE48" s="1872"/>
    </row>
    <row s="7133" customFormat="1" customHeight="1" ht="11.25">
      <c r="A49" s="1171"/>
      <c r="C49" s="895"/>
      <c r="D49" s="837"/>
      <c r="E49" s="710" t="str">
        <f>FHD_NUM_P_13</f>
        <v>2.4</v>
      </c>
      <c r="F49" s="113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6" t="s">
        <v>1727</v>
      </c>
      <c r="H49" s="721"/>
      <c r="I49" s="721"/>
      <c r="J49" s="426" t="str">
        <f>FHD_NOTE_P_13</f>
        <v>Указывается общая сумма расходов на оплату труда и отчислений на социальные нужды основного производственного персонала.</v>
      </c>
      <c r="K49" s="1876" t="str">
        <f>IF((LEN(E49)-LEN(SUBSTITUTE(E49,".","")))/LEN(".")=1,"p","")</f>
        <v>p</v>
      </c>
      <c r="L49" s="895"/>
      <c r="M49" s="895"/>
      <c r="R49" s="895"/>
      <c r="U49" s="896"/>
      <c r="AA49" s="897"/>
      <c r="AB49" s="897"/>
      <c r="AC49" s="897"/>
      <c r="AD49" s="897"/>
      <c r="AE49" s="897"/>
    </row>
    <row s="7133" customFormat="1" customHeight="1" ht="11.25">
      <c r="A50" s="1171"/>
      <c r="C50" s="895"/>
      <c r="D50" s="837"/>
      <c r="E50" s="710" t="str">
        <f>FHD_NUM_P_14</f>
        <v>2.4.1</v>
      </c>
      <c r="F50" s="1890" t="str">
        <f>FHD_P_14</f>
        <v>Расходы на оплату труда основного производственного персонала</v>
      </c>
      <c r="G50" s="1886" t="s">
        <v>1727</v>
      </c>
      <c r="H50" s="721"/>
      <c r="I50" s="721"/>
      <c r="J50" s="426" t="str">
        <f>FHD_NOTE_P_14</f>
        <v/>
      </c>
      <c r="K50" s="1876" t="str">
        <f>IF((LEN(E50)-LEN(SUBSTITUTE(E50,".","")))/LEN(".")=1,"p","")</f>
        <v/>
      </c>
      <c r="L50" s="895"/>
      <c r="M50" s="895"/>
      <c r="R50" s="895"/>
      <c r="U50" s="896"/>
      <c r="AA50" s="897"/>
      <c r="AB50" s="897"/>
      <c r="AC50" s="897"/>
      <c r="AD50" s="897"/>
      <c r="AE50" s="897"/>
    </row>
    <row s="7133" customFormat="1" customHeight="1" ht="11.25">
      <c r="A51" s="1171"/>
      <c r="C51" s="895"/>
      <c r="D51" s="837"/>
      <c r="E51" s="710" t="str">
        <f>FHD_NUM_P_15</f>
        <v>2.4.2</v>
      </c>
      <c r="F51" s="1890" t="str">
        <f>FHD_P_15</f>
        <v>Страховые взносы на обязательное социальное страхование, выплачиваемые из фонда оплаты труда основного производственного персонала</v>
      </c>
      <c r="G51" s="1886" t="s">
        <v>1727</v>
      </c>
      <c r="H51" s="721"/>
      <c r="I51" s="721"/>
      <c r="J51" s="426" t="str">
        <f>FHD_NOTE_P_15</f>
        <v/>
      </c>
      <c r="K51" s="1876" t="str">
        <f>IF((LEN(E51)-LEN(SUBSTITUTE(E51,".","")))/LEN(".")=1,"p","")</f>
        <v/>
      </c>
      <c r="L51" s="895"/>
      <c r="M51" s="895"/>
      <c r="R51" s="895"/>
      <c r="U51" s="896"/>
      <c r="AA51" s="897"/>
      <c r="AB51" s="897"/>
      <c r="AC51" s="897"/>
      <c r="AD51" s="897"/>
      <c r="AE51" s="897"/>
    </row>
    <row s="6539" customFormat="1" customHeight="1" ht="11.25">
      <c r="A52" s="1170"/>
      <c r="C52" s="1876"/>
      <c r="D52" s="1878"/>
      <c r="E52" s="710" t="str">
        <f>FHD_NUM_P_16</f>
        <v>2.5</v>
      </c>
      <c r="F52" s="113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886" t="s">
        <v>1727</v>
      </c>
      <c r="H52" s="721"/>
      <c r="I52" s="721"/>
      <c r="J52" s="426" t="str">
        <f>FHD_NOTE_P_16</f>
        <v>Указывается общая сумма расходов на оплату труда и отчислений на социальные нужды административно-управленческого персонала.</v>
      </c>
      <c r="K52" s="1876" t="str">
        <f>IF((LEN(E52)-LEN(SUBSTITUTE(E52,".","")))/LEN(".")=1,"p","")</f>
        <v>p</v>
      </c>
      <c r="L52" s="1876"/>
      <c r="M52" s="1882"/>
      <c r="N52" s="701"/>
      <c r="O52" s="701"/>
      <c r="R52" s="1876"/>
      <c r="U52" s="708"/>
      <c r="AA52" s="1872"/>
      <c r="AB52" s="1872"/>
      <c r="AC52" s="1872"/>
      <c r="AD52" s="1872"/>
      <c r="AE52" s="1872"/>
    </row>
    <row s="6539" customFormat="1" customHeight="1" ht="11.25">
      <c r="A53" s="1170"/>
      <c r="C53" s="1876"/>
      <c r="D53" s="1878"/>
      <c r="E53" s="710" t="str">
        <f>FHD_NUM_P_17</f>
        <v>2.5.1</v>
      </c>
      <c r="F53" s="1890" t="str">
        <f>FHD_P_17</f>
        <v>Расходы на оплату труда административно-управленческого персонала, в том числе:</v>
      </c>
      <c r="G53" s="1886" t="s">
        <v>1727</v>
      </c>
      <c r="H53" s="721"/>
      <c r="I53" s="721"/>
      <c r="J53" s="426" t="str">
        <f>FHD_NOTE_P_17</f>
        <v/>
      </c>
      <c r="K53" s="1876" t="str">
        <f>IF((LEN(E53)-LEN(SUBSTITUTE(E53,".","")))/LEN(".")=1,"p","")</f>
        <v/>
      </c>
      <c r="L53" s="1876"/>
      <c r="M53" s="1882"/>
      <c r="N53" s="701"/>
      <c r="O53" s="701"/>
      <c r="R53" s="1876"/>
      <c r="U53" s="708"/>
      <c r="AA53" s="1872"/>
      <c r="AB53" s="1872"/>
      <c r="AC53" s="1872"/>
      <c r="AD53" s="1872"/>
      <c r="AE53" s="1872"/>
    </row>
    <row s="6539" customFormat="1" customHeight="1" ht="11.25">
      <c r="A54" s="1170"/>
      <c r="C54" s="1876"/>
      <c r="D54" s="1878"/>
      <c r="E54" s="710" t="str">
        <f>FHD_NUM_P_18</f>
        <v>2.5.2</v>
      </c>
      <c r="F54" s="1890"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6" t="s">
        <v>1727</v>
      </c>
      <c r="H54" s="721"/>
      <c r="I54" s="721"/>
      <c r="J54" s="426" t="str">
        <f>FHD_NOTE_P_18</f>
        <v/>
      </c>
      <c r="K54" s="1876" t="str">
        <f>IF((LEN(E54)-LEN(SUBSTITUTE(E54,".","")))/LEN(".")=1,"p","")</f>
        <v/>
      </c>
      <c r="L54" s="1876"/>
      <c r="M54" s="1882"/>
      <c r="N54" s="701"/>
      <c r="O54" s="701"/>
      <c r="R54" s="1876"/>
      <c r="U54" s="708"/>
      <c r="AA54" s="1872"/>
      <c r="AB54" s="1872"/>
      <c r="AC54" s="1872"/>
      <c r="AD54" s="1872"/>
      <c r="AE54" s="1872"/>
    </row>
    <row s="6539" customFormat="1" customHeight="1" ht="11.25">
      <c r="A55" s="1170"/>
      <c r="C55" s="1876"/>
      <c r="D55" s="739"/>
      <c r="E55" s="710" t="str">
        <f>FHD_NUM_P_19</f>
        <v>2.6</v>
      </c>
      <c r="F55" s="1137" t="str">
        <f>FHD_P_19</f>
        <v>Расходы на амортизацию основных средств и нематериальных активов</v>
      </c>
      <c r="G55" s="1886" t="s">
        <v>1727</v>
      </c>
      <c r="H55" s="721"/>
      <c r="I55" s="721"/>
      <c r="J55" s="426" t="str">
        <f>FHD_NOTE_P_19</f>
        <v/>
      </c>
      <c r="K55" s="1876" t="str">
        <f>IF((LEN(E55)-LEN(SUBSTITUTE(E55,".","")))/LEN(".")=1,"p","")</f>
        <v>p</v>
      </c>
      <c r="L55" s="1876"/>
      <c r="M55" s="1876"/>
      <c r="R55" s="1876"/>
      <c r="U55" s="708"/>
      <c r="AA55" s="1872"/>
      <c r="AB55" s="1872"/>
      <c r="AC55" s="1872"/>
      <c r="AD55" s="1872"/>
      <c r="AE55" s="1872"/>
    </row>
    <row s="6539" customFormat="1" customHeight="1" ht="11.25">
      <c r="A56" s="1170"/>
      <c r="C56" s="1876"/>
      <c r="D56" s="739"/>
      <c r="E56" s="710" t="str">
        <f>FHD_NUM_P_20</f>
        <v>2.6.1</v>
      </c>
      <c r="F56" s="1890" t="str">
        <f>FHD_P_20</f>
        <v>Расходы на амортизацию основных средств</v>
      </c>
      <c r="G56" s="1886" t="s">
        <v>1727</v>
      </c>
      <c r="H56" s="721"/>
      <c r="I56" s="721"/>
      <c r="J56" s="426" t="str">
        <f>FHD_NOTE_P_20</f>
        <v/>
      </c>
      <c r="K56" s="1876" t="str">
        <f>IF((LEN(E56)-LEN(SUBSTITUTE(E56,".","")))/LEN(".")=1,"p","")</f>
        <v/>
      </c>
      <c r="L56" s="1876"/>
      <c r="M56" s="1876"/>
      <c r="R56" s="1876"/>
      <c r="U56" s="708"/>
      <c r="AA56" s="1872"/>
      <c r="AB56" s="1872"/>
      <c r="AC56" s="1872"/>
      <c r="AD56" s="1872"/>
      <c r="AE56" s="1872"/>
    </row>
    <row s="6539" customFormat="1" customHeight="1" ht="11.25">
      <c r="A57" s="1170"/>
      <c r="C57" s="1876"/>
      <c r="D57" s="739"/>
      <c r="E57" s="710" t="str">
        <f>FHD_NUM_P_21</f>
        <v>2.6.2</v>
      </c>
      <c r="F57" s="1890" t="str">
        <f>FHD_P_21</f>
        <v>Расходы на амортизацию нематериальных активов</v>
      </c>
      <c r="G57" s="1886" t="s">
        <v>1727</v>
      </c>
      <c r="H57" s="721"/>
      <c r="I57" s="721"/>
      <c r="J57" s="426" t="str">
        <f>FHD_NOTE_P_21</f>
        <v/>
      </c>
      <c r="K57" s="1876" t="str">
        <f>IF((LEN(E57)-LEN(SUBSTITUTE(E57,".","")))/LEN(".")=1,"p","")</f>
        <v/>
      </c>
      <c r="L57" s="1876"/>
      <c r="M57" s="1876"/>
      <c r="R57" s="1876"/>
      <c r="U57" s="708"/>
      <c r="AA57" s="1872"/>
      <c r="AB57" s="1872"/>
      <c r="AC57" s="1872"/>
      <c r="AD57" s="1872"/>
      <c r="AE57" s="1872"/>
    </row>
    <row s="6539" customFormat="1" customHeight="1" ht="11.25">
      <c r="A58" s="1170"/>
      <c r="C58" s="1876"/>
      <c r="D58" s="1878"/>
      <c r="E58" s="710" t="str">
        <f>FHD_NUM_P_22</f>
        <v>2.7</v>
      </c>
      <c r="F58" s="1137" t="str">
        <f>FHD_P_22</f>
        <v>Расходы на аренду имущества, используемого для осуществления регулируемых видов деятельности в сфере водоотведения</v>
      </c>
      <c r="G58" s="1886" t="s">
        <v>1727</v>
      </c>
      <c r="H58" s="721"/>
      <c r="I58" s="721"/>
      <c r="J58" s="426" t="str">
        <f>FHD_NOTE_P_22</f>
        <v/>
      </c>
      <c r="K58" s="1876" t="str">
        <f>IF((LEN(E58)-LEN(SUBSTITUTE(E58,".","")))/LEN(".")=1,"p","")</f>
        <v>p</v>
      </c>
      <c r="L58" s="1876"/>
      <c r="M58" s="1876"/>
      <c r="R58" s="1876"/>
      <c r="U58" s="708"/>
      <c r="AA58" s="1872"/>
      <c r="AB58" s="1872"/>
      <c r="AC58" s="1872"/>
      <c r="AD58" s="1872"/>
      <c r="AE58" s="1872"/>
    </row>
    <row s="6539" customFormat="1" customHeight="1" ht="11.25">
      <c r="A59" s="1170"/>
      <c r="C59" s="1876"/>
      <c r="D59" s="739"/>
      <c r="E59" s="710" t="str">
        <f>FHD_NUM_P_23</f>
        <v>2.8</v>
      </c>
      <c r="F59" s="1137" t="str">
        <f>FHD_P_23</f>
        <v>Общепроизводственные расходы, в том числе:</v>
      </c>
      <c r="G59" s="1886" t="s">
        <v>1727</v>
      </c>
      <c r="H59" s="721"/>
      <c r="I59" s="721"/>
      <c r="J59" s="426" t="str">
        <f>FHD_NOTE_P_23</f>
        <v>Указывается общая сумма общепроизводственных расходов.</v>
      </c>
      <c r="K59" s="1876" t="str">
        <f>IF((LEN(E59)-LEN(SUBSTITUTE(E59,".","")))/LEN(".")=1,"p","")</f>
        <v>p</v>
      </c>
      <c r="L59" s="1876"/>
      <c r="M59" s="1876"/>
      <c r="R59" s="1876"/>
      <c r="U59" s="708"/>
      <c r="AA59" s="1872"/>
      <c r="AB59" s="1872"/>
      <c r="AC59" s="1872"/>
      <c r="AD59" s="1872"/>
      <c r="AE59" s="1872"/>
    </row>
    <row s="6539" customFormat="1" customHeight="1" ht="11.25">
      <c r="A60" s="1170"/>
      <c r="C60" s="1876"/>
      <c r="D60" s="739"/>
      <c r="E60" s="710" t="str">
        <f>FHD_NUM_P_24</f>
        <v>2.8.1</v>
      </c>
      <c r="F60" s="1890" t="str">
        <f>FHD_P_24</f>
        <v>Расходы на текущий ремонт</v>
      </c>
      <c r="G60" s="1886" t="s">
        <v>1727</v>
      </c>
      <c r="H60" s="721"/>
      <c r="I60" s="721"/>
      <c r="J60" s="426" t="str">
        <f>FHD_NOTE_P_24</f>
        <v>Указываются расходы на текущий ремонт, отнесенные к общепроизводственным расходам.</v>
      </c>
      <c r="K60" s="1876" t="str">
        <f>IF((LEN(E60)-LEN(SUBSTITUTE(E60,".","")))/LEN(".")=1,"p","")</f>
        <v/>
      </c>
      <c r="L60" s="1876"/>
      <c r="M60" s="1876"/>
      <c r="R60" s="1876"/>
      <c r="U60" s="708"/>
      <c r="AA60" s="1872"/>
      <c r="AB60" s="1872"/>
      <c r="AC60" s="1872"/>
      <c r="AD60" s="1872"/>
      <c r="AE60" s="1872"/>
    </row>
    <row s="6539" customFormat="1" customHeight="1" ht="11.25">
      <c r="A61" s="1170"/>
      <c r="C61" s="1876"/>
      <c r="D61" s="739"/>
      <c r="E61" s="710" t="str">
        <f>FHD_NUM_P_25</f>
        <v>2.8.2</v>
      </c>
      <c r="F61" s="1890" t="str">
        <f>FHD_P_25</f>
        <v>Расходы на капитальный ремонт</v>
      </c>
      <c r="G61" s="1886" t="s">
        <v>1727</v>
      </c>
      <c r="H61" s="721"/>
      <c r="I61" s="721"/>
      <c r="J61" s="426" t="str">
        <f>FHD_NOTE_P_25</f>
        <v>Указываются расходы на капитальный ремонт, отнесенные к общепроизводственным расходам.</v>
      </c>
      <c r="K61" s="1876" t="str">
        <f>IF((LEN(E61)-LEN(SUBSTITUTE(E61,".","")))/LEN(".")=1,"p","")</f>
        <v/>
      </c>
      <c r="L61" s="1876"/>
      <c r="M61" s="1876"/>
      <c r="R61" s="1876"/>
      <c r="U61" s="708"/>
      <c r="AA61" s="1872"/>
      <c r="AB61" s="1872"/>
      <c r="AC61" s="1872"/>
      <c r="AD61" s="1872"/>
      <c r="AE61" s="1872"/>
    </row>
    <row s="6539" customFormat="1" customHeight="1" ht="11.25">
      <c r="A62" s="1170"/>
      <c r="C62" s="1876"/>
      <c r="D62" s="1878"/>
      <c r="E62" s="710" t="str">
        <f>FHD_NUM_P_26</f>
        <v>2.9</v>
      </c>
      <c r="F62" s="1137" t="str">
        <f>FHD_P_26</f>
        <v>Общехозяйственные расходы, в том числе:</v>
      </c>
      <c r="G62" s="1886" t="s">
        <v>1727</v>
      </c>
      <c r="H62" s="721"/>
      <c r="I62" s="721"/>
      <c r="J62" s="426" t="str">
        <f>FHD_NOTE_P_26</f>
        <v>Указывается общая сумма общехозяйственных расходов.</v>
      </c>
      <c r="K62" s="1876" t="str">
        <f>IF((LEN(E62)-LEN(SUBSTITUTE(E62,".","")))/LEN(".")=1,"p","")</f>
        <v>p</v>
      </c>
      <c r="L62" s="1876"/>
      <c r="M62" s="1876"/>
      <c r="R62" s="1876"/>
      <c r="U62" s="708"/>
      <c r="AA62" s="1872"/>
      <c r="AB62" s="1872"/>
      <c r="AC62" s="1872"/>
      <c r="AD62" s="1872"/>
      <c r="AE62" s="1872"/>
    </row>
    <row s="6539" customFormat="1" customHeight="1" ht="11.25">
      <c r="A63" s="1170"/>
      <c r="C63" s="1876"/>
      <c r="D63" s="1878"/>
      <c r="E63" s="710" t="str">
        <f>FHD_NUM_P_27</f>
        <v>2.9.1</v>
      </c>
      <c r="F63" s="1890" t="str">
        <f>FHD_P_27</f>
        <v>Расходы на текущий ремонт</v>
      </c>
      <c r="G63" s="1886" t="s">
        <v>1727</v>
      </c>
      <c r="H63" s="721"/>
      <c r="I63" s="721"/>
      <c r="J63" s="426" t="str">
        <f>FHD_NOTE_P_27</f>
        <v>Указываются расходы на текущий ремонт, отнесенные к общехозяйственным расходам.</v>
      </c>
      <c r="K63" s="1876" t="str">
        <f>IF((LEN(E63)-LEN(SUBSTITUTE(E63,".","")))/LEN(".")=1,"p","")</f>
        <v/>
      </c>
      <c r="L63" s="1876"/>
      <c r="M63" s="1876"/>
      <c r="R63" s="1876"/>
      <c r="U63" s="708"/>
      <c r="AA63" s="1872"/>
      <c r="AB63" s="1872"/>
      <c r="AC63" s="1872"/>
      <c r="AD63" s="1872"/>
      <c r="AE63" s="1872"/>
    </row>
    <row s="6539" customFormat="1" customHeight="1" ht="11.25">
      <c r="A64" s="1170"/>
      <c r="C64" s="1876"/>
      <c r="D64" s="1878"/>
      <c r="E64" s="710" t="str">
        <f>FHD_NUM_P_28</f>
        <v>2.9.2</v>
      </c>
      <c r="F64" s="1890" t="str">
        <f>FHD_P_28</f>
        <v>Расходы на капитальный ремонт</v>
      </c>
      <c r="G64" s="1886" t="s">
        <v>1727</v>
      </c>
      <c r="H64" s="721"/>
      <c r="I64" s="721"/>
      <c r="J64" s="426" t="str">
        <f>FHD_NOTE_P_28</f>
        <v>Указываются расходы на капитальный ремонт, отнесенные к общехозяйственным расходам.</v>
      </c>
      <c r="K64" s="1876" t="str">
        <f>IF((LEN(E64)-LEN(SUBSTITUTE(E64,".","")))/LEN(".")=1,"p","")</f>
        <v/>
      </c>
      <c r="L64" s="1876"/>
      <c r="M64" s="1876"/>
      <c r="R64" s="1876"/>
      <c r="U64" s="708"/>
      <c r="AA64" s="1872"/>
      <c r="AB64" s="1872"/>
      <c r="AC64" s="1872"/>
      <c r="AD64" s="1872"/>
      <c r="AE64" s="1872"/>
    </row>
    <row s="6539" customFormat="1" customHeight="1" ht="11.25">
      <c r="A65" s="1170"/>
      <c r="C65" s="1876"/>
      <c r="D65" s="1878"/>
      <c r="E65" s="710" t="str">
        <f>FHD_NUM_P_29</f>
        <v>2.10</v>
      </c>
      <c r="F65" s="1137" t="str">
        <f>FHD_P_29</f>
        <v>Расходы на капитальный и текущий ремонт основных средств</v>
      </c>
      <c r="G65" s="1886" t="s">
        <v>1727</v>
      </c>
      <c r="H65" s="721"/>
      <c r="I65" s="721"/>
      <c r="J65" s="426"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876" t="str">
        <f>IF((LEN(E65)-LEN(SUBSTITUTE(E65,".","")))/LEN(".")=1,"p","")</f>
        <v>p</v>
      </c>
      <c r="L65" s="1876"/>
      <c r="M65" s="1876"/>
      <c r="R65" s="1876"/>
      <c r="U65" s="708"/>
      <c r="AA65" s="1872"/>
      <c r="AB65" s="1872"/>
      <c r="AC65" s="1872"/>
      <c r="AD65" s="1872"/>
      <c r="AE65" s="1872"/>
    </row>
    <row s="6539" customFormat="1" customHeight="1" ht="11.25">
      <c r="A66" s="1170"/>
      <c r="C66" s="1876"/>
      <c r="D66" s="1878"/>
      <c r="E66" s="710" t="str">
        <f>FHD_NUM_P_30</f>
        <v>2.10.1</v>
      </c>
      <c r="F66" s="1890"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6" t="s">
        <v>306</v>
      </c>
      <c r="H66" s="1889" t="s">
        <v>1433</v>
      </c>
      <c r="I66" s="1889" t="s">
        <v>1433</v>
      </c>
      <c r="J66" s="426" t="str">
        <f>FHD_NOTE_P_30</f>
        <v/>
      </c>
      <c r="K66" s="1876" t="str">
        <f>IF((LEN(E66)-LEN(SUBSTITUTE(E66,".","")))/LEN(".")=1,"p","")</f>
        <v/>
      </c>
      <c r="L66" s="1876">
        <f>_xlfn.IFERROR(MATCH("есть",B_FHD_FLAG_INDEX_1,0),0)</f>
        <v>0</v>
      </c>
      <c r="M66" s="1876"/>
      <c r="R66" s="1876"/>
      <c r="U66" s="708"/>
      <c r="AA66" s="1872"/>
      <c r="AB66" s="1872"/>
      <c r="AC66" s="1872"/>
      <c r="AD66" s="1872"/>
      <c r="AE66" s="1872"/>
    </row>
    <row s="6539" customFormat="1" customHeight="1" ht="11.25">
      <c r="A67" s="2518" t="s">
        <v>1744</v>
      </c>
      <c r="C67" s="1876"/>
      <c r="D67" s="1878"/>
      <c r="E67" s="710" t="str">
        <f>FHD_NUM_P_31</f>
        <v>2.11</v>
      </c>
      <c r="F67" s="113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886" t="s">
        <v>1727</v>
      </c>
      <c r="H67" s="721"/>
      <c r="I67" s="721"/>
      <c r="J67" s="426"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876" t="str">
        <f>IF((LEN(E67)-LEN(SUBSTITUTE(E67,".","")))/LEN(".")=1,"p","")</f>
        <v>p</v>
      </c>
      <c r="L67" s="1876"/>
      <c r="M67" s="1876"/>
      <c r="R67" s="1876"/>
      <c r="U67" s="708"/>
      <c r="AA67" s="1872"/>
      <c r="AB67" s="1872"/>
      <c r="AC67" s="1872"/>
      <c r="AD67" s="1872"/>
      <c r="AE67" s="1872"/>
    </row>
    <row s="6539" customFormat="1" customHeight="1" ht="11.25">
      <c r="A68" s="2518"/>
      <c r="C68" s="1876"/>
      <c r="D68" s="1878"/>
      <c r="E68" s="710" t="str">
        <f>FHD_NUM_P_32</f>
        <v>2.11.1</v>
      </c>
      <c r="F68" s="1890"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886" t="s">
        <v>306</v>
      </c>
      <c r="H68" s="1889" t="s">
        <v>1433</v>
      </c>
      <c r="I68" s="1889" t="s">
        <v>1433</v>
      </c>
      <c r="J68" s="426" t="str">
        <f>FHD_NOTE_P_32</f>
        <v/>
      </c>
      <c r="K68" s="1876" t="str">
        <f>IF((LEN(E68)-LEN(SUBSTITUTE(E68,".","")))/LEN(".")=1,"p","")</f>
        <v/>
      </c>
      <c r="L68" s="1876">
        <f>_xlfn.IFERROR(MATCH("есть",B_FHD_FLAG_INDEX_2,0),0)</f>
        <v>0</v>
      </c>
      <c r="M68" s="1876"/>
      <c r="R68" s="1876"/>
      <c r="U68" s="708"/>
      <c r="AA68" s="1872"/>
      <c r="AB68" s="1872"/>
      <c r="AC68" s="1872"/>
      <c r="AD68" s="1872"/>
      <c r="AE68" s="1872"/>
    </row>
    <row s="6539" customFormat="1" customHeight="1" ht="11.25">
      <c r="A69" s="1170"/>
      <c r="C69" s="1876"/>
      <c r="D69" s="1878"/>
      <c r="E69" s="710" t="str">
        <f>FHD_NUM_P_33</f>
        <v>2.12</v>
      </c>
      <c r="F69" s="1137"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884" t="s">
        <v>1727</v>
      </c>
      <c r="H69" s="743">
        <f>SUM(H70:H71)</f>
        <v>0</v>
      </c>
      <c r="I69" s="743">
        <f>SUM(I70:I71)</f>
        <v>0</v>
      </c>
      <c r="J69" s="426"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876" t="str">
        <f>IF((LEN(E69)-LEN(SUBSTITUTE(E69,".","")))/LEN(".")=1,"p","")</f>
        <v>p</v>
      </c>
      <c r="L69" s="1876"/>
      <c r="M69" s="1876"/>
      <c r="R69" s="1876"/>
      <c r="U69" s="708"/>
      <c r="AA69" s="1872"/>
      <c r="AB69" s="1872"/>
      <c r="AC69" s="1872"/>
      <c r="AD69" s="1872"/>
      <c r="AE69" s="1872"/>
    </row>
    <row s="7085" customFormat="1" customHeight="1" ht="0.75">
      <c r="A70" s="1355"/>
      <c r="D70" s="712"/>
      <c r="E70" s="969" t="str">
        <f>E69&amp;".0"</f>
        <v>2.12.0</v>
      </c>
      <c r="F70" s="1174"/>
      <c r="G70" s="715"/>
      <c r="H70" s="1175"/>
      <c r="I70" s="1175"/>
      <c r="J70" s="1176"/>
      <c r="K70" s="1876" t="str">
        <f>IF((LEN(E70)-LEN(SUBSTITUTE(E70,".","")))/LEN(".")=1,"p","")</f>
        <v/>
      </c>
    </row>
    <row s="6539" customFormat="1" customHeight="1" ht="14.25">
      <c r="A71" s="1170"/>
      <c r="C71" s="1876"/>
      <c r="D71" s="1873"/>
      <c r="E71" s="734"/>
      <c r="F71" s="735" t="s">
        <v>1745</v>
      </c>
      <c r="G71" s="736"/>
      <c r="H71" s="737"/>
      <c r="I71" s="737"/>
      <c r="J71" s="438"/>
      <c r="K71" s="1876"/>
      <c r="L71" s="1876"/>
      <c r="M71" s="1876"/>
      <c r="R71" s="1876"/>
      <c r="U71" s="708"/>
      <c r="AA71" s="1872"/>
      <c r="AB71" s="1872"/>
      <c r="AC71" s="1872"/>
      <c r="AD71" s="1872"/>
      <c r="AE71" s="1872"/>
    </row>
    <row s="6539" customFormat="1" customHeight="1" ht="18.75" hidden="1">
      <c r="A72" s="1172" t="s">
        <v>1746</v>
      </c>
      <c r="C72" s="1876"/>
      <c r="D72" s="1878"/>
      <c r="E72" s="710" t="str">
        <f>FHD_NUM_P_34</f>
        <v/>
      </c>
      <c r="F72" s="871" t="str">
        <f>FHD_P_34</f>
        <v/>
      </c>
      <c r="G72" s="1886" t="s">
        <v>1727</v>
      </c>
      <c r="H72" s="721"/>
      <c r="I72" s="721"/>
      <c r="J72" s="426" t="str">
        <f>FHD_NOTE_P_34</f>
        <v/>
      </c>
      <c r="K72" s="707"/>
      <c r="L72" s="1876"/>
      <c r="M72" s="1876"/>
      <c r="R72" s="1876"/>
      <c r="U72" s="708"/>
      <c r="AA72" s="1872"/>
      <c r="AB72" s="1872"/>
      <c r="AC72" s="1872"/>
      <c r="AD72" s="1872"/>
      <c r="AE72" s="1872"/>
    </row>
    <row s="6539" customFormat="1" customHeight="1" ht="18.75">
      <c r="A73" s="1170"/>
      <c r="C73" s="1876"/>
      <c r="D73" s="739"/>
      <c r="E73" s="710" t="str">
        <f>FHD_NUM_P_35</f>
        <v>3</v>
      </c>
      <c r="F73" s="871" t="str">
        <f>FHD_P_35</f>
        <v>Чистая прибыль, полученная от регулируемого вида деятельности в сфере водоотведения, в том числе:</v>
      </c>
      <c r="G73" s="1886" t="s">
        <v>1727</v>
      </c>
      <c r="H73" s="721"/>
      <c r="I73" s="721"/>
      <c r="J73" s="426" t="str">
        <f>FHD_NOTE_P_35</f>
        <v>Указывается общая сумма чистой прибыли, полученной от регулируемого вида деятельности.</v>
      </c>
      <c r="K73" s="707"/>
      <c r="L73" s="1876"/>
      <c r="M73" s="1876"/>
      <c r="R73" s="1876"/>
      <c r="U73" s="708"/>
      <c r="AA73" s="1872"/>
      <c r="AB73" s="1872"/>
      <c r="AC73" s="1872"/>
      <c r="AD73" s="1872"/>
      <c r="AE73" s="1872"/>
    </row>
    <row s="6539" customFormat="1" customHeight="1" ht="18.75">
      <c r="A74" s="1170"/>
      <c r="C74" s="1876"/>
      <c r="D74" s="1878"/>
      <c r="E74" s="710" t="str">
        <f>FHD_NUM_P_36</f>
        <v>3.1</v>
      </c>
      <c r="F74" s="113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6" t="s">
        <v>1727</v>
      </c>
      <c r="H74" s="721"/>
      <c r="I74" s="721"/>
      <c r="J74" s="426" t="str">
        <f>FHD_NOTE_P_36</f>
        <v/>
      </c>
      <c r="K74" s="707"/>
      <c r="L74" s="1876"/>
      <c r="M74" s="1876"/>
      <c r="R74" s="1876"/>
      <c r="U74" s="708"/>
      <c r="AA74" s="1872"/>
      <c r="AB74" s="1872"/>
      <c r="AC74" s="1872"/>
      <c r="AD74" s="1872"/>
      <c r="AE74" s="1872"/>
    </row>
    <row s="6539" customFormat="1" customHeight="1" ht="18.75">
      <c r="A75" s="1170"/>
      <c r="C75" s="1876"/>
      <c r="D75" s="1878"/>
      <c r="E75" s="710" t="str">
        <f>FHD_NUM_P_37</f>
        <v>4</v>
      </c>
      <c r="F75" s="871" t="str">
        <f>FHD_P_37</f>
        <v>Изменение стоимости основных фондов, в том числе:</v>
      </c>
      <c r="G75" s="1886" t="s">
        <v>1727</v>
      </c>
      <c r="H75" s="721"/>
      <c r="I75" s="721"/>
      <c r="J75" s="426" t="str">
        <f>FHD_NOTE_P_37</f>
        <v>Указывается общее изменение стоимости основных фондов.</v>
      </c>
      <c r="K75" s="707"/>
      <c r="L75" s="1876"/>
      <c r="M75" s="1876"/>
      <c r="R75" s="1876"/>
      <c r="U75" s="708"/>
      <c r="AA75" s="1872"/>
      <c r="AB75" s="1872"/>
      <c r="AC75" s="1872"/>
      <c r="AD75" s="1872"/>
      <c r="AE75" s="1872"/>
    </row>
    <row s="6539" customFormat="1" customHeight="1" ht="18.75">
      <c r="A76" s="1170"/>
      <c r="C76" s="1876"/>
      <c r="D76" s="1878"/>
      <c r="E76" s="710" t="str">
        <f>FHD_NUM_P_38</f>
        <v>4.1</v>
      </c>
      <c r="F76" s="1137" t="str">
        <f>FHD_P_38</f>
        <v>Изменение стоимости основных фондов за счет их ввода в эксплуатацию (вывода из эксплуатации)</v>
      </c>
      <c r="G76" s="1886" t="s">
        <v>1727</v>
      </c>
      <c r="H76" s="721"/>
      <c r="I76" s="721"/>
      <c r="J76" s="426" t="str">
        <f>FHD_NOTE_P_38</f>
        <v>Указываются общее изменение стоимости основных фондов за счет их ввода в эксплуатацию и вывода из эксплуатации.</v>
      </c>
      <c r="K76" s="707"/>
      <c r="L76" s="1876"/>
      <c r="M76" s="1876"/>
      <c r="R76" s="1876"/>
      <c r="U76" s="708"/>
      <c r="AA76" s="1872"/>
      <c r="AB76" s="1872"/>
      <c r="AC76" s="1872"/>
      <c r="AD76" s="1872"/>
      <c r="AE76" s="1872"/>
    </row>
    <row s="6539" customFormat="1" customHeight="1" ht="18.75">
      <c r="A77" s="1170"/>
      <c r="C77" s="1876"/>
      <c r="D77" s="1878"/>
      <c r="E77" s="710" t="str">
        <f>FHD_NUM_P_39</f>
        <v>4.1.1</v>
      </c>
      <c r="F77" s="1890" t="str">
        <f>FHD_P_39</f>
        <v>Изменение стоимости основных фондов за счет их ввода в эксплуатацию</v>
      </c>
      <c r="G77" s="1886" t="s">
        <v>1727</v>
      </c>
      <c r="H77" s="721"/>
      <c r="I77" s="721"/>
      <c r="J77" s="426" t="str">
        <f>FHD_NOTE_P_39</f>
        <v>Указываются изменение стоимости основных фондов за счет их ввода в эксплуатацию.</v>
      </c>
      <c r="K77" s="707"/>
      <c r="L77" s="1876"/>
      <c r="M77" s="1876"/>
      <c r="R77" s="1876"/>
      <c r="U77" s="708"/>
      <c r="AA77" s="1872"/>
      <c r="AB77" s="1872"/>
      <c r="AC77" s="1872"/>
      <c r="AD77" s="1872"/>
      <c r="AE77" s="1872"/>
    </row>
    <row s="6539" customFormat="1" customHeight="1" ht="18.75">
      <c r="A78" s="1170"/>
      <c r="C78" s="1876"/>
      <c r="D78" s="1878"/>
      <c r="E78" s="710" t="str">
        <f>FHD_NUM_P_40</f>
        <v>4.1.2</v>
      </c>
      <c r="F78" s="1890" t="str">
        <f>FHD_P_40</f>
        <v>Изменение стоимости основных фондов за счет их вывода в эксплуатацию</v>
      </c>
      <c r="G78" s="1886" t="s">
        <v>1727</v>
      </c>
      <c r="H78" s="721"/>
      <c r="I78" s="721"/>
      <c r="J78" s="426" t="str">
        <f>FHD_NOTE_P_40</f>
        <v>Указываются изменение стоимости основных фондов за счет их вывода из эксплуатации.</v>
      </c>
      <c r="K78" s="707"/>
      <c r="L78" s="1876"/>
      <c r="M78" s="1876"/>
      <c r="R78" s="1876"/>
      <c r="U78" s="708"/>
      <c r="AA78" s="1872"/>
      <c r="AB78" s="1872"/>
      <c r="AC78" s="1872"/>
      <c r="AD78" s="1872"/>
      <c r="AE78" s="1872"/>
    </row>
    <row s="6539" customFormat="1" customHeight="1" ht="18.75">
      <c r="A79" s="1170"/>
      <c r="C79" s="1876"/>
      <c r="D79" s="1878"/>
      <c r="E79" s="710" t="str">
        <f>FHD_NUM_P_41</f>
        <v>4.2</v>
      </c>
      <c r="F79" s="1137" t="str">
        <f>FHD_P_41</f>
        <v>Изменение стоимости основных фондов за счет их переоценки</v>
      </c>
      <c r="G79" s="1884" t="s">
        <v>1727</v>
      </c>
      <c r="H79" s="721"/>
      <c r="I79" s="721"/>
      <c r="J79" s="426" t="str">
        <f>FHD_NOTE_P_41</f>
        <v/>
      </c>
      <c r="K79" s="707"/>
      <c r="L79" s="1876"/>
      <c r="M79" s="1876"/>
      <c r="R79" s="1876"/>
      <c r="U79" s="708"/>
      <c r="AA79" s="1872"/>
      <c r="AB79" s="1872"/>
      <c r="AC79" s="1872"/>
      <c r="AD79" s="1872"/>
      <c r="AE79" s="1872"/>
    </row>
    <row s="6539" customFormat="1" customHeight="1" ht="18.75">
      <c r="A80" s="1172" t="s">
        <v>1747</v>
      </c>
      <c r="C80" s="1876"/>
      <c r="D80" s="1878"/>
      <c r="E80" s="710" t="str">
        <f>FHD_NUM_P_42</f>
        <v>5</v>
      </c>
      <c r="F80" s="871" t="str">
        <f>FHD_P_42</f>
        <v>Валовая прибыль (убытки) от продажи товаров и услуг по регулируемым видам деятельности в сфере водоотведения</v>
      </c>
      <c r="G80" s="1886" t="s">
        <v>1727</v>
      </c>
      <c r="H80" s="1159"/>
      <c r="I80" s="721"/>
      <c r="J80" s="426" t="str">
        <f>FHD_NOTE_P_42</f>
        <v/>
      </c>
      <c r="K80" s="707"/>
      <c r="L80" s="1876"/>
      <c r="M80" s="1876"/>
      <c r="R80" s="1876"/>
      <c r="U80" s="708"/>
      <c r="AA80" s="1872"/>
      <c r="AB80" s="1872"/>
      <c r="AC80" s="1872"/>
      <c r="AD80" s="1872"/>
      <c r="AE80" s="1872"/>
    </row>
    <row s="6539" customFormat="1" customHeight="1" ht="18.75">
      <c r="A81" s="1170"/>
      <c r="C81" s="1876"/>
      <c r="D81" s="1878"/>
      <c r="E81" s="710" t="str">
        <f>FHD_NUM_P_43</f>
        <v>6</v>
      </c>
      <c r="F81" s="871" t="str">
        <f>FHD_P_43</f>
        <v>Годовая бухгалтерская (финансовая) отчетность, включая бухгалтерский баланс и приложения к нему</v>
      </c>
      <c r="G81" s="1886" t="s">
        <v>306</v>
      </c>
      <c r="H81" s="1242"/>
      <c r="I81" s="988"/>
      <c r="J81" s="426"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707"/>
      <c r="L81" s="1876"/>
      <c r="M81" s="1876"/>
      <c r="R81" s="1876"/>
      <c r="U81" s="708"/>
      <c r="AA81" s="1872"/>
      <c r="AB81" s="1872"/>
      <c r="AC81" s="1872"/>
      <c r="AD81" s="1872"/>
      <c r="AE81" s="1872"/>
    </row>
    <row s="7146" customFormat="1" customHeight="1" ht="18.75" hidden="1">
      <c r="A82" s="2518" t="s">
        <v>1748</v>
      </c>
      <c r="C82" s="900"/>
      <c r="D82" s="898"/>
      <c r="E82" s="710" t="str">
        <f>FHD_NUM_P_44</f>
        <v/>
      </c>
      <c r="F82" s="871" t="str">
        <f>FHD_P_44</f>
        <v/>
      </c>
      <c r="G82" s="885" t="s">
        <v>1749</v>
      </c>
      <c r="H82" s="1160"/>
      <c r="I82" s="741"/>
      <c r="J82" s="426" t="str">
        <f>FHD_NOTE_P_44</f>
        <v/>
      </c>
      <c r="K82" s="899"/>
      <c r="L82" s="900"/>
      <c r="M82" s="900"/>
      <c r="R82" s="900"/>
      <c r="U82" s="901"/>
      <c r="AA82" s="902"/>
      <c r="AB82" s="902"/>
      <c r="AC82" s="902"/>
      <c r="AD82" s="902"/>
      <c r="AE82" s="902"/>
    </row>
    <row s="7146" customFormat="1" customHeight="1" ht="18.75" hidden="1">
      <c r="A83" s="2518"/>
      <c r="C83" s="900"/>
      <c r="D83" s="898"/>
      <c r="E83" s="710" t="str">
        <f>FHD_NUM_P_45</f>
        <v/>
      </c>
      <c r="F83" s="871" t="str">
        <f>FHD_P_45</f>
        <v/>
      </c>
      <c r="G83" s="885" t="s">
        <v>1749</v>
      </c>
      <c r="H83" s="1160"/>
      <c r="I83" s="741"/>
      <c r="J83" s="426" t="str">
        <f>FHD_NOTE_P_45</f>
        <v/>
      </c>
      <c r="K83" s="899"/>
      <c r="L83" s="900"/>
      <c r="M83" s="900"/>
      <c r="R83" s="900"/>
      <c r="U83" s="901"/>
      <c r="AA83" s="902"/>
      <c r="AB83" s="902"/>
      <c r="AC83" s="902"/>
      <c r="AD83" s="902"/>
      <c r="AE83" s="902"/>
    </row>
    <row s="7146" customFormat="1" customHeight="1" ht="18.75" hidden="1">
      <c r="A84" s="2518"/>
      <c r="C84" s="900"/>
      <c r="D84" s="903"/>
      <c r="E84" s="710" t="str">
        <f>FHD_NUM_P_46</f>
        <v/>
      </c>
      <c r="F84" s="871" t="str">
        <f>FHD_P_46</f>
        <v/>
      </c>
      <c r="G84" s="885" t="s">
        <v>1749</v>
      </c>
      <c r="H84" s="1160"/>
      <c r="I84" s="741"/>
      <c r="J84" s="426" t="str">
        <f>FHD_NOTE_P_46</f>
        <v/>
      </c>
      <c r="K84" s="899"/>
      <c r="L84" s="900"/>
      <c r="M84" s="900"/>
      <c r="R84" s="900"/>
      <c r="U84" s="901"/>
      <c r="AA84" s="902"/>
      <c r="AB84" s="902"/>
      <c r="AC84" s="902"/>
      <c r="AD84" s="902"/>
      <c r="AE84" s="902"/>
    </row>
    <row s="7146" customFormat="1" customHeight="1" ht="18.75" hidden="1">
      <c r="A85" s="2518"/>
      <c r="C85" s="900"/>
      <c r="D85" s="898"/>
      <c r="E85" s="710" t="str">
        <f>FHD_NUM_P_47</f>
        <v/>
      </c>
      <c r="F85" s="871" t="str">
        <f>FHD_P_47</f>
        <v/>
      </c>
      <c r="G85" s="885" t="s">
        <v>1749</v>
      </c>
      <c r="H85" s="1160"/>
      <c r="I85" s="741"/>
      <c r="J85" s="426" t="str">
        <f>FHD_NOTE_P_47</f>
        <v/>
      </c>
      <c r="K85" s="899"/>
      <c r="L85" s="900"/>
      <c r="M85" s="900"/>
      <c r="R85" s="900"/>
      <c r="U85" s="901"/>
      <c r="AA85" s="902"/>
      <c r="AB85" s="902"/>
      <c r="AC85" s="902"/>
      <c r="AD85" s="902"/>
      <c r="AE85" s="902"/>
    </row>
    <row s="7155" customFormat="1" customHeight="1" ht="18.75" hidden="1">
      <c r="A86" s="2518"/>
      <c r="B86" s="1092"/>
      <c r="C86" s="900"/>
      <c r="D86" s="898"/>
      <c r="E86" s="710" t="str">
        <f>FHD_NUM_P_48</f>
        <v/>
      </c>
      <c r="F86" s="871" t="str">
        <f>FHD_P_48</f>
        <v/>
      </c>
      <c r="G86" s="885" t="s">
        <v>1749</v>
      </c>
      <c r="H86" s="1160"/>
      <c r="I86" s="741"/>
      <c r="J86" s="426" t="str">
        <f>FHD_NOTE_P_48</f>
        <v/>
      </c>
      <c r="K86" s="899"/>
      <c r="L86" s="900"/>
      <c r="M86" s="900"/>
      <c r="N86" s="1092"/>
      <c r="O86" s="1092"/>
      <c r="P86" s="1092"/>
      <c r="Q86" s="1092"/>
      <c r="R86" s="900"/>
      <c r="S86" s="1092"/>
      <c r="T86" s="1092"/>
      <c r="U86" s="901"/>
      <c r="V86" s="1092"/>
      <c r="W86" s="1092"/>
      <c r="X86" s="1092"/>
      <c r="Y86" s="1092"/>
      <c r="Z86" s="1092"/>
      <c r="AA86" s="902"/>
      <c r="AB86" s="902"/>
      <c r="AC86" s="902"/>
      <c r="AD86" s="902"/>
      <c r="AE86" s="902"/>
    </row>
    <row s="7155" customFormat="1" customHeight="1" ht="18.75" hidden="1">
      <c r="A87" s="2518"/>
      <c r="B87" s="1092"/>
      <c r="C87" s="900"/>
      <c r="D87" s="898"/>
      <c r="E87" s="710" t="str">
        <f>FHD_NUM_P_49</f>
        <v/>
      </c>
      <c r="F87" s="871" t="str">
        <f>FHD_P_49</f>
        <v/>
      </c>
      <c r="G87" s="885" t="s">
        <v>1749</v>
      </c>
      <c r="H87" s="1161">
        <f>SUM(H88:H89)</f>
        <v>0</v>
      </c>
      <c r="I87" s="914">
        <f>SUM(I88:I89)</f>
        <v>0</v>
      </c>
      <c r="J87" s="426" t="str">
        <f>FHD_NOTE_P_49</f>
        <v/>
      </c>
      <c r="K87" s="899"/>
      <c r="L87" s="900"/>
      <c r="M87" s="900"/>
      <c r="N87" s="1092"/>
      <c r="O87" s="1092"/>
      <c r="P87" s="1092"/>
      <c r="Q87" s="1092"/>
      <c r="R87" s="900"/>
      <c r="S87" s="1092"/>
      <c r="T87" s="1092"/>
      <c r="U87" s="901"/>
      <c r="V87" s="1092"/>
      <c r="W87" s="1092"/>
      <c r="X87" s="1092"/>
      <c r="Y87" s="1092"/>
      <c r="Z87" s="1092"/>
      <c r="AA87" s="902"/>
      <c r="AB87" s="902"/>
      <c r="AC87" s="902"/>
      <c r="AD87" s="902"/>
      <c r="AE87" s="902"/>
    </row>
    <row s="7155" customFormat="1" customHeight="1" ht="18.75" hidden="1">
      <c r="A88" s="2518"/>
      <c r="B88" s="1092"/>
      <c r="C88" s="900"/>
      <c r="D88" s="898"/>
      <c r="E88" s="710" t="str">
        <f>FHD_NUM_P_50</f>
        <v/>
      </c>
      <c r="F88" s="871" t="str">
        <f>FHD_P_50</f>
        <v/>
      </c>
      <c r="G88" s="885" t="s">
        <v>1749</v>
      </c>
      <c r="H88" s="1160"/>
      <c r="I88" s="741"/>
      <c r="J88" s="426" t="str">
        <f>FHD_NOTE_P_50</f>
        <v/>
      </c>
      <c r="K88" s="899"/>
      <c r="L88" s="900"/>
      <c r="M88" s="900"/>
      <c r="N88" s="1092"/>
      <c r="O88" s="1092"/>
      <c r="P88" s="1092"/>
      <c r="Q88" s="1092"/>
      <c r="R88" s="900"/>
      <c r="S88" s="1092"/>
      <c r="T88" s="1092"/>
      <c r="U88" s="901"/>
      <c r="V88" s="1092"/>
      <c r="W88" s="1092"/>
      <c r="X88" s="1092"/>
      <c r="Y88" s="1092"/>
      <c r="Z88" s="1092"/>
      <c r="AA88" s="902"/>
      <c r="AB88" s="902"/>
      <c r="AC88" s="902"/>
      <c r="AD88" s="902"/>
      <c r="AE88" s="902"/>
    </row>
    <row s="7155" customFormat="1" customHeight="1" ht="18.75" hidden="1">
      <c r="A89" s="2518"/>
      <c r="B89" s="1092"/>
      <c r="C89" s="900"/>
      <c r="D89" s="898"/>
      <c r="E89" s="710" t="str">
        <f>FHD_NUM_P_51</f>
        <v/>
      </c>
      <c r="F89" s="871" t="str">
        <f>FHD_P_51</f>
        <v/>
      </c>
      <c r="G89" s="885" t="s">
        <v>1749</v>
      </c>
      <c r="H89" s="1160"/>
      <c r="I89" s="741"/>
      <c r="J89" s="426" t="str">
        <f>FHD_NOTE_P_51</f>
        <v/>
      </c>
      <c r="K89" s="899"/>
      <c r="L89" s="900"/>
      <c r="M89" s="900"/>
      <c r="N89" s="1092"/>
      <c r="O89" s="1092"/>
      <c r="P89" s="1092"/>
      <c r="Q89" s="1092"/>
      <c r="R89" s="900"/>
      <c r="S89" s="1092"/>
      <c r="T89" s="1092"/>
      <c r="U89" s="901"/>
      <c r="V89" s="1092"/>
      <c r="W89" s="1092"/>
      <c r="X89" s="1092"/>
      <c r="Y89" s="1092"/>
      <c r="Z89" s="1092"/>
      <c r="AA89" s="902"/>
      <c r="AB89" s="902"/>
      <c r="AC89" s="902"/>
      <c r="AD89" s="902"/>
      <c r="AE89" s="902"/>
    </row>
    <row s="7155" customFormat="1" customHeight="1" ht="18.75" hidden="1">
      <c r="A90" s="2518"/>
      <c r="B90" s="1092"/>
      <c r="C90" s="900"/>
      <c r="D90" s="898"/>
      <c r="E90" s="710" t="str">
        <f>FHD_NUM_P_52</f>
        <v/>
      </c>
      <c r="F90" s="871" t="str">
        <f>FHD_P_52</f>
        <v/>
      </c>
      <c r="G90" s="885" t="s">
        <v>1626</v>
      </c>
      <c r="H90" s="1159"/>
      <c r="I90" s="721"/>
      <c r="J90" s="426" t="str">
        <f>FHD_NOTE_P_52</f>
        <v/>
      </c>
      <c r="K90" s="899"/>
      <c r="L90" s="900"/>
      <c r="M90" s="900"/>
      <c r="N90" s="1092"/>
      <c r="O90" s="1092"/>
      <c r="P90" s="1092"/>
      <c r="Q90" s="1092"/>
      <c r="R90" s="900"/>
      <c r="S90" s="1092"/>
      <c r="T90" s="1092"/>
      <c r="U90" s="901"/>
      <c r="V90" s="1092"/>
      <c r="W90" s="1092"/>
      <c r="X90" s="1092"/>
      <c r="Y90" s="1092"/>
      <c r="Z90" s="1092"/>
      <c r="AA90" s="902"/>
      <c r="AB90" s="902"/>
      <c r="AC90" s="902"/>
      <c r="AD90" s="902"/>
      <c r="AE90" s="902"/>
    </row>
    <row s="7146" customFormat="1" customHeight="1" ht="18.75" hidden="1">
      <c r="A91" s="2520" t="s">
        <v>1750</v>
      </c>
      <c r="C91" s="900"/>
      <c r="D91" s="898"/>
      <c r="E91" s="710" t="str">
        <f>FHD_NUM_P_53</f>
        <v/>
      </c>
      <c r="F91" s="871" t="str">
        <f>FHD_P_53</f>
        <v/>
      </c>
      <c r="G91" s="885" t="s">
        <v>1749</v>
      </c>
      <c r="H91" s="1160"/>
      <c r="I91" s="741"/>
      <c r="J91" s="426" t="str">
        <f>FHD_NOTE_P_53</f>
        <v/>
      </c>
      <c r="K91" s="899"/>
      <c r="L91" s="900"/>
      <c r="M91" s="900"/>
      <c r="R91" s="900"/>
      <c r="U91" s="901"/>
      <c r="AA91" s="902"/>
      <c r="AB91" s="902"/>
      <c r="AC91" s="902"/>
      <c r="AD91" s="902"/>
      <c r="AE91" s="902"/>
    </row>
    <row s="7146" customFormat="1" customHeight="1" ht="18.75" hidden="1">
      <c r="A92" s="2520"/>
      <c r="C92" s="900"/>
      <c r="D92" s="898"/>
      <c r="E92" s="710" t="str">
        <f>FHD_NUM_P_54</f>
        <v/>
      </c>
      <c r="F92" s="871" t="str">
        <f>FHD_P_54</f>
        <v/>
      </c>
      <c r="G92" s="885" t="s">
        <v>1749</v>
      </c>
      <c r="H92" s="1160"/>
      <c r="I92" s="741"/>
      <c r="J92" s="426" t="str">
        <f>FHD_NOTE_P_54</f>
        <v/>
      </c>
      <c r="K92" s="899"/>
      <c r="L92" s="900"/>
      <c r="M92" s="900"/>
      <c r="R92" s="900"/>
      <c r="U92" s="901"/>
      <c r="AA92" s="902"/>
      <c r="AB92" s="902"/>
      <c r="AC92" s="902"/>
      <c r="AD92" s="902"/>
      <c r="AE92" s="902"/>
    </row>
    <row s="7146" customFormat="1" customHeight="1" ht="18.75" hidden="1">
      <c r="A93" s="2520"/>
      <c r="C93" s="900"/>
      <c r="D93" s="903"/>
      <c r="E93" s="710" t="str">
        <f>FHD_NUM_P_55</f>
        <v/>
      </c>
      <c r="F93" s="871" t="str">
        <f>FHD_P_55</f>
        <v/>
      </c>
      <c r="G93" s="1066"/>
      <c r="H93" s="1160"/>
      <c r="I93" s="741"/>
      <c r="J93" s="426" t="str">
        <f>FHD_NOTE_P_55</f>
        <v/>
      </c>
      <c r="K93" s="899"/>
      <c r="L93" s="900"/>
      <c r="M93" s="900"/>
      <c r="R93" s="900"/>
      <c r="U93" s="901"/>
      <c r="AA93" s="902"/>
      <c r="AB93" s="902"/>
      <c r="AC93" s="902"/>
      <c r="AD93" s="902"/>
      <c r="AE93" s="902"/>
    </row>
    <row s="7146" customFormat="1" customHeight="1" ht="18.75" hidden="1">
      <c r="A94" s="2520"/>
      <c r="C94" s="900"/>
      <c r="D94" s="898"/>
      <c r="E94" s="710" t="str">
        <f>FHD_NUM_P_56</f>
        <v/>
      </c>
      <c r="F94" s="871" t="str">
        <f>FHD_P_56</f>
        <v/>
      </c>
      <c r="G94" s="885" t="s">
        <v>1024</v>
      </c>
      <c r="H94" s="1160"/>
      <c r="I94" s="741"/>
      <c r="J94" s="426" t="str">
        <f>FHD_NOTE_P_56</f>
        <v/>
      </c>
      <c r="K94" s="899"/>
      <c r="L94" s="900"/>
      <c r="M94" s="900"/>
      <c r="R94" s="900"/>
      <c r="U94" s="901"/>
      <c r="AA94" s="902"/>
      <c r="AB94" s="902"/>
      <c r="AC94" s="902"/>
      <c r="AD94" s="902"/>
      <c r="AE94" s="902"/>
    </row>
    <row s="7155" customFormat="1" customHeight="1" ht="18.75" hidden="1">
      <c r="A95" s="2520"/>
      <c r="B95" s="1092"/>
      <c r="C95" s="900"/>
      <c r="D95" s="898"/>
      <c r="E95" s="710" t="str">
        <f>FHD_NUM_P_57</f>
        <v/>
      </c>
      <c r="F95" s="871" t="str">
        <f>FHD_P_57</f>
        <v/>
      </c>
      <c r="G95" s="885" t="s">
        <v>1626</v>
      </c>
      <c r="H95" s="1159"/>
      <c r="I95" s="721"/>
      <c r="J95" s="426" t="str">
        <f>FHD_NOTE_P_57</f>
        <v/>
      </c>
      <c r="K95" s="899"/>
      <c r="L95" s="900"/>
      <c r="M95" s="900"/>
      <c r="N95" s="1092"/>
      <c r="O95" s="1092"/>
      <c r="P95" s="1092"/>
      <c r="Q95" s="1092"/>
      <c r="R95" s="900"/>
      <c r="S95" s="1092"/>
      <c r="T95" s="1092"/>
      <c r="U95" s="901"/>
      <c r="V95" s="1092"/>
      <c r="W95" s="1092"/>
      <c r="X95" s="1092"/>
      <c r="Y95" s="1092"/>
      <c r="Z95" s="1092"/>
      <c r="AA95" s="902"/>
      <c r="AB95" s="902"/>
      <c r="AC95" s="902"/>
      <c r="AD95" s="902"/>
      <c r="AE95" s="902"/>
    </row>
    <row customHeight="1" ht="18.75">
      <c r="A96" s="2518" t="s">
        <v>1751</v>
      </c>
      <c r="D96" s="1878"/>
      <c r="E96" s="710" t="str">
        <f>FHD_NUM_P_58</f>
        <v>7</v>
      </c>
      <c r="F96" s="871" t="str">
        <f>FHD_P_58</f>
        <v>Объём сточных вод, принятых от потребителей</v>
      </c>
      <c r="G96" s="885" t="s">
        <v>1749</v>
      </c>
      <c r="H96" s="1160"/>
      <c r="I96" s="741"/>
      <c r="J96" s="426" t="str">
        <f>FHD_NOTE_P_58</f>
        <v/>
      </c>
      <c r="K96" s="707"/>
    </row>
    <row customHeight="1" ht="18.75">
      <c r="A97" s="2518"/>
      <c r="D97" s="1878"/>
      <c r="E97" s="710" t="str">
        <f>FHD_NUM_P_59</f>
        <v>8</v>
      </c>
      <c r="F97" s="871" t="str">
        <f>FHD_P_59</f>
        <v>Объём сточных вод, принятых от других регулируемых организаций, осуществляющих водоотведение и (или) очистку сточных вод</v>
      </c>
      <c r="G97" s="885" t="s">
        <v>1749</v>
      </c>
      <c r="H97" s="1160"/>
      <c r="I97" s="741"/>
      <c r="J97" s="426" t="str">
        <f>FHD_NOTE_P_59</f>
        <v/>
      </c>
      <c r="K97" s="707"/>
    </row>
    <row customHeight="1" ht="18.75">
      <c r="A98" s="2518"/>
      <c r="D98" s="1878"/>
      <c r="E98" s="710" t="str">
        <f>FHD_NUM_P_60</f>
        <v>9</v>
      </c>
      <c r="F98" s="871" t="str">
        <f>FHD_P_60</f>
        <v>Объём сточных вод, пропущенных через очистные сооружения</v>
      </c>
      <c r="G98" s="885" t="s">
        <v>1749</v>
      </c>
      <c r="H98" s="1160"/>
      <c r="I98" s="741"/>
      <c r="J98" s="426" t="str">
        <f>FHD_NOTE_P_60</f>
        <v/>
      </c>
      <c r="K98" s="707"/>
    </row>
    <row s="6539" customFormat="1" customHeight="1" ht="18.75" hidden="1">
      <c r="A99" s="2518" t="s">
        <v>1752</v>
      </c>
      <c r="C99" s="1876"/>
      <c r="D99" s="1878"/>
      <c r="E99" s="710" t="str">
        <f>FHD_NUM_P_61</f>
        <v/>
      </c>
      <c r="F99" s="871" t="str">
        <f>FHD_P_61</f>
        <v/>
      </c>
      <c r="G99" s="1886" t="s">
        <v>808</v>
      </c>
      <c r="H99" s="1162"/>
      <c r="I99" s="907"/>
      <c r="J99" s="426" t="str">
        <f>FHD_NOTE_P_61</f>
        <v/>
      </c>
      <c r="K99" s="707"/>
      <c r="L99" s="1876"/>
      <c r="M99" s="1876"/>
      <c r="R99" s="1876"/>
      <c r="U99" s="708"/>
      <c r="AA99" s="1872"/>
      <c r="AB99" s="1872"/>
      <c r="AC99" s="1872"/>
      <c r="AD99" s="1872"/>
      <c r="AE99" s="1872"/>
    </row>
    <row s="7085" customFormat="1" customHeight="1" ht="0.75" hidden="1">
      <c r="A100" s="2518"/>
      <c r="D100" s="712"/>
      <c r="E100" s="969" t="str">
        <f>E99&amp;".0"</f>
        <v>.0</v>
      </c>
      <c r="F100" s="1177"/>
      <c r="G100" s="1178"/>
      <c r="H100" s="1175"/>
      <c r="I100" s="1175"/>
      <c r="J100" s="1179"/>
    </row>
    <row customHeight="1" ht="15" hidden="1">
      <c r="A101" s="2518"/>
      <c r="D101" s="1873"/>
      <c r="E101" s="1154"/>
      <c r="F101" s="1155" t="s">
        <v>1564</v>
      </c>
      <c r="G101" s="736"/>
      <c r="H101" s="737"/>
      <c r="I101" s="737"/>
      <c r="J101" s="1187" t="s">
        <v>1753</v>
      </c>
      <c r="K101" s="707"/>
    </row>
    <row s="6539" customFormat="1" customHeight="1" ht="18.75" hidden="1">
      <c r="A102" s="2518"/>
      <c r="C102" s="1876"/>
      <c r="D102" s="1878"/>
      <c r="E102" s="710" t="str">
        <f>FHD_NUM_P_62</f>
        <v/>
      </c>
      <c r="F102" s="871" t="str">
        <f>FHD_P_62</f>
        <v/>
      </c>
      <c r="G102" s="1883" t="s">
        <v>808</v>
      </c>
      <c r="H102" s="721"/>
      <c r="I102" s="721"/>
      <c r="J102" s="426" t="str">
        <f>FHD_NOTE_P_62</f>
        <v/>
      </c>
      <c r="K102" s="707"/>
      <c r="L102" s="1876"/>
      <c r="M102" s="1876"/>
      <c r="R102" s="1876"/>
      <c r="U102" s="708"/>
      <c r="AA102" s="1872"/>
      <c r="AB102" s="1872"/>
      <c r="AC102" s="1872"/>
      <c r="AD102" s="1872"/>
      <c r="AE102" s="1872"/>
    </row>
    <row s="6539" customFormat="1" customHeight="1" ht="18.75" hidden="1">
      <c r="A103" s="2518"/>
      <c r="C103" s="1876"/>
      <c r="D103" s="1878"/>
      <c r="E103" s="710" t="str">
        <f>FHD_NUM_P_63</f>
        <v/>
      </c>
      <c r="F103" s="871" t="str">
        <f>FHD_P_63</f>
        <v/>
      </c>
      <c r="G103" s="1883" t="s">
        <v>1024</v>
      </c>
      <c r="H103" s="741"/>
      <c r="I103" s="741"/>
      <c r="J103" s="426" t="str">
        <f>FHD_NOTE_P_63</f>
        <v/>
      </c>
      <c r="K103" s="707"/>
      <c r="L103" s="1876"/>
      <c r="M103" s="1876"/>
      <c r="R103" s="1876"/>
      <c r="U103" s="708"/>
      <c r="AA103" s="1872"/>
      <c r="AB103" s="1872"/>
      <c r="AC103" s="1872"/>
      <c r="AD103" s="1872"/>
      <c r="AE103" s="1872"/>
    </row>
    <row s="6539" customFormat="1" customHeight="1" ht="18.75" hidden="1">
      <c r="A104" s="2518"/>
      <c r="C104" s="1876" t="s">
        <v>1754</v>
      </c>
      <c r="D104" s="1878"/>
      <c r="E104" s="710" t="str">
        <f>FHD_NUM_P_64</f>
        <v/>
      </c>
      <c r="F104" s="871" t="str">
        <f>FHD_P_64</f>
        <v/>
      </c>
      <c r="G104" s="1883" t="s">
        <v>1024</v>
      </c>
      <c r="H104" s="709"/>
      <c r="I104" s="709"/>
      <c r="J104" s="426" t="str">
        <f>FHD_NOTE_P_64</f>
        <v/>
      </c>
      <c r="K104" s="707"/>
      <c r="L104" s="1876"/>
      <c r="M104" s="1876"/>
      <c r="R104" s="1876"/>
      <c r="U104" s="708"/>
      <c r="AA104" s="1872"/>
      <c r="AB104" s="1872"/>
      <c r="AC104" s="1872"/>
      <c r="AD104" s="1872"/>
      <c r="AE104" s="1872"/>
    </row>
    <row s="6539" customFormat="1" customHeight="1" ht="18.75" hidden="1">
      <c r="A105" s="2518"/>
      <c r="C105" s="1876"/>
      <c r="D105" s="1878"/>
      <c r="E105" s="710" t="str">
        <f>FHD_NUM_P_65</f>
        <v/>
      </c>
      <c r="F105" s="871" t="str">
        <f>FHD_P_65</f>
        <v/>
      </c>
      <c r="G105" s="1883" t="s">
        <v>1024</v>
      </c>
      <c r="H105" s="741"/>
      <c r="I105" s="741"/>
      <c r="J105" s="426" t="str">
        <f>FHD_NOTE_P_65</f>
        <v/>
      </c>
      <c r="K105" s="707"/>
      <c r="L105" s="1876"/>
      <c r="M105" s="1876"/>
      <c r="R105" s="1876"/>
      <c r="U105" s="708"/>
      <c r="AA105" s="1872"/>
      <c r="AB105" s="1872"/>
      <c r="AC105" s="1872"/>
      <c r="AD105" s="1872"/>
      <c r="AE105" s="1872"/>
    </row>
    <row s="6539" customFormat="1" customHeight="1" ht="18.75" hidden="1">
      <c r="A106" s="2518"/>
      <c r="C106" s="1876"/>
      <c r="D106" s="1878"/>
      <c r="E106" s="710" t="str">
        <f>FHD_NUM_P_66</f>
        <v/>
      </c>
      <c r="F106" s="1137" t="str">
        <f>FHD_P_66</f>
        <v/>
      </c>
      <c r="G106" s="1883" t="s">
        <v>1024</v>
      </c>
      <c r="H106" s="741"/>
      <c r="I106" s="741"/>
      <c r="J106" s="426" t="str">
        <f>FHD_NOTE_P_66</f>
        <v/>
      </c>
      <c r="K106" s="707"/>
      <c r="L106" s="1876"/>
      <c r="M106" s="1876"/>
      <c r="R106" s="1876"/>
      <c r="U106" s="708"/>
      <c r="AA106" s="1872"/>
      <c r="AB106" s="1872"/>
      <c r="AC106" s="1872"/>
      <c r="AD106" s="1872"/>
      <c r="AE106" s="1872"/>
    </row>
    <row s="6539" customFormat="1" customHeight="1" ht="18.75" hidden="1">
      <c r="A107" s="2518"/>
      <c r="C107" s="1876"/>
      <c r="D107" s="1878"/>
      <c r="E107" s="710" t="str">
        <f>FHD_NUM_P_67</f>
        <v/>
      </c>
      <c r="F107" s="1890" t="str">
        <f>FHD_P_67</f>
        <v/>
      </c>
      <c r="G107" s="1883" t="s">
        <v>1024</v>
      </c>
      <c r="H107" s="741"/>
      <c r="I107" s="741"/>
      <c r="J107" s="426" t="str">
        <f>FHD_NOTE_P_67</f>
        <v/>
      </c>
      <c r="K107" s="707"/>
      <c r="L107" s="1876"/>
      <c r="M107" s="1876"/>
      <c r="R107" s="1876"/>
      <c r="U107" s="708"/>
      <c r="AA107" s="1872"/>
      <c r="AB107" s="1872"/>
      <c r="AC107" s="1872"/>
      <c r="AD107" s="1872"/>
      <c r="AE107" s="1872"/>
    </row>
    <row s="6539" customFormat="1" customHeight="1" ht="18.75" hidden="1">
      <c r="A108" s="2518"/>
      <c r="C108" s="1876"/>
      <c r="D108" s="1878"/>
      <c r="E108" s="710" t="str">
        <f>FHD_NUM_P_68</f>
        <v/>
      </c>
      <c r="F108" s="1137" t="str">
        <f>FHD_P_68</f>
        <v/>
      </c>
      <c r="G108" s="1883" t="s">
        <v>1024</v>
      </c>
      <c r="H108" s="741"/>
      <c r="I108" s="741"/>
      <c r="J108" s="426" t="str">
        <f>FHD_NOTE_P_68</f>
        <v/>
      </c>
      <c r="K108" s="707"/>
      <c r="L108" s="1876"/>
      <c r="M108" s="1876"/>
      <c r="R108" s="1876"/>
      <c r="U108" s="708"/>
      <c r="AA108" s="1872"/>
      <c r="AB108" s="1872"/>
      <c r="AC108" s="1872"/>
      <c r="AD108" s="1872"/>
      <c r="AE108" s="1872"/>
    </row>
    <row s="6539" customFormat="1" customHeight="1" ht="18.75" hidden="1">
      <c r="A109" s="2518"/>
      <c r="C109" s="1876"/>
      <c r="D109" s="1878"/>
      <c r="E109" s="710" t="str">
        <f>FHD_NUM_P_69</f>
        <v/>
      </c>
      <c r="F109" s="1137" t="str">
        <f>FHD_P_69</f>
        <v/>
      </c>
      <c r="G109" s="1883" t="s">
        <v>1024</v>
      </c>
      <c r="H109" s="741"/>
      <c r="I109" s="741"/>
      <c r="J109" s="426" t="str">
        <f>FHD_NOTE_P_69</f>
        <v/>
      </c>
      <c r="K109" s="707"/>
      <c r="L109" s="1876"/>
      <c r="M109" s="1876"/>
      <c r="R109" s="1876"/>
      <c r="U109" s="708"/>
      <c r="AA109" s="1872"/>
      <c r="AB109" s="1872"/>
      <c r="AC109" s="1872"/>
      <c r="AD109" s="1872"/>
      <c r="AE109" s="1872"/>
    </row>
    <row s="6539" customFormat="1" customHeight="1" ht="22.5" hidden="1">
      <c r="A110" s="2518"/>
      <c r="C110" s="1876"/>
      <c r="D110" s="1878"/>
      <c r="E110" s="710" t="str">
        <f>FHD_NUM_P_70</f>
        <v/>
      </c>
      <c r="F110" s="871" t="str">
        <f>FHD_P_70</f>
        <v/>
      </c>
      <c r="G110" s="1883" t="s">
        <v>1755</v>
      </c>
      <c r="H110" s="721"/>
      <c r="I110" s="721"/>
      <c r="J110" s="426" t="str">
        <f>FHD_NOTE_P_70</f>
        <v/>
      </c>
      <c r="K110" s="707"/>
      <c r="L110" s="1876"/>
      <c r="M110" s="1876"/>
      <c r="R110" s="1876"/>
      <c r="U110" s="708"/>
      <c r="AA110" s="1872"/>
      <c r="AB110" s="1872"/>
      <c r="AC110" s="1872"/>
      <c r="AD110" s="1872"/>
      <c r="AE110" s="1872"/>
    </row>
    <row s="6539" customFormat="1" customHeight="1" ht="22.5" hidden="1">
      <c r="A111" s="2518"/>
      <c r="C111" s="1876"/>
      <c r="D111" s="1878"/>
      <c r="E111" s="710" t="str">
        <f>FHD_NUM_P_71</f>
        <v/>
      </c>
      <c r="F111" s="871" t="str">
        <f>FHD_P_71</f>
        <v/>
      </c>
      <c r="G111" s="1883" t="s">
        <v>1755</v>
      </c>
      <c r="H111" s="721"/>
      <c r="I111" s="721"/>
      <c r="J111" s="426" t="str">
        <f>FHD_NOTE_P_71</f>
        <v/>
      </c>
      <c r="K111" s="707"/>
      <c r="L111" s="1876"/>
      <c r="M111" s="1876"/>
      <c r="R111" s="1876"/>
      <c r="U111" s="708"/>
      <c r="AA111" s="1872"/>
      <c r="AB111" s="1872"/>
      <c r="AC111" s="1872"/>
      <c r="AD111" s="1872"/>
      <c r="AE111" s="1872"/>
    </row>
    <row customHeight="1" ht="18.75">
      <c r="D112" s="1878"/>
      <c r="E112" s="710" t="str">
        <f>FHD_NUM_P_72</f>
        <v>10</v>
      </c>
      <c r="F112" s="871" t="str">
        <f>FHD_P_72</f>
        <v>Среднесписочная численность основного производственного персонала</v>
      </c>
      <c r="G112" s="1152" t="s">
        <v>1756</v>
      </c>
      <c r="H112" s="741"/>
      <c r="I112" s="741"/>
      <c r="J112" s="426" t="str">
        <f>FHD_NOTE_P_72</f>
        <v/>
      </c>
      <c r="K112" s="707"/>
    </row>
    <row customHeight="1" ht="18.75" hidden="1">
      <c r="A113" s="1172" t="s">
        <v>1757</v>
      </c>
      <c r="D113" s="1878"/>
      <c r="E113" s="710" t="str">
        <f>FHD_NUM_P_73</f>
        <v/>
      </c>
      <c r="F113" s="871" t="str">
        <f>FHD_P_73</f>
        <v/>
      </c>
      <c r="G113" s="1153" t="s">
        <v>1756</v>
      </c>
      <c r="H113" s="1151"/>
      <c r="I113" s="1151"/>
      <c r="J113" s="426" t="str">
        <f>FHD_NOTE_P_73</f>
        <v/>
      </c>
      <c r="K113" s="707"/>
    </row>
    <row customHeight="1" ht="33.75" hidden="1">
      <c r="A114" s="1172" t="s">
        <v>1758</v>
      </c>
      <c r="D114" s="1878"/>
      <c r="E114" s="710" t="str">
        <f>FHD_NUM_P_74</f>
        <v/>
      </c>
      <c r="F114" s="871" t="str">
        <f>FHD_P_74</f>
        <v/>
      </c>
      <c r="G114" s="1152" t="s">
        <v>1759</v>
      </c>
      <c r="H114" s="741"/>
      <c r="I114" s="741"/>
      <c r="J114" s="426" t="str">
        <f>FHD_NOTE_P_74</f>
        <v/>
      </c>
      <c r="K114" s="707"/>
    </row>
    <row s="7155" customFormat="1" customHeight="1" ht="18.75" hidden="1">
      <c r="A115" s="2520" t="s">
        <v>1760</v>
      </c>
      <c r="B115" s="1092"/>
      <c r="C115" s="900"/>
      <c r="D115" s="898"/>
      <c r="E115" s="710" t="str">
        <f>FHD_NUM_P_75</f>
        <v/>
      </c>
      <c r="F115" s="871" t="str">
        <f>FHD_P_75</f>
        <v/>
      </c>
      <c r="G115" s="1152" t="s">
        <v>1626</v>
      </c>
      <c r="H115" s="721"/>
      <c r="I115" s="721"/>
      <c r="J115" s="426" t="str">
        <f>FHD_NOTE_P_75</f>
        <v/>
      </c>
      <c r="K115" s="899"/>
      <c r="L115" s="900"/>
      <c r="M115" s="900"/>
      <c r="N115" s="1092"/>
      <c r="O115" s="1092"/>
      <c r="P115" s="1092"/>
      <c r="Q115" s="1092"/>
      <c r="R115" s="900"/>
      <c r="S115" s="1092"/>
      <c r="T115" s="1092"/>
      <c r="U115" s="901"/>
      <c r="V115" s="1092"/>
      <c r="W115" s="1092"/>
      <c r="X115" s="1092"/>
      <c r="Y115" s="1092"/>
      <c r="Z115" s="1092"/>
      <c r="AA115" s="902"/>
      <c r="AB115" s="902"/>
      <c r="AC115" s="902"/>
      <c r="AD115" s="902"/>
      <c r="AE115" s="902"/>
    </row>
    <row s="7155" customFormat="1" customHeight="1" ht="18.75" hidden="1">
      <c r="A116" s="2520"/>
      <c r="B116" s="1092"/>
      <c r="C116" s="900"/>
      <c r="D116" s="898"/>
      <c r="E116" s="710" t="str">
        <f>FHD_NUM_P_76</f>
        <v/>
      </c>
      <c r="F116" s="871" t="str">
        <f>FHD_P_76</f>
        <v/>
      </c>
      <c r="G116" s="1152" t="s">
        <v>1626</v>
      </c>
      <c r="H116" s="721"/>
      <c r="I116" s="721"/>
      <c r="J116" s="426" t="str">
        <f>FHD_NOTE_P_76</f>
        <v/>
      </c>
      <c r="K116" s="899"/>
      <c r="L116" s="900"/>
      <c r="M116" s="900"/>
      <c r="N116" s="1092"/>
      <c r="O116" s="1092"/>
      <c r="P116" s="1092"/>
      <c r="Q116" s="1092"/>
      <c r="R116" s="900"/>
      <c r="S116" s="1092"/>
      <c r="T116" s="1092"/>
      <c r="U116" s="901"/>
      <c r="V116" s="1092"/>
      <c r="W116" s="1092"/>
      <c r="X116" s="1092"/>
      <c r="Y116" s="1092"/>
      <c r="Z116" s="1092"/>
      <c r="AA116" s="902"/>
      <c r="AB116" s="902"/>
      <c r="AC116" s="902"/>
      <c r="AD116" s="902"/>
      <c r="AE116" s="902"/>
    </row>
    <row s="7155" customFormat="1" customHeight="1" ht="18.75" hidden="1">
      <c r="A117" s="2520"/>
      <c r="B117" s="1092"/>
      <c r="C117" s="900"/>
      <c r="D117" s="898"/>
      <c r="E117" s="710" t="str">
        <f>FHD_NUM_P_77</f>
        <v/>
      </c>
      <c r="F117" s="871" t="str">
        <f>FHD_P_77</f>
        <v/>
      </c>
      <c r="G117" s="1152" t="s">
        <v>1626</v>
      </c>
      <c r="H117" s="721"/>
      <c r="I117" s="721"/>
      <c r="J117" s="426" t="str">
        <f>FHD_NOTE_P_77</f>
        <v/>
      </c>
      <c r="K117" s="899"/>
      <c r="L117" s="900"/>
      <c r="M117" s="900"/>
      <c r="N117" s="1092"/>
      <c r="O117" s="1092"/>
      <c r="P117" s="1092"/>
      <c r="Q117" s="1092"/>
      <c r="R117" s="900"/>
      <c r="S117" s="1092"/>
      <c r="T117" s="1092"/>
      <c r="U117" s="901"/>
      <c r="V117" s="1092"/>
      <c r="W117" s="1092"/>
      <c r="X117" s="1092"/>
      <c r="Y117" s="1092"/>
      <c r="Z117" s="1092"/>
      <c r="AA117" s="902"/>
      <c r="AB117" s="902"/>
      <c r="AC117" s="902"/>
      <c r="AD117" s="902"/>
      <c r="AE117" s="902"/>
    </row>
    <row s="7085" customFormat="1" customHeight="1" ht="0.75" hidden="1">
      <c r="A118" s="2520"/>
      <c r="D118" s="712"/>
      <c r="E118" s="969" t="str">
        <f>E117&amp;".0"</f>
        <v>.0</v>
      </c>
      <c r="F118" s="1180"/>
      <c r="G118" s="1891"/>
      <c r="H118" s="1175"/>
      <c r="I118" s="1175"/>
      <c r="J118" s="1179"/>
    </row>
    <row s="7155" customFormat="1" customHeight="1" ht="15" hidden="1">
      <c r="A119" s="2520"/>
      <c r="B119" s="1092"/>
      <c r="C119" s="900"/>
      <c r="D119" s="911"/>
      <c r="E119" s="1156"/>
      <c r="F119" s="1157" t="s">
        <v>1761</v>
      </c>
      <c r="G119" s="912"/>
      <c r="H119" s="913"/>
      <c r="I119" s="913"/>
      <c r="J119" s="1186" t="s">
        <v>1762</v>
      </c>
      <c r="K119" s="899"/>
      <c r="L119" s="900"/>
      <c r="M119" s="900"/>
      <c r="N119" s="1092"/>
      <c r="O119" s="1092"/>
      <c r="P119" s="1092"/>
      <c r="Q119" s="1092"/>
      <c r="R119" s="900"/>
      <c r="S119" s="1092"/>
      <c r="T119" s="1092"/>
      <c r="U119" s="901"/>
      <c r="V119" s="1092"/>
      <c r="W119" s="1092"/>
      <c r="X119" s="1092"/>
      <c r="Y119" s="1092"/>
      <c r="Z119" s="1092"/>
      <c r="AA119" s="902"/>
      <c r="AB119" s="902"/>
      <c r="AC119" s="902"/>
      <c r="AD119" s="902"/>
      <c r="AE119" s="902"/>
    </row>
    <row customHeight="1" ht="22.5" hidden="1">
      <c r="A120" s="2518" t="s">
        <v>1763</v>
      </c>
      <c r="D120" s="1878"/>
      <c r="E120" s="710" t="str">
        <f>FHD_NUM_P_78</f>
        <v/>
      </c>
      <c r="F120" s="871" t="str">
        <f>FHD_P_78</f>
        <v/>
      </c>
      <c r="G120" s="1883" t="s">
        <v>1733</v>
      </c>
      <c r="H120" s="741"/>
      <c r="I120" s="741"/>
      <c r="J120" s="426" t="str">
        <f>FHD_NOTE_P_78</f>
        <v/>
      </c>
      <c r="K120" s="707"/>
    </row>
    <row s="7085" customFormat="1" customHeight="1" ht="0.75" hidden="1">
      <c r="A121" s="2518"/>
      <c r="D121" s="712"/>
      <c r="E121" s="969" t="str">
        <f>E120&amp;".0"</f>
        <v>.0</v>
      </c>
      <c r="F121" s="1180"/>
      <c r="G121" s="1891"/>
      <c r="H121" s="1175"/>
      <c r="I121" s="1175"/>
      <c r="J121" s="1179"/>
    </row>
    <row customHeight="1" ht="15" hidden="1">
      <c r="A122" s="2518"/>
      <c r="D122" s="1873"/>
      <c r="E122" s="734"/>
      <c r="F122" s="744" t="s">
        <v>1564</v>
      </c>
      <c r="G122" s="736"/>
      <c r="H122" s="737"/>
      <c r="I122" s="737"/>
      <c r="J122" s="1187" t="s">
        <v>1764</v>
      </c>
      <c r="K122" s="707"/>
    </row>
    <row customHeight="1" ht="22.5" hidden="1">
      <c r="A123" s="2518"/>
      <c r="D123" s="1878"/>
      <c r="E123" s="710" t="str">
        <f>FHD_NUM_P_79</f>
        <v/>
      </c>
      <c r="F123" s="871" t="str">
        <f>FHD_P_79</f>
        <v/>
      </c>
      <c r="G123" s="1886" t="s">
        <v>1735</v>
      </c>
      <c r="H123" s="741"/>
      <c r="I123" s="741"/>
      <c r="J123" s="426" t="str">
        <f>FHD_NOTE_P_79</f>
        <v/>
      </c>
      <c r="K123" s="707"/>
    </row>
    <row s="7085" customFormat="1" customHeight="1" ht="0.75" hidden="1">
      <c r="A124" s="2518"/>
      <c r="D124" s="712"/>
      <c r="E124" s="969" t="str">
        <f>E123&amp;".0"</f>
        <v>.0</v>
      </c>
      <c r="F124" s="1181"/>
      <c r="G124" s="1891"/>
      <c r="H124" s="1175"/>
      <c r="I124" s="1175"/>
      <c r="J124" s="1179"/>
    </row>
    <row customHeight="1" ht="15" hidden="1">
      <c r="A125" s="2518"/>
      <c r="D125" s="1873"/>
      <c r="E125" s="734"/>
      <c r="F125" s="744" t="s">
        <v>1564</v>
      </c>
      <c r="G125" s="736"/>
      <c r="H125" s="737"/>
      <c r="I125" s="737"/>
      <c r="J125" s="1187" t="s">
        <v>1765</v>
      </c>
      <c r="K125" s="707"/>
    </row>
    <row customHeight="1" ht="22.5" hidden="1">
      <c r="A126" s="2518"/>
      <c r="D126" s="1878"/>
      <c r="E126" s="710" t="str">
        <f>FHD_NUM_P_80</f>
        <v/>
      </c>
      <c r="F126" s="871" t="str">
        <f>FHD_P_80</f>
        <v/>
      </c>
      <c r="G126" s="1886" t="s">
        <v>1766</v>
      </c>
      <c r="H126" s="721"/>
      <c r="I126" s="721"/>
      <c r="J126" s="426" t="str">
        <f>FHD_NOTE_P_80</f>
        <v/>
      </c>
      <c r="K126" s="707"/>
    </row>
    <row customHeight="1" ht="18.75" hidden="1">
      <c r="A127" s="2518"/>
      <c r="D127" s="1878"/>
      <c r="E127" s="710" t="str">
        <f>FHD_NUM_P_81</f>
        <v/>
      </c>
      <c r="F127" s="871" t="str">
        <f>FHD_P_81</f>
        <v/>
      </c>
      <c r="G127" s="1886" t="s">
        <v>1767</v>
      </c>
      <c r="H127" s="721"/>
      <c r="I127" s="721"/>
      <c r="J127" s="426" t="str">
        <f>FHD_NOTE_P_81</f>
        <v/>
      </c>
      <c r="K127" s="707"/>
    </row>
    <row customHeight="1" ht="18.75" hidden="1">
      <c r="A128" s="2518"/>
      <c r="C128" s="1876" t="s">
        <v>1754</v>
      </c>
      <c r="D128" s="1878"/>
      <c r="E128" s="710" t="str">
        <f>FHD_NUM_P_82</f>
        <v/>
      </c>
      <c r="F128" s="871" t="str">
        <f>FHD_P_82</f>
        <v/>
      </c>
      <c r="G128" s="1886" t="s">
        <v>306</v>
      </c>
      <c r="H128" s="563"/>
      <c r="I128" s="563"/>
      <c r="J128" s="426" t="str">
        <f>FHD_NOTE_P_82</f>
        <v/>
      </c>
      <c r="K128" s="707"/>
    </row>
    <row customHeight="1" ht="18.75" hidden="1">
      <c r="A129" s="2518"/>
      <c r="C129" s="1876" t="s">
        <v>1754</v>
      </c>
      <c r="D129" s="1878"/>
      <c r="E129" s="710" t="str">
        <f>FHD_NUM_P_83</f>
        <v/>
      </c>
      <c r="F129" s="1137" t="str">
        <f>FHD_P_83</f>
        <v/>
      </c>
      <c r="G129" s="1886" t="s">
        <v>306</v>
      </c>
      <c r="H129" s="563"/>
      <c r="I129" s="563"/>
      <c r="J129" s="426" t="str">
        <f>FHD_NOTE_P_83</f>
        <v/>
      </c>
      <c r="K129" s="707"/>
    </row>
    <row customHeight="1" ht="18.75" hidden="1">
      <c r="A130" s="2518"/>
      <c r="C130" s="1876" t="s">
        <v>1754</v>
      </c>
      <c r="D130" s="1878"/>
      <c r="E130" s="710" t="str">
        <f>FHD_NUM_P_84</f>
        <v/>
      </c>
      <c r="F130" s="1137" t="str">
        <f>FHD_P_84</f>
        <v/>
      </c>
      <c r="G130" s="1886" t="s">
        <v>306</v>
      </c>
      <c r="H130" s="563"/>
      <c r="I130" s="563"/>
      <c r="J130" s="426" t="str">
        <f>FHD_NOTE_P_84</f>
        <v/>
      </c>
      <c r="K130" s="707"/>
    </row>
    <row customHeight="1" ht="11.25">
      <c r="D131" s="1878"/>
    </row>
    <row customHeight="1" ht="12.75">
      <c r="D132" s="1878"/>
      <c r="E132" s="484"/>
      <c r="F132" s="521"/>
      <c r="G132" s="521"/>
      <c r="H132" s="521"/>
      <c r="I132" s="1887"/>
      <c r="J132" s="745"/>
    </row>
    <row s="7114" customFormat="1" customHeight="1" ht="11.25">
      <c r="A133" s="1170"/>
      <c r="B133" s="1876"/>
      <c r="C133" s="1876"/>
      <c r="D133" s="499"/>
      <c r="F133" s="1880"/>
      <c r="G133" s="1871"/>
      <c r="H133" s="1871"/>
      <c r="I133" s="1871"/>
      <c r="K133" s="1348"/>
      <c r="L133" s="1876"/>
      <c r="M133" s="1876"/>
      <c r="N133" s="1348"/>
      <c r="O133" s="1348"/>
      <c r="P133" s="1348"/>
      <c r="Q133" s="1348"/>
      <c r="R133" s="1876"/>
      <c r="S133" s="1348"/>
      <c r="T133" s="1348"/>
      <c r="U133" s="708"/>
      <c r="V133" s="1348"/>
      <c r="W133" s="1348"/>
      <c r="X133" s="1348"/>
      <c r="Y133" s="1348"/>
      <c r="Z133" s="1348"/>
      <c r="AA133" s="1872"/>
      <c r="AB133" s="730"/>
      <c r="AC133" s="730"/>
      <c r="AD133" s="730"/>
      <c r="AE133" s="730"/>
    </row>
    <row s="7114" customFormat="1" customHeight="1" ht="11.25">
      <c r="A134" s="1170"/>
      <c r="B134" s="1876"/>
      <c r="C134" s="1876"/>
      <c r="D134" s="499"/>
      <c r="K134" s="1348"/>
      <c r="L134" s="1876"/>
      <c r="M134" s="1876"/>
      <c r="N134" s="1348"/>
      <c r="O134" s="1348"/>
      <c r="P134" s="1348"/>
      <c r="Q134" s="1348"/>
      <c r="R134" s="1876"/>
      <c r="S134" s="1348"/>
      <c r="T134" s="1348"/>
      <c r="U134" s="708"/>
      <c r="V134" s="1348"/>
      <c r="W134" s="1348"/>
      <c r="X134" s="1348"/>
      <c r="Y134" s="1348"/>
      <c r="Z134" s="1348"/>
      <c r="AA134" s="1872"/>
      <c r="AB134" s="730"/>
      <c r="AC134" s="730"/>
      <c r="AD134" s="730"/>
      <c r="AE134" s="730"/>
    </row>
    <row s="7114" customFormat="1" customHeight="1" ht="11.25">
      <c r="A135" s="1170"/>
      <c r="B135" s="1876"/>
      <c r="C135" s="1876"/>
      <c r="D135" s="499"/>
      <c r="K135" s="1348"/>
      <c r="L135" s="1876"/>
      <c r="M135" s="1876"/>
      <c r="N135" s="1348"/>
      <c r="O135" s="1348"/>
      <c r="P135" s="1348"/>
      <c r="Q135" s="1348"/>
      <c r="R135" s="1876"/>
      <c r="S135" s="1348"/>
      <c r="T135" s="1348"/>
      <c r="U135" s="708"/>
      <c r="V135" s="1348"/>
      <c r="W135" s="1348"/>
      <c r="X135" s="1348"/>
      <c r="Y135" s="1348"/>
      <c r="Z135" s="1348"/>
      <c r="AA135" s="1872"/>
      <c r="AB135" s="730"/>
      <c r="AC135" s="730"/>
      <c r="AD135" s="730"/>
      <c r="AE135" s="730"/>
    </row>
    <row s="7114" customFormat="1" customHeight="1" ht="11.25">
      <c r="A136" s="1170"/>
      <c r="B136" s="1876"/>
      <c r="C136" s="1876"/>
      <c r="D136" s="499"/>
      <c r="H136" s="730" t="str">
        <f>IF(H30-H31&lt;&gt;H72,"WARNING","")</f>
        <v/>
      </c>
      <c r="I136" s="730" t="str">
        <f>IF(I30-I31&lt;&gt;I72,"WARNING","")</f>
        <v/>
      </c>
      <c r="K136" s="1348"/>
      <c r="L136" s="1876"/>
      <c r="M136" s="1876"/>
      <c r="N136" s="1348"/>
      <c r="O136" s="1348"/>
      <c r="P136" s="1348"/>
      <c r="Q136" s="1348"/>
      <c r="R136" s="1876"/>
      <c r="S136" s="1348"/>
      <c r="T136" s="1348"/>
      <c r="U136" s="708"/>
      <c r="V136" s="1348"/>
      <c r="W136" s="1348"/>
      <c r="X136" s="1348"/>
      <c r="Y136" s="1348"/>
      <c r="Z136" s="1348"/>
      <c r="AA136" s="1872"/>
      <c r="AB136" s="730"/>
      <c r="AC136" s="730"/>
      <c r="AD136" s="730"/>
      <c r="AE136" s="730"/>
    </row>
    <row s="7114" customFormat="1" customHeight="1" ht="11.25">
      <c r="A137" s="1170"/>
      <c r="B137" s="1876"/>
      <c r="C137" s="1876"/>
      <c r="D137" s="499"/>
      <c r="K137" s="1348"/>
      <c r="L137" s="1876"/>
      <c r="M137" s="1876"/>
      <c r="N137" s="1348"/>
      <c r="O137" s="1348"/>
      <c r="P137" s="1348"/>
      <c r="Q137" s="1348"/>
      <c r="R137" s="1876"/>
      <c r="S137" s="1348"/>
      <c r="T137" s="1348"/>
      <c r="U137" s="708"/>
      <c r="V137" s="1348"/>
      <c r="W137" s="1348"/>
      <c r="X137" s="1348"/>
      <c r="Y137" s="1348"/>
      <c r="Z137" s="1348"/>
      <c r="AA137" s="1872"/>
      <c r="AB137" s="730"/>
      <c r="AC137" s="730"/>
      <c r="AD137" s="730"/>
      <c r="AE137" s="730"/>
    </row>
    <row s="7114" customFormat="1" customHeight="1" ht="11.25">
      <c r="A138" s="1170"/>
      <c r="B138" s="1876"/>
      <c r="C138" s="1876"/>
      <c r="D138" s="499"/>
      <c r="K138" s="1348"/>
      <c r="L138" s="1876"/>
      <c r="M138" s="1876"/>
      <c r="N138" s="1348"/>
      <c r="O138" s="1348"/>
      <c r="P138" s="1348"/>
      <c r="Q138" s="1348"/>
      <c r="R138" s="1876"/>
      <c r="S138" s="1348"/>
      <c r="T138" s="1348"/>
      <c r="U138" s="708"/>
      <c r="V138" s="1348"/>
      <c r="W138" s="1348"/>
      <c r="X138" s="1348"/>
      <c r="Y138" s="1348"/>
      <c r="Z138" s="1348"/>
      <c r="AA138" s="1872"/>
      <c r="AB138" s="730"/>
      <c r="AC138" s="730"/>
      <c r="AD138" s="730"/>
      <c r="AE138" s="730"/>
    </row>
    <row s="7114" customFormat="1" customHeight="1" ht="11.25">
      <c r="A139" s="1170"/>
      <c r="B139" s="1876"/>
      <c r="C139" s="1876"/>
      <c r="D139" s="499"/>
      <c r="K139" s="1348"/>
      <c r="L139" s="1876"/>
      <c r="M139" s="1876"/>
      <c r="N139" s="1348"/>
      <c r="O139" s="1348"/>
      <c r="P139" s="1348"/>
      <c r="Q139" s="1348"/>
      <c r="R139" s="1876"/>
      <c r="S139" s="1348"/>
      <c r="T139" s="1348"/>
      <c r="U139" s="708"/>
      <c r="V139" s="1348"/>
      <c r="W139" s="1348"/>
      <c r="X139" s="1348"/>
      <c r="Y139" s="1348"/>
      <c r="Z139" s="1348"/>
      <c r="AA139" s="1872"/>
      <c r="AB139" s="730"/>
      <c r="AC139" s="730"/>
      <c r="AD139" s="730"/>
      <c r="AE139" s="730"/>
    </row>
    <row s="7114" customFormat="1" customHeight="1" ht="11.25">
      <c r="A140" s="1170"/>
      <c r="B140" s="1876"/>
      <c r="C140" s="1876"/>
      <c r="D140" s="499"/>
      <c r="K140" s="1348"/>
      <c r="L140" s="1876"/>
      <c r="M140" s="1876"/>
      <c r="N140" s="1348"/>
      <c r="O140" s="1348"/>
      <c r="P140" s="1348"/>
      <c r="Q140" s="1348"/>
      <c r="R140" s="1876"/>
      <c r="S140" s="1348"/>
      <c r="T140" s="1348"/>
      <c r="U140" s="708"/>
      <c r="V140" s="1348"/>
      <c r="W140" s="1348"/>
      <c r="X140" s="1348"/>
      <c r="Y140" s="1348"/>
      <c r="Z140" s="1348"/>
      <c r="AA140" s="1872"/>
      <c r="AB140" s="730"/>
      <c r="AC140" s="730"/>
      <c r="AD140" s="730"/>
      <c r="AE140" s="730"/>
    </row>
    <row s="7114" customFormat="1" customHeight="1" ht="11.25">
      <c r="A141" s="1170"/>
      <c r="B141" s="1876"/>
      <c r="C141" s="1876"/>
      <c r="D141" s="499"/>
      <c r="K141" s="1348"/>
      <c r="L141" s="1876"/>
      <c r="M141" s="1876"/>
      <c r="N141" s="1348"/>
      <c r="O141" s="1348"/>
      <c r="P141" s="1348"/>
      <c r="Q141" s="1348"/>
      <c r="R141" s="1876"/>
      <c r="S141" s="1348"/>
      <c r="T141" s="1348"/>
      <c r="U141" s="708"/>
      <c r="V141" s="1348"/>
      <c r="W141" s="1348"/>
      <c r="X141" s="1348"/>
      <c r="Y141" s="1348"/>
      <c r="Z141" s="1348"/>
      <c r="AA141" s="1872"/>
      <c r="AB141" s="730"/>
      <c r="AC141" s="730"/>
      <c r="AD141" s="730"/>
      <c r="AE141" s="730"/>
    </row>
    <row s="7114" customFormat="1" customHeight="1" ht="11.25">
      <c r="A142" s="1170"/>
      <c r="B142" s="1876"/>
      <c r="C142" s="1876"/>
      <c r="D142" s="499"/>
      <c r="K142" s="1348"/>
      <c r="L142" s="1876"/>
      <c r="M142" s="1876"/>
      <c r="N142" s="1348"/>
      <c r="O142" s="1348"/>
      <c r="P142" s="1348"/>
      <c r="Q142" s="1348"/>
      <c r="R142" s="1876"/>
      <c r="S142" s="1348"/>
      <c r="T142" s="1348"/>
      <c r="U142" s="708"/>
      <c r="V142" s="1348"/>
      <c r="W142" s="1348"/>
      <c r="X142" s="1348"/>
      <c r="Y142" s="1348"/>
      <c r="Z142" s="1348"/>
      <c r="AA142" s="1872"/>
      <c r="AB142" s="730"/>
      <c r="AC142" s="730"/>
      <c r="AD142" s="730"/>
      <c r="AE142" s="730"/>
    </row>
    <row s="7114" customFormat="1" customHeight="1" ht="11.25">
      <c r="A143" s="1170"/>
      <c r="B143" s="1876"/>
      <c r="C143" s="1876"/>
      <c r="D143" s="499"/>
      <c r="K143" s="1348"/>
      <c r="L143" s="1876"/>
      <c r="M143" s="1876"/>
      <c r="N143" s="1348"/>
      <c r="O143" s="1348"/>
      <c r="P143" s="1348"/>
      <c r="Q143" s="1348"/>
      <c r="R143" s="1876"/>
      <c r="S143" s="1348"/>
      <c r="T143" s="1348"/>
      <c r="U143" s="708"/>
      <c r="V143" s="1348"/>
      <c r="W143" s="1348"/>
      <c r="X143" s="1348"/>
      <c r="Y143" s="1348"/>
      <c r="Z143" s="1348"/>
      <c r="AA143" s="1872"/>
      <c r="AB143" s="730"/>
      <c r="AC143" s="730"/>
      <c r="AD143" s="730"/>
      <c r="AE143" s="730"/>
    </row>
    <row s="7114" customFormat="1" customHeight="1" ht="11.25">
      <c r="A144" s="1170"/>
      <c r="B144" s="1876"/>
      <c r="C144" s="1876"/>
      <c r="D144" s="499"/>
      <c r="K144" s="1348"/>
      <c r="L144" s="1876"/>
      <c r="M144" s="1876"/>
      <c r="N144" s="1348"/>
      <c r="O144" s="1348"/>
      <c r="P144" s="1348"/>
      <c r="Q144" s="1348"/>
      <c r="R144" s="1876"/>
      <c r="S144" s="1348"/>
      <c r="T144" s="1348"/>
      <c r="U144" s="708"/>
      <c r="V144" s="1348"/>
      <c r="W144" s="1348"/>
      <c r="X144" s="1348"/>
      <c r="Y144" s="1348"/>
      <c r="Z144" s="1348"/>
      <c r="AA144" s="1872"/>
      <c r="AB144" s="730"/>
      <c r="AC144" s="730"/>
      <c r="AD144" s="730"/>
      <c r="AE144" s="730"/>
    </row>
    <row s="7114" customFormat="1" customHeight="1" ht="11.25">
      <c r="A145" s="1170"/>
      <c r="B145" s="1876"/>
      <c r="C145" s="1876"/>
      <c r="D145" s="499"/>
      <c r="K145" s="1348"/>
      <c r="L145" s="1876"/>
      <c r="M145" s="1876"/>
      <c r="N145" s="1348"/>
      <c r="O145" s="1348"/>
      <c r="P145" s="1348"/>
      <c r="Q145" s="1348"/>
      <c r="R145" s="1876"/>
      <c r="S145" s="1348"/>
      <c r="T145" s="1348"/>
      <c r="U145" s="708"/>
      <c r="V145" s="1348"/>
      <c r="W145" s="1348"/>
      <c r="X145" s="1348"/>
      <c r="Y145" s="1348"/>
      <c r="Z145" s="1348"/>
      <c r="AA145" s="1872"/>
      <c r="AB145" s="730"/>
      <c r="AC145" s="730"/>
      <c r="AD145" s="730"/>
      <c r="AE145" s="730"/>
    </row>
    <row s="7114" customFormat="1" customHeight="1" ht="11.25">
      <c r="A146" s="1170"/>
      <c r="B146" s="1876"/>
      <c r="C146" s="1876"/>
      <c r="D146" s="499"/>
      <c r="K146" s="1348"/>
      <c r="L146" s="1876"/>
      <c r="M146" s="1876"/>
      <c r="N146" s="1348"/>
      <c r="O146" s="1348"/>
      <c r="P146" s="1348"/>
      <c r="Q146" s="1348"/>
      <c r="R146" s="1876"/>
      <c r="S146" s="1348"/>
      <c r="T146" s="1348"/>
      <c r="U146" s="708"/>
      <c r="V146" s="1348"/>
      <c r="W146" s="1348"/>
      <c r="X146" s="1348"/>
      <c r="Y146" s="1348"/>
      <c r="Z146" s="1348"/>
      <c r="AA146" s="1872"/>
      <c r="AB146" s="730"/>
      <c r="AC146" s="730"/>
      <c r="AD146" s="730"/>
      <c r="AE146" s="730"/>
    </row>
    <row s="7114" customFormat="1" customHeight="1" ht="11.25">
      <c r="A147" s="1170"/>
      <c r="B147" s="1876"/>
      <c r="C147" s="1876"/>
      <c r="D147" s="499"/>
      <c r="K147" s="1348"/>
      <c r="L147" s="1876"/>
      <c r="M147" s="1876"/>
      <c r="N147" s="1348"/>
      <c r="O147" s="1348"/>
      <c r="P147" s="1348"/>
      <c r="Q147" s="1348"/>
      <c r="R147" s="1876"/>
      <c r="S147" s="1348"/>
      <c r="T147" s="1348"/>
      <c r="U147" s="708"/>
      <c r="V147" s="1348"/>
      <c r="W147" s="1348"/>
      <c r="X147" s="1348"/>
      <c r="Y147" s="1348"/>
      <c r="Z147" s="1348"/>
      <c r="AA147" s="1872"/>
      <c r="AB147" s="730"/>
      <c r="AC147" s="730"/>
      <c r="AD147" s="730"/>
      <c r="AE147" s="730"/>
    </row>
    <row s="7114" customFormat="1" customHeight="1" ht="11.25">
      <c r="A148" s="1170"/>
      <c r="B148" s="1876"/>
      <c r="C148" s="1876"/>
      <c r="D148" s="499"/>
      <c r="K148" s="1348"/>
      <c r="L148" s="1876"/>
      <c r="M148" s="1876"/>
      <c r="N148" s="1348"/>
      <c r="O148" s="1348"/>
      <c r="P148" s="1348"/>
      <c r="Q148" s="1348"/>
      <c r="R148" s="1876"/>
      <c r="S148" s="1348"/>
      <c r="T148" s="1348"/>
      <c r="U148" s="708"/>
      <c r="V148" s="1348"/>
      <c r="W148" s="1348"/>
      <c r="X148" s="1348"/>
      <c r="Y148" s="1348"/>
      <c r="Z148" s="1348"/>
      <c r="AA148" s="1872"/>
      <c r="AB148" s="730"/>
      <c r="AC148" s="730"/>
      <c r="AD148" s="730"/>
      <c r="AE148" s="730"/>
    </row>
    <row s="7114" customFormat="1" customHeight="1" ht="11.25">
      <c r="A149" s="1170"/>
      <c r="B149" s="1876"/>
      <c r="C149" s="1876"/>
      <c r="D149" s="499"/>
      <c r="K149" s="1348"/>
      <c r="L149" s="1876"/>
      <c r="M149" s="1876"/>
      <c r="N149" s="1348"/>
      <c r="O149" s="1348"/>
      <c r="P149" s="1348"/>
      <c r="Q149" s="1348"/>
      <c r="R149" s="1876"/>
      <c r="S149" s="1348"/>
      <c r="T149" s="1348"/>
      <c r="U149" s="708"/>
      <c r="V149" s="1348"/>
      <c r="W149" s="1348"/>
      <c r="X149" s="1348"/>
      <c r="Y149" s="1348"/>
      <c r="Z149" s="1348"/>
      <c r="AA149" s="1872"/>
      <c r="AB149" s="730"/>
      <c r="AC149" s="730"/>
      <c r="AD149" s="730"/>
      <c r="AE149" s="730"/>
    </row>
    <row s="7114" customFormat="1" customHeight="1" ht="11.25">
      <c r="A150" s="1170"/>
      <c r="B150" s="1876"/>
      <c r="C150" s="1876"/>
      <c r="D150" s="499"/>
      <c r="K150" s="1348"/>
      <c r="L150" s="1876"/>
      <c r="M150" s="1876"/>
      <c r="N150" s="1348"/>
      <c r="O150" s="1348"/>
      <c r="P150" s="1348"/>
      <c r="Q150" s="1348"/>
      <c r="R150" s="1876"/>
      <c r="S150" s="1348"/>
      <c r="T150" s="1348"/>
      <c r="U150" s="708"/>
      <c r="V150" s="1348"/>
      <c r="W150" s="1348"/>
      <c r="X150" s="1348"/>
      <c r="Y150" s="1348"/>
      <c r="Z150" s="1348"/>
      <c r="AA150" s="1872"/>
      <c r="AB150" s="730"/>
      <c r="AC150" s="730"/>
      <c r="AD150" s="730"/>
      <c r="AE150" s="730"/>
    </row>
    <row s="7114" customFormat="1" customHeight="1" ht="11.25">
      <c r="A151" s="1170"/>
      <c r="B151" s="1876"/>
      <c r="C151" s="1876"/>
      <c r="D151" s="499"/>
      <c r="K151" s="1348"/>
      <c r="L151" s="1876"/>
      <c r="M151" s="1876"/>
      <c r="N151" s="1348"/>
      <c r="O151" s="1348"/>
      <c r="P151" s="1348"/>
      <c r="Q151" s="1348"/>
      <c r="R151" s="1876"/>
      <c r="S151" s="1348"/>
      <c r="T151" s="1348"/>
      <c r="U151" s="708"/>
      <c r="V151" s="1348"/>
      <c r="W151" s="1348"/>
      <c r="X151" s="1348"/>
      <c r="Y151" s="1348"/>
      <c r="Z151" s="1348"/>
      <c r="AA151" s="1872"/>
      <c r="AB151" s="730"/>
      <c r="AC151" s="730"/>
      <c r="AD151" s="730"/>
      <c r="AE151" s="730"/>
    </row>
    <row s="7114" customFormat="1" customHeight="1" ht="11.25">
      <c r="A152" s="1170"/>
      <c r="B152" s="1876"/>
      <c r="C152" s="1876"/>
      <c r="D152" s="499"/>
      <c r="K152" s="1348"/>
      <c r="L152" s="1876"/>
      <c r="M152" s="1876"/>
      <c r="N152" s="1348"/>
      <c r="O152" s="1348"/>
      <c r="P152" s="1348"/>
      <c r="Q152" s="1348"/>
      <c r="R152" s="1876"/>
      <c r="S152" s="1348"/>
      <c r="T152" s="1348"/>
      <c r="U152" s="708"/>
      <c r="V152" s="1348"/>
      <c r="W152" s="1348"/>
      <c r="X152" s="1348"/>
      <c r="Y152" s="1348"/>
      <c r="Z152" s="1348"/>
      <c r="AA152" s="1872"/>
      <c r="AB152" s="730"/>
      <c r="AC152" s="730"/>
      <c r="AD152" s="730"/>
      <c r="AE152" s="730"/>
    </row>
    <row s="7114" customFormat="1" customHeight="1" ht="11.25">
      <c r="A153" s="1170"/>
      <c r="B153" s="1876"/>
      <c r="C153" s="1876"/>
      <c r="D153" s="499"/>
      <c r="K153" s="1348"/>
      <c r="L153" s="1876"/>
      <c r="M153" s="1876"/>
      <c r="N153" s="1348"/>
      <c r="O153" s="1348"/>
      <c r="P153" s="1348"/>
      <c r="Q153" s="1348"/>
      <c r="R153" s="1876"/>
      <c r="S153" s="1348"/>
      <c r="T153" s="1348"/>
      <c r="U153" s="708"/>
      <c r="V153" s="1348"/>
      <c r="W153" s="1348"/>
      <c r="X153" s="1348"/>
      <c r="Y153" s="1348"/>
      <c r="Z153" s="1348"/>
      <c r="AA153" s="1872"/>
      <c r="AB153" s="730"/>
      <c r="AC153" s="730"/>
      <c r="AD153" s="730"/>
      <c r="AE153" s="730"/>
    </row>
    <row s="7114" customFormat="1" customHeight="1" ht="11.25">
      <c r="A154" s="1170"/>
      <c r="B154" s="1876"/>
      <c r="C154" s="1876"/>
      <c r="D154" s="499"/>
      <c r="K154" s="1348"/>
      <c r="L154" s="1876"/>
      <c r="M154" s="1876"/>
      <c r="N154" s="1348"/>
      <c r="O154" s="1348"/>
      <c r="P154" s="1348"/>
      <c r="Q154" s="1348"/>
      <c r="R154" s="1876"/>
      <c r="S154" s="1348"/>
      <c r="T154" s="1348"/>
      <c r="U154" s="708"/>
      <c r="V154" s="1348"/>
      <c r="W154" s="1348"/>
      <c r="X154" s="1348"/>
      <c r="Y154" s="1348"/>
      <c r="Z154" s="1348"/>
      <c r="AA154" s="1872"/>
      <c r="AB154" s="730"/>
      <c r="AC154" s="730"/>
      <c r="AD154" s="730"/>
      <c r="AE154" s="730"/>
    </row>
    <row s="7114" customFormat="1" customHeight="1" ht="11.25">
      <c r="A155" s="1170"/>
      <c r="B155" s="1876"/>
      <c r="C155" s="1876"/>
      <c r="D155" s="499"/>
      <c r="K155" s="1348"/>
      <c r="L155" s="1876"/>
      <c r="M155" s="1876"/>
      <c r="N155" s="1348"/>
      <c r="O155" s="1348"/>
      <c r="P155" s="1348"/>
      <c r="Q155" s="1348"/>
      <c r="R155" s="1876"/>
      <c r="S155" s="1348"/>
      <c r="T155" s="1348"/>
      <c r="U155" s="708"/>
      <c r="V155" s="1348"/>
      <c r="W155" s="1348"/>
      <c r="X155" s="1348"/>
      <c r="Y155" s="1348"/>
      <c r="Z155" s="1348"/>
      <c r="AA155" s="1872"/>
      <c r="AB155" s="730"/>
      <c r="AC155" s="730"/>
      <c r="AD155" s="730"/>
      <c r="AE155" s="730"/>
    </row>
    <row s="7114" customFormat="1" customHeight="1" ht="11.25">
      <c r="A156" s="1170"/>
      <c r="B156" s="1876"/>
      <c r="C156" s="1876"/>
      <c r="D156" s="499"/>
      <c r="K156" s="1348"/>
      <c r="L156" s="1876"/>
      <c r="M156" s="1876"/>
      <c r="N156" s="1348"/>
      <c r="O156" s="1348"/>
      <c r="P156" s="1348"/>
      <c r="Q156" s="1348"/>
      <c r="R156" s="1876"/>
      <c r="S156" s="1348"/>
      <c r="T156" s="1348"/>
      <c r="U156" s="708"/>
      <c r="V156" s="1348"/>
      <c r="W156" s="1348"/>
      <c r="X156" s="1348"/>
      <c r="Y156" s="1348"/>
      <c r="Z156" s="1348"/>
      <c r="AA156" s="1872"/>
      <c r="AB156" s="730"/>
      <c r="AC156" s="730"/>
      <c r="AD156" s="730"/>
      <c r="AE156" s="730"/>
    </row>
    <row s="7114" customFormat="1" customHeight="1" ht="11.25">
      <c r="A157" s="1170"/>
      <c r="B157" s="1876"/>
      <c r="C157" s="1876"/>
      <c r="D157" s="499"/>
      <c r="K157" s="1348"/>
      <c r="L157" s="1876"/>
      <c r="M157" s="1876"/>
      <c r="N157" s="1348"/>
      <c r="O157" s="1348"/>
      <c r="P157" s="1348"/>
      <c r="Q157" s="1348"/>
      <c r="R157" s="1876"/>
      <c r="S157" s="1348"/>
      <c r="T157" s="1348"/>
      <c r="U157" s="708"/>
      <c r="V157" s="1348"/>
      <c r="W157" s="1348"/>
      <c r="X157" s="1348"/>
      <c r="Y157" s="1348"/>
      <c r="Z157" s="1348"/>
      <c r="AA157" s="1872"/>
      <c r="AB157" s="730"/>
      <c r="AC157" s="730"/>
      <c r="AD157" s="730"/>
      <c r="AE157" s="730"/>
    </row>
    <row s="7114" customFormat="1" customHeight="1" ht="11.25">
      <c r="A158" s="1170"/>
      <c r="B158" s="1876"/>
      <c r="C158" s="1876"/>
      <c r="D158" s="499"/>
      <c r="K158" s="1348"/>
      <c r="L158" s="1876"/>
      <c r="M158" s="1876"/>
      <c r="N158" s="1348"/>
      <c r="O158" s="1348"/>
      <c r="P158" s="1348"/>
      <c r="Q158" s="1348"/>
      <c r="R158" s="1876"/>
      <c r="S158" s="1348"/>
      <c r="T158" s="1348"/>
      <c r="U158" s="708"/>
      <c r="V158" s="1348"/>
      <c r="W158" s="1348"/>
      <c r="X158" s="1348"/>
      <c r="Y158" s="1348"/>
      <c r="Z158" s="1348"/>
      <c r="AA158" s="1872"/>
      <c r="AB158" s="730"/>
      <c r="AC158" s="730"/>
      <c r="AD158" s="730"/>
      <c r="AE158" s="730"/>
    </row>
    <row s="7114" customFormat="1" customHeight="1" ht="11.25">
      <c r="A159" s="1170"/>
      <c r="B159" s="1876"/>
      <c r="C159" s="1876"/>
      <c r="D159" s="499"/>
      <c r="K159" s="1348"/>
      <c r="L159" s="1876"/>
      <c r="M159" s="1876"/>
      <c r="N159" s="1348"/>
      <c r="O159" s="1348"/>
      <c r="P159" s="1348"/>
      <c r="Q159" s="1348"/>
      <c r="R159" s="1876"/>
      <c r="S159" s="1348"/>
      <c r="T159" s="1348"/>
      <c r="U159" s="708"/>
      <c r="V159" s="1348"/>
      <c r="W159" s="1348"/>
      <c r="X159" s="1348"/>
      <c r="Y159" s="1348"/>
      <c r="Z159" s="1348"/>
      <c r="AA159" s="1872"/>
      <c r="AB159" s="730"/>
      <c r="AC159" s="730"/>
      <c r="AD159" s="730"/>
      <c r="AE159" s="730"/>
    </row>
    <row s="7114" customFormat="1" customHeight="1" ht="11.25">
      <c r="A160" s="1170"/>
      <c r="B160" s="1876"/>
      <c r="C160" s="1876"/>
      <c r="D160" s="499"/>
      <c r="K160" s="1348"/>
      <c r="L160" s="1876"/>
      <c r="M160" s="1876"/>
      <c r="N160" s="1348"/>
      <c r="O160" s="1348"/>
      <c r="P160" s="1348"/>
      <c r="Q160" s="1348"/>
      <c r="R160" s="1876"/>
      <c r="S160" s="1348"/>
      <c r="T160" s="1348"/>
      <c r="U160" s="708"/>
      <c r="V160" s="1348"/>
      <c r="W160" s="1348"/>
      <c r="X160" s="1348"/>
      <c r="Y160" s="1348"/>
      <c r="Z160" s="1348"/>
      <c r="AA160" s="1872"/>
      <c r="AB160" s="730"/>
      <c r="AC160" s="730"/>
      <c r="AD160" s="730"/>
      <c r="AE160" s="730"/>
    </row>
    <row s="7114" customFormat="1" customHeight="1" ht="11.25">
      <c r="A161" s="1170"/>
      <c r="B161" s="1876"/>
      <c r="C161" s="1876"/>
      <c r="D161" s="499"/>
      <c r="K161" s="1348"/>
      <c r="L161" s="1876"/>
      <c r="M161" s="1876"/>
      <c r="N161" s="1348"/>
      <c r="O161" s="1348"/>
      <c r="P161" s="1348"/>
      <c r="Q161" s="1348"/>
      <c r="R161" s="1876"/>
      <c r="S161" s="1348"/>
      <c r="T161" s="1348"/>
      <c r="U161" s="708"/>
      <c r="V161" s="1348"/>
      <c r="W161" s="1348"/>
      <c r="X161" s="1348"/>
      <c r="Y161" s="1348"/>
      <c r="Z161" s="1348"/>
      <c r="AA161" s="1872"/>
      <c r="AB161" s="730"/>
      <c r="AC161" s="730"/>
      <c r="AD161" s="730"/>
      <c r="AE161" s="730"/>
    </row>
    <row s="7114" customFormat="1" customHeight="1" ht="11.25">
      <c r="A162" s="1170"/>
      <c r="B162" s="1876"/>
      <c r="C162" s="1876"/>
      <c r="D162" s="499"/>
      <c r="K162" s="1348"/>
      <c r="L162" s="1876"/>
      <c r="M162" s="1876"/>
      <c r="N162" s="1348"/>
      <c r="O162" s="1348"/>
      <c r="P162" s="1348"/>
      <c r="Q162" s="1348"/>
      <c r="R162" s="1876"/>
      <c r="S162" s="1348"/>
      <c r="T162" s="1348"/>
      <c r="U162" s="708"/>
      <c r="V162" s="1348"/>
      <c r="W162" s="1348"/>
      <c r="X162" s="1348"/>
      <c r="Y162" s="1348"/>
      <c r="Z162" s="1348"/>
      <c r="AA162" s="1872"/>
      <c r="AB162" s="730"/>
      <c r="AC162" s="730"/>
      <c r="AD162" s="730"/>
      <c r="AE162" s="730"/>
    </row>
    <row s="7114" customFormat="1" customHeight="1" ht="11.25">
      <c r="A163" s="1170"/>
      <c r="B163" s="1876"/>
      <c r="C163" s="1876"/>
      <c r="D163" s="499"/>
      <c r="K163" s="1348"/>
      <c r="L163" s="1876"/>
      <c r="M163" s="1876"/>
      <c r="N163" s="1348"/>
      <c r="O163" s="1348"/>
      <c r="P163" s="1348"/>
      <c r="Q163" s="1348"/>
      <c r="R163" s="1876"/>
      <c r="S163" s="1348"/>
      <c r="T163" s="1348"/>
      <c r="U163" s="708"/>
      <c r="V163" s="1348"/>
      <c r="W163" s="1348"/>
      <c r="X163" s="1348"/>
      <c r="Y163" s="1348"/>
      <c r="Z163" s="1348"/>
      <c r="AA163" s="1872"/>
      <c r="AB163" s="730"/>
      <c r="AC163" s="730"/>
      <c r="AD163" s="730"/>
      <c r="AE163" s="730"/>
    </row>
    <row s="7114" customFormat="1" customHeight="1" ht="11.25">
      <c r="A164" s="1170"/>
      <c r="B164" s="1876"/>
      <c r="C164" s="1876"/>
      <c r="D164" s="499"/>
      <c r="K164" s="1348"/>
      <c r="L164" s="1876"/>
      <c r="M164" s="1876"/>
      <c r="N164" s="1348"/>
      <c r="O164" s="1348"/>
      <c r="P164" s="1348"/>
      <c r="Q164" s="1348"/>
      <c r="R164" s="1876"/>
      <c r="S164" s="1348"/>
      <c r="T164" s="1348"/>
      <c r="U164" s="708"/>
      <c r="V164" s="1348"/>
      <c r="W164" s="1348"/>
      <c r="X164" s="1348"/>
      <c r="Y164" s="1348"/>
      <c r="Z164" s="1348"/>
      <c r="AA164" s="1872"/>
      <c r="AB164" s="730"/>
      <c r="AC164" s="730"/>
      <c r="AD164" s="730"/>
      <c r="AE164" s="730"/>
    </row>
    <row s="7114" customFormat="1" customHeight="1" ht="11.25">
      <c r="A165" s="1170"/>
      <c r="B165" s="1876"/>
      <c r="C165" s="1876"/>
      <c r="D165" s="499"/>
      <c r="K165" s="1348"/>
      <c r="L165" s="1876"/>
      <c r="M165" s="1876"/>
      <c r="N165" s="1348"/>
      <c r="O165" s="1348"/>
      <c r="P165" s="1348"/>
      <c r="Q165" s="1348"/>
      <c r="R165" s="1876"/>
      <c r="S165" s="1348"/>
      <c r="T165" s="1348"/>
      <c r="U165" s="708"/>
      <c r="V165" s="1348"/>
      <c r="W165" s="1348"/>
      <c r="X165" s="1348"/>
      <c r="Y165" s="1348"/>
      <c r="Z165" s="1348"/>
      <c r="AA165" s="1872"/>
      <c r="AB165" s="730"/>
      <c r="AC165" s="730"/>
      <c r="AD165" s="730"/>
      <c r="AE165" s="730"/>
    </row>
    <row s="7114" customFormat="1" customHeight="1" ht="11.25">
      <c r="A166" s="1170"/>
      <c r="B166" s="1876"/>
      <c r="C166" s="1876"/>
      <c r="D166" s="499"/>
      <c r="K166" s="1348"/>
      <c r="L166" s="1876"/>
      <c r="M166" s="1876"/>
      <c r="N166" s="1348"/>
      <c r="O166" s="1348"/>
      <c r="P166" s="1348"/>
      <c r="Q166" s="1348"/>
      <c r="R166" s="1876"/>
      <c r="S166" s="1348"/>
      <c r="T166" s="1348"/>
      <c r="U166" s="708"/>
      <c r="V166" s="1348"/>
      <c r="W166" s="1348"/>
      <c r="X166" s="1348"/>
      <c r="Y166" s="1348"/>
      <c r="Z166" s="1348"/>
      <c r="AA166" s="1872"/>
      <c r="AB166" s="730"/>
      <c r="AC166" s="730"/>
      <c r="AD166" s="730"/>
      <c r="AE166" s="730"/>
    </row>
    <row s="7114" customFormat="1" customHeight="1" ht="11.25">
      <c r="A167" s="1170"/>
      <c r="B167" s="1876"/>
      <c r="C167" s="1876"/>
      <c r="D167" s="499"/>
      <c r="K167" s="1348"/>
      <c r="L167" s="1876"/>
      <c r="M167" s="1876"/>
      <c r="N167" s="1348"/>
      <c r="O167" s="1348"/>
      <c r="P167" s="1348"/>
      <c r="Q167" s="1348"/>
      <c r="R167" s="1876"/>
      <c r="S167" s="1348"/>
      <c r="T167" s="1348"/>
      <c r="U167" s="708"/>
      <c r="V167" s="1348"/>
      <c r="W167" s="1348"/>
      <c r="X167" s="1348"/>
      <c r="Y167" s="1348"/>
      <c r="Z167" s="1348"/>
      <c r="AA167" s="1872"/>
      <c r="AB167" s="730"/>
      <c r="AC167" s="730"/>
      <c r="AD167" s="730"/>
      <c r="AE167" s="730"/>
    </row>
    <row s="7114" customFormat="1" customHeight="1" ht="11.25">
      <c r="A168" s="1170"/>
      <c r="B168" s="1876"/>
      <c r="C168" s="1876"/>
      <c r="D168" s="499"/>
      <c r="K168" s="1348"/>
      <c r="L168" s="1876"/>
      <c r="M168" s="1876"/>
      <c r="N168" s="1348"/>
      <c r="O168" s="1348"/>
      <c r="P168" s="1348"/>
      <c r="Q168" s="1348"/>
      <c r="R168" s="1876"/>
      <c r="S168" s="1348"/>
      <c r="T168" s="1348"/>
      <c r="U168" s="708"/>
      <c r="V168" s="1348"/>
      <c r="W168" s="1348"/>
      <c r="X168" s="1348"/>
      <c r="Y168" s="1348"/>
      <c r="Z168" s="1348"/>
      <c r="AA168" s="1872"/>
      <c r="AB168" s="730"/>
      <c r="AC168" s="730"/>
      <c r="AD168" s="730"/>
      <c r="AE168" s="730"/>
    </row>
    <row s="7114" customFormat="1" customHeight="1" ht="11.25">
      <c r="A169" s="1170"/>
      <c r="B169" s="1876"/>
      <c r="C169" s="1876"/>
      <c r="D169" s="499"/>
      <c r="K169" s="1348"/>
      <c r="L169" s="1876"/>
      <c r="M169" s="1876"/>
      <c r="N169" s="1348"/>
      <c r="O169" s="1348"/>
      <c r="P169" s="1348"/>
      <c r="Q169" s="1348"/>
      <c r="R169" s="1876"/>
      <c r="S169" s="1348"/>
      <c r="T169" s="1348"/>
      <c r="U169" s="708"/>
      <c r="V169" s="1348"/>
      <c r="W169" s="1348"/>
      <c r="X169" s="1348"/>
      <c r="Y169" s="1348"/>
      <c r="Z169" s="1348"/>
      <c r="AA169" s="1872"/>
      <c r="AB169" s="730"/>
      <c r="AC169" s="730"/>
      <c r="AD169" s="730"/>
      <c r="AE169" s="730"/>
    </row>
    <row s="7114" customFormat="1" customHeight="1" ht="11.25">
      <c r="A170" s="1170"/>
      <c r="B170" s="1876"/>
      <c r="C170" s="1876"/>
      <c r="D170" s="499"/>
      <c r="K170" s="1348"/>
      <c r="L170" s="1876"/>
      <c r="M170" s="1876"/>
      <c r="N170" s="1348"/>
      <c r="O170" s="1348"/>
      <c r="P170" s="1348"/>
      <c r="Q170" s="1348"/>
      <c r="R170" s="1876"/>
      <c r="S170" s="1348"/>
      <c r="T170" s="1348"/>
      <c r="U170" s="708"/>
      <c r="V170" s="1348"/>
      <c r="W170" s="1348"/>
      <c r="X170" s="1348"/>
      <c r="Y170" s="1348"/>
      <c r="Z170" s="1348"/>
      <c r="AA170" s="1872"/>
      <c r="AB170" s="730"/>
      <c r="AC170" s="730"/>
      <c r="AD170" s="730"/>
      <c r="AE170" s="730"/>
    </row>
    <row s="7114" customFormat="1" customHeight="1" ht="11.25">
      <c r="A171" s="1170"/>
      <c r="B171" s="1876"/>
      <c r="C171" s="1876"/>
      <c r="D171" s="499"/>
      <c r="K171" s="1348"/>
      <c r="L171" s="1876"/>
      <c r="M171" s="1876"/>
      <c r="N171" s="1348"/>
      <c r="O171" s="1348"/>
      <c r="P171" s="1348"/>
      <c r="Q171" s="1348"/>
      <c r="R171" s="1876"/>
      <c r="S171" s="1348"/>
      <c r="T171" s="1348"/>
      <c r="U171" s="708"/>
      <c r="V171" s="1348"/>
      <c r="W171" s="1348"/>
      <c r="X171" s="1348"/>
      <c r="Y171" s="1348"/>
      <c r="Z171" s="1348"/>
      <c r="AA171" s="1872"/>
      <c r="AB171" s="730"/>
      <c r="AC171" s="730"/>
      <c r="AD171" s="730"/>
      <c r="AE171" s="730"/>
    </row>
    <row s="7114" customFormat="1" customHeight="1" ht="11.25">
      <c r="A172" s="1170"/>
      <c r="B172" s="1876"/>
      <c r="C172" s="1876"/>
      <c r="D172" s="499"/>
      <c r="K172" s="1348"/>
      <c r="L172" s="1876"/>
      <c r="M172" s="1876"/>
      <c r="N172" s="1348"/>
      <c r="O172" s="1348"/>
      <c r="P172" s="1348"/>
      <c r="Q172" s="1348"/>
      <c r="R172" s="1876"/>
      <c r="S172" s="1348"/>
      <c r="T172" s="1348"/>
      <c r="U172" s="708"/>
      <c r="V172" s="1348"/>
      <c r="W172" s="1348"/>
      <c r="X172" s="1348"/>
      <c r="Y172" s="1348"/>
      <c r="Z172" s="1348"/>
      <c r="AA172" s="1872"/>
      <c r="AB172" s="730"/>
      <c r="AC172" s="730"/>
      <c r="AD172" s="730"/>
      <c r="AE172" s="730"/>
    </row>
    <row s="7114" customFormat="1" customHeight="1" ht="11.25">
      <c r="A173" s="1170"/>
      <c r="B173" s="1876"/>
      <c r="C173" s="1876"/>
      <c r="D173" s="499"/>
      <c r="K173" s="1348"/>
      <c r="L173" s="1876"/>
      <c r="M173" s="1876"/>
      <c r="N173" s="1348"/>
      <c r="O173" s="1348"/>
      <c r="P173" s="1348"/>
      <c r="Q173" s="1348"/>
      <c r="R173" s="1876"/>
      <c r="S173" s="1348"/>
      <c r="T173" s="1348"/>
      <c r="U173" s="708"/>
      <c r="V173" s="1348"/>
      <c r="W173" s="1348"/>
      <c r="X173" s="1348"/>
      <c r="Y173" s="1348"/>
      <c r="Z173" s="1348"/>
      <c r="AA173" s="1872"/>
      <c r="AB173" s="730"/>
      <c r="AC173" s="730"/>
      <c r="AD173" s="730"/>
      <c r="AE173" s="730"/>
    </row>
    <row s="7114" customFormat="1" customHeight="1" ht="11.25">
      <c r="A174" s="1170"/>
      <c r="B174" s="1876"/>
      <c r="C174" s="1876"/>
      <c r="D174" s="499"/>
      <c r="K174" s="1348"/>
      <c r="L174" s="1876"/>
      <c r="M174" s="1876"/>
      <c r="N174" s="1348"/>
      <c r="O174" s="1348"/>
      <c r="P174" s="1348"/>
      <c r="Q174" s="1348"/>
      <c r="R174" s="1876"/>
      <c r="S174" s="1348"/>
      <c r="T174" s="1348"/>
      <c r="U174" s="708"/>
      <c r="V174" s="1348"/>
      <c r="W174" s="1348"/>
      <c r="X174" s="1348"/>
      <c r="Y174" s="1348"/>
      <c r="Z174" s="1348"/>
      <c r="AA174" s="1872"/>
      <c r="AB174" s="730"/>
      <c r="AC174" s="730"/>
      <c r="AD174" s="730"/>
      <c r="AE174" s="730"/>
    </row>
    <row s="7114" customFormat="1" customHeight="1" ht="11.25">
      <c r="A175" s="1170"/>
      <c r="B175" s="1876"/>
      <c r="C175" s="1876"/>
      <c r="D175" s="499"/>
      <c r="K175" s="1348"/>
      <c r="L175" s="1876"/>
      <c r="M175" s="1876"/>
      <c r="N175" s="1348"/>
      <c r="O175" s="1348"/>
      <c r="P175" s="1348"/>
      <c r="Q175" s="1348"/>
      <c r="R175" s="1876"/>
      <c r="S175" s="1348"/>
      <c r="T175" s="1348"/>
      <c r="U175" s="708"/>
      <c r="V175" s="1348"/>
      <c r="W175" s="1348"/>
      <c r="X175" s="1348"/>
      <c r="Y175" s="1348"/>
      <c r="Z175" s="1348"/>
      <c r="AA175" s="1872"/>
      <c r="AB175" s="730"/>
      <c r="AC175" s="730"/>
      <c r="AD175" s="730"/>
      <c r="AE175" s="730"/>
    </row>
    <row s="7114" customFormat="1" customHeight="1" ht="11.25">
      <c r="A176" s="1170"/>
      <c r="B176" s="1876"/>
      <c r="C176" s="1876"/>
      <c r="D176" s="499"/>
      <c r="K176" s="1348"/>
      <c r="L176" s="1876"/>
      <c r="M176" s="1876"/>
      <c r="N176" s="1348"/>
      <c r="O176" s="1348"/>
      <c r="P176" s="1348"/>
      <c r="Q176" s="1348"/>
      <c r="R176" s="1876"/>
      <c r="S176" s="1348"/>
      <c r="T176" s="1348"/>
      <c r="U176" s="708"/>
      <c r="V176" s="1348"/>
      <c r="W176" s="1348"/>
      <c r="X176" s="1348"/>
      <c r="Y176" s="1348"/>
      <c r="Z176" s="1348"/>
      <c r="AA176" s="1872"/>
      <c r="AB176" s="730"/>
      <c r="AC176" s="730"/>
      <c r="AD176" s="730"/>
      <c r="AE176" s="730"/>
    </row>
    <row s="7114" customFormat="1" customHeight="1" ht="11.25">
      <c r="A177" s="1170"/>
      <c r="B177" s="1876"/>
      <c r="C177" s="1876"/>
      <c r="D177" s="499"/>
      <c r="K177" s="1348"/>
      <c r="L177" s="1876"/>
      <c r="M177" s="1876"/>
      <c r="N177" s="1348"/>
      <c r="O177" s="1348"/>
      <c r="P177" s="1348"/>
      <c r="Q177" s="1348"/>
      <c r="R177" s="1876"/>
      <c r="S177" s="1348"/>
      <c r="T177" s="1348"/>
      <c r="U177" s="708"/>
      <c r="V177" s="1348"/>
      <c r="W177" s="1348"/>
      <c r="X177" s="1348"/>
      <c r="Y177" s="1348"/>
      <c r="Z177" s="1348"/>
      <c r="AA177" s="1872"/>
      <c r="AB177" s="730"/>
      <c r="AC177" s="730"/>
      <c r="AD177" s="730"/>
      <c r="AE177" s="730"/>
    </row>
    <row s="7114" customFormat="1" customHeight="1" ht="11.25">
      <c r="A178" s="1170"/>
      <c r="B178" s="1876"/>
      <c r="C178" s="1876"/>
      <c r="D178" s="499"/>
      <c r="K178" s="1348"/>
      <c r="L178" s="1876"/>
      <c r="M178" s="1876"/>
      <c r="N178" s="1348"/>
      <c r="O178" s="1348"/>
      <c r="P178" s="1348"/>
      <c r="Q178" s="1348"/>
      <c r="R178" s="1876"/>
      <c r="S178" s="1348"/>
      <c r="T178" s="1348"/>
      <c r="U178" s="708"/>
      <c r="V178" s="1348"/>
      <c r="W178" s="1348"/>
      <c r="X178" s="1348"/>
      <c r="Y178" s="1348"/>
      <c r="Z178" s="1348"/>
      <c r="AA178" s="1872"/>
      <c r="AB178" s="730"/>
      <c r="AC178" s="730"/>
      <c r="AD178" s="730"/>
      <c r="AE178" s="730"/>
    </row>
    <row s="7114" customFormat="1" customHeight="1" ht="11.25">
      <c r="A179" s="1170"/>
      <c r="B179" s="1876"/>
      <c r="C179" s="1876"/>
      <c r="D179" s="499"/>
      <c r="K179" s="1348"/>
      <c r="L179" s="1876"/>
      <c r="M179" s="1876"/>
      <c r="N179" s="1348"/>
      <c r="O179" s="1348"/>
      <c r="P179" s="1348"/>
      <c r="Q179" s="1348"/>
      <c r="R179" s="1876"/>
      <c r="S179" s="1348"/>
      <c r="T179" s="1348"/>
      <c r="U179" s="708"/>
      <c r="V179" s="1348"/>
      <c r="W179" s="1348"/>
      <c r="X179" s="1348"/>
      <c r="Y179" s="1348"/>
      <c r="Z179" s="1348"/>
      <c r="AA179" s="1872"/>
      <c r="AB179" s="730"/>
      <c r="AC179" s="730"/>
      <c r="AD179" s="730"/>
      <c r="AE179" s="730"/>
    </row>
    <row s="7114" customFormat="1" customHeight="1" ht="11.25">
      <c r="A180" s="1170"/>
      <c r="B180" s="1876"/>
      <c r="C180" s="1876"/>
      <c r="D180" s="499"/>
      <c r="K180" s="1348"/>
      <c r="L180" s="1876"/>
      <c r="M180" s="1876"/>
      <c r="N180" s="1348"/>
      <c r="O180" s="1348"/>
      <c r="P180" s="1348"/>
      <c r="Q180" s="1348"/>
      <c r="R180" s="1876"/>
      <c r="S180" s="1348"/>
      <c r="T180" s="1348"/>
      <c r="U180" s="708"/>
      <c r="V180" s="1348"/>
      <c r="W180" s="1348"/>
      <c r="X180" s="1348"/>
      <c r="Y180" s="1348"/>
      <c r="Z180" s="1348"/>
      <c r="AA180" s="1872"/>
      <c r="AB180" s="730"/>
      <c r="AC180" s="730"/>
      <c r="AD180" s="730"/>
      <c r="AE180" s="730"/>
    </row>
    <row s="7114" customFormat="1" customHeight="1" ht="11.25">
      <c r="A181" s="1170"/>
      <c r="B181" s="1876"/>
      <c r="C181" s="1876"/>
      <c r="D181" s="499"/>
      <c r="K181" s="1348"/>
      <c r="L181" s="1876"/>
      <c r="M181" s="1876"/>
      <c r="N181" s="1348"/>
      <c r="O181" s="1348"/>
      <c r="P181" s="1348"/>
      <c r="Q181" s="1348"/>
      <c r="R181" s="1876"/>
      <c r="S181" s="1348"/>
      <c r="T181" s="1348"/>
      <c r="U181" s="708"/>
      <c r="V181" s="1348"/>
      <c r="W181" s="1348"/>
      <c r="X181" s="1348"/>
      <c r="Y181" s="1348"/>
      <c r="Z181" s="1348"/>
      <c r="AA181" s="1872"/>
      <c r="AB181" s="730"/>
      <c r="AC181" s="730"/>
      <c r="AD181" s="730"/>
      <c r="AE181" s="730"/>
    </row>
    <row s="7114" customFormat="1" customHeight="1" ht="11.25">
      <c r="A182" s="1170"/>
      <c r="B182" s="1876"/>
      <c r="C182" s="1876"/>
      <c r="D182" s="499"/>
      <c r="K182" s="1348"/>
      <c r="L182" s="1876"/>
      <c r="M182" s="1876"/>
      <c r="N182" s="1348"/>
      <c r="O182" s="1348"/>
      <c r="P182" s="1348"/>
      <c r="Q182" s="1348"/>
      <c r="R182" s="1876"/>
      <c r="S182" s="1348"/>
      <c r="T182" s="1348"/>
      <c r="U182" s="708"/>
      <c r="V182" s="1348"/>
      <c r="W182" s="1348"/>
      <c r="X182" s="1348"/>
      <c r="Y182" s="1348"/>
      <c r="Z182" s="1348"/>
      <c r="AA182" s="1872"/>
      <c r="AB182" s="730"/>
      <c r="AC182" s="730"/>
      <c r="AD182" s="730"/>
      <c r="AE182" s="730"/>
    </row>
    <row s="7114" customFormat="1" customHeight="1" ht="11.25">
      <c r="A183" s="1170"/>
      <c r="B183" s="1876"/>
      <c r="C183" s="1876"/>
      <c r="D183" s="499"/>
      <c r="K183" s="1348"/>
      <c r="L183" s="1876"/>
      <c r="M183" s="1876"/>
      <c r="N183" s="1348"/>
      <c r="O183" s="1348"/>
      <c r="P183" s="1348"/>
      <c r="Q183" s="1348"/>
      <c r="R183" s="1876"/>
      <c r="S183" s="1348"/>
      <c r="T183" s="1348"/>
      <c r="U183" s="708"/>
      <c r="V183" s="1348"/>
      <c r="W183" s="1348"/>
      <c r="X183" s="1348"/>
      <c r="Y183" s="1348"/>
      <c r="Z183" s="1348"/>
      <c r="AA183" s="1872"/>
      <c r="AB183" s="730"/>
      <c r="AC183" s="730"/>
      <c r="AD183" s="730"/>
      <c r="AE183" s="730"/>
    </row>
    <row s="7114" customFormat="1" customHeight="1" ht="11.25">
      <c r="A184" s="1170"/>
      <c r="B184" s="1876"/>
      <c r="C184" s="1876"/>
      <c r="D184" s="499"/>
      <c r="K184" s="1348"/>
      <c r="L184" s="1876"/>
      <c r="M184" s="1876"/>
      <c r="N184" s="1348"/>
      <c r="O184" s="1348"/>
      <c r="P184" s="1348"/>
      <c r="Q184" s="1348"/>
      <c r="R184" s="1876"/>
      <c r="S184" s="1348"/>
      <c r="T184" s="1348"/>
      <c r="U184" s="708"/>
      <c r="V184" s="1348"/>
      <c r="W184" s="1348"/>
      <c r="X184" s="1348"/>
      <c r="Y184" s="1348"/>
      <c r="Z184" s="1348"/>
      <c r="AA184" s="1872"/>
      <c r="AB184" s="730"/>
      <c r="AC184" s="730"/>
      <c r="AD184" s="730"/>
      <c r="AE184" s="730"/>
    </row>
    <row s="7114" customFormat="1" customHeight="1" ht="11.25">
      <c r="A185" s="1170"/>
      <c r="B185" s="1876"/>
      <c r="C185" s="1876"/>
      <c r="D185" s="499"/>
      <c r="K185" s="1348"/>
      <c r="L185" s="1876"/>
      <c r="M185" s="1876"/>
      <c r="N185" s="1348"/>
      <c r="O185" s="1348"/>
      <c r="P185" s="1348"/>
      <c r="Q185" s="1348"/>
      <c r="R185" s="1876"/>
      <c r="S185" s="1348"/>
      <c r="T185" s="1348"/>
      <c r="U185" s="708"/>
      <c r="V185" s="1348"/>
      <c r="W185" s="1348"/>
      <c r="X185" s="1348"/>
      <c r="Y185" s="1348"/>
      <c r="Z185" s="1348"/>
      <c r="AA185" s="1872"/>
      <c r="AB185" s="730"/>
      <c r="AC185" s="730"/>
      <c r="AD185" s="730"/>
      <c r="AE185" s="730"/>
    </row>
    <row s="7114" customFormat="1" customHeight="1" ht="11.25">
      <c r="A186" s="1170"/>
      <c r="B186" s="1876"/>
      <c r="C186" s="1876"/>
      <c r="D186" s="499"/>
      <c r="K186" s="1348"/>
      <c r="L186" s="1876"/>
      <c r="M186" s="1876"/>
      <c r="N186" s="1348"/>
      <c r="O186" s="1348"/>
      <c r="P186" s="1348"/>
      <c r="Q186" s="1348"/>
      <c r="R186" s="1876"/>
      <c r="S186" s="1348"/>
      <c r="T186" s="1348"/>
      <c r="U186" s="708"/>
      <c r="V186" s="1348"/>
      <c r="W186" s="1348"/>
      <c r="X186" s="1348"/>
      <c r="Y186" s="1348"/>
      <c r="Z186" s="1348"/>
      <c r="AA186" s="1872"/>
      <c r="AB186" s="730"/>
      <c r="AC186" s="730"/>
      <c r="AD186" s="730"/>
      <c r="AE186" s="730"/>
    </row>
    <row s="7114" customFormat="1" customHeight="1" ht="11.25">
      <c r="A187" s="1170"/>
      <c r="B187" s="1876"/>
      <c r="C187" s="1876"/>
      <c r="D187" s="499"/>
      <c r="K187" s="1348"/>
      <c r="L187" s="1876"/>
      <c r="M187" s="1876"/>
      <c r="N187" s="1348"/>
      <c r="O187" s="1348"/>
      <c r="P187" s="1348"/>
      <c r="Q187" s="1348"/>
      <c r="R187" s="1876"/>
      <c r="S187" s="1348"/>
      <c r="T187" s="1348"/>
      <c r="U187" s="708"/>
      <c r="V187" s="1348"/>
      <c r="W187" s="1348"/>
      <c r="X187" s="1348"/>
      <c r="Y187" s="1348"/>
      <c r="Z187" s="1348"/>
      <c r="AA187" s="1872"/>
      <c r="AB187" s="730"/>
      <c r="AC187" s="730"/>
      <c r="AD187" s="730"/>
      <c r="AE187" s="730"/>
    </row>
    <row s="7114" customFormat="1" customHeight="1" ht="11.25">
      <c r="A188" s="1170"/>
      <c r="B188" s="1876"/>
      <c r="C188" s="1876"/>
      <c r="D188" s="499"/>
      <c r="K188" s="1348"/>
      <c r="L188" s="1876"/>
      <c r="M188" s="1876"/>
      <c r="N188" s="1348"/>
      <c r="O188" s="1348"/>
      <c r="P188" s="1348"/>
      <c r="Q188" s="1348"/>
      <c r="R188" s="1876"/>
      <c r="S188" s="1348"/>
      <c r="T188" s="1348"/>
      <c r="U188" s="708"/>
      <c r="V188" s="1348"/>
      <c r="W188" s="1348"/>
      <c r="X188" s="1348"/>
      <c r="Y188" s="1348"/>
      <c r="Z188" s="1348"/>
      <c r="AA188" s="1872"/>
      <c r="AB188" s="730"/>
      <c r="AC188" s="730"/>
      <c r="AD188" s="730"/>
      <c r="AE188" s="730"/>
    </row>
    <row s="7114" customFormat="1" customHeight="1" ht="11.25">
      <c r="A189" s="1170"/>
      <c r="B189" s="1876"/>
      <c r="C189" s="1876"/>
      <c r="D189" s="499"/>
      <c r="K189" s="1348"/>
      <c r="L189" s="1876"/>
      <c r="M189" s="1876"/>
      <c r="N189" s="1348"/>
      <c r="O189" s="1348"/>
      <c r="P189" s="1348"/>
      <c r="Q189" s="1348"/>
      <c r="R189" s="1876"/>
      <c r="S189" s="1348"/>
      <c r="T189" s="1348"/>
      <c r="U189" s="708"/>
      <c r="V189" s="1348"/>
      <c r="W189" s="1348"/>
      <c r="X189" s="1348"/>
      <c r="Y189" s="1348"/>
      <c r="Z189" s="1348"/>
      <c r="AA189" s="1872"/>
      <c r="AB189" s="730"/>
      <c r="AC189" s="730"/>
      <c r="AD189" s="730"/>
      <c r="AE189" s="730"/>
    </row>
    <row s="7114" customFormat="1" customHeight="1" ht="11.25">
      <c r="A190" s="1170"/>
      <c r="B190" s="1876"/>
      <c r="C190" s="1876"/>
      <c r="D190" s="499"/>
      <c r="K190" s="1348"/>
      <c r="L190" s="1876"/>
      <c r="M190" s="1876"/>
      <c r="N190" s="1348"/>
      <c r="O190" s="1348"/>
      <c r="P190" s="1348"/>
      <c r="Q190" s="1348"/>
      <c r="R190" s="1876"/>
      <c r="S190" s="1348"/>
      <c r="T190" s="1348"/>
      <c r="U190" s="708"/>
      <c r="V190" s="1348"/>
      <c r="W190" s="1348"/>
      <c r="X190" s="1348"/>
      <c r="Y190" s="1348"/>
      <c r="Z190" s="1348"/>
      <c r="AA190" s="1872"/>
      <c r="AB190" s="730"/>
      <c r="AC190" s="730"/>
      <c r="AD190" s="730"/>
      <c r="AE190" s="730"/>
    </row>
    <row s="7114" customFormat="1" customHeight="1" ht="11.25">
      <c r="A191" s="1170"/>
      <c r="B191" s="1876"/>
      <c r="C191" s="1876"/>
      <c r="D191" s="499"/>
      <c r="K191" s="1348"/>
      <c r="L191" s="1876"/>
      <c r="M191" s="1876"/>
      <c r="N191" s="1348"/>
      <c r="O191" s="1348"/>
      <c r="P191" s="1348"/>
      <c r="Q191" s="1348"/>
      <c r="R191" s="1876"/>
      <c r="S191" s="1348"/>
      <c r="T191" s="1348"/>
      <c r="U191" s="708"/>
      <c r="V191" s="1348"/>
      <c r="W191" s="1348"/>
      <c r="X191" s="1348"/>
      <c r="Y191" s="1348"/>
      <c r="Z191" s="1348"/>
      <c r="AA191" s="1872"/>
      <c r="AB191" s="730"/>
      <c r="AC191" s="730"/>
      <c r="AD191" s="730"/>
      <c r="AE191" s="730"/>
    </row>
    <row s="7114" customFormat="1" customHeight="1" ht="11.25">
      <c r="A192" s="1170"/>
      <c r="B192" s="1876"/>
      <c r="C192" s="1876"/>
      <c r="D192" s="499"/>
      <c r="K192" s="1348"/>
      <c r="L192" s="1876"/>
      <c r="M192" s="1876"/>
      <c r="N192" s="1348"/>
      <c r="O192" s="1348"/>
      <c r="P192" s="1348"/>
      <c r="Q192" s="1348"/>
      <c r="R192" s="1876"/>
      <c r="S192" s="1348"/>
      <c r="T192" s="1348"/>
      <c r="U192" s="708"/>
      <c r="V192" s="1348"/>
      <c r="W192" s="1348"/>
      <c r="X192" s="1348"/>
      <c r="Y192" s="1348"/>
      <c r="Z192" s="1348"/>
      <c r="AA192" s="1872"/>
      <c r="AB192" s="730"/>
      <c r="AC192" s="730"/>
      <c r="AD192" s="730"/>
      <c r="AE192" s="730"/>
    </row>
    <row s="7114" customFormat="1" customHeight="1" ht="11.25">
      <c r="A193" s="1170"/>
      <c r="B193" s="1876"/>
      <c r="C193" s="1876"/>
      <c r="D193" s="499"/>
      <c r="K193" s="1348"/>
      <c r="L193" s="1876"/>
      <c r="M193" s="1876"/>
      <c r="N193" s="1348"/>
      <c r="O193" s="1348"/>
      <c r="P193" s="1348"/>
      <c r="Q193" s="1348"/>
      <c r="R193" s="1876"/>
      <c r="S193" s="1348"/>
      <c r="T193" s="1348"/>
      <c r="U193" s="708"/>
      <c r="V193" s="1348"/>
      <c r="W193" s="1348"/>
      <c r="X193" s="1348"/>
      <c r="Y193" s="1348"/>
      <c r="Z193" s="1348"/>
      <c r="AA193" s="1872"/>
      <c r="AB193" s="730"/>
      <c r="AC193" s="730"/>
      <c r="AD193" s="730"/>
      <c r="AE193" s="730"/>
    </row>
    <row s="7114" customFormat="1" customHeight="1" ht="11.25">
      <c r="A194" s="1170"/>
      <c r="B194" s="1876"/>
      <c r="C194" s="1876"/>
      <c r="D194" s="499"/>
      <c r="K194" s="1348"/>
      <c r="L194" s="1876"/>
      <c r="M194" s="1876"/>
      <c r="N194" s="1348"/>
      <c r="O194" s="1348"/>
      <c r="P194" s="1348"/>
      <c r="Q194" s="1348"/>
      <c r="R194" s="1876"/>
      <c r="S194" s="1348"/>
      <c r="T194" s="1348"/>
      <c r="U194" s="708"/>
      <c r="V194" s="1348"/>
      <c r="W194" s="1348"/>
      <c r="X194" s="1348"/>
      <c r="Y194" s="1348"/>
      <c r="Z194" s="1348"/>
      <c r="AA194" s="1872"/>
      <c r="AB194" s="730"/>
      <c r="AC194" s="730"/>
      <c r="AD194" s="730"/>
      <c r="AE194" s="730"/>
    </row>
    <row s="7114" customFormat="1" customHeight="1" ht="11.25">
      <c r="A195" s="1170"/>
      <c r="B195" s="1876"/>
      <c r="C195" s="1876"/>
      <c r="D195" s="499"/>
      <c r="K195" s="1348"/>
      <c r="L195" s="1876"/>
      <c r="M195" s="1876"/>
      <c r="N195" s="1348"/>
      <c r="O195" s="1348"/>
      <c r="P195" s="1348"/>
      <c r="Q195" s="1348"/>
      <c r="R195" s="1876"/>
      <c r="S195" s="1348"/>
      <c r="T195" s="1348"/>
      <c r="U195" s="708"/>
      <c r="V195" s="1348"/>
      <c r="W195" s="1348"/>
      <c r="X195" s="1348"/>
      <c r="Y195" s="1348"/>
      <c r="Z195" s="1348"/>
      <c r="AA195" s="1872"/>
      <c r="AB195" s="730"/>
      <c r="AC195" s="730"/>
      <c r="AD195" s="730"/>
      <c r="AE195" s="730"/>
    </row>
    <row s="7114" customFormat="1" customHeight="1" ht="11.25">
      <c r="A196" s="1170"/>
      <c r="B196" s="1876"/>
      <c r="C196" s="1876"/>
      <c r="D196" s="499"/>
      <c r="K196" s="1348"/>
      <c r="L196" s="1876"/>
      <c r="M196" s="1876"/>
      <c r="N196" s="1348"/>
      <c r="O196" s="1348"/>
      <c r="P196" s="1348"/>
      <c r="Q196" s="1348"/>
      <c r="R196" s="1876"/>
      <c r="S196" s="1348"/>
      <c r="T196" s="1348"/>
      <c r="U196" s="708"/>
      <c r="V196" s="1348"/>
      <c r="W196" s="1348"/>
      <c r="X196" s="1348"/>
      <c r="Y196" s="1348"/>
      <c r="Z196" s="1348"/>
      <c r="AA196" s="1872"/>
      <c r="AB196" s="730"/>
      <c r="AC196" s="730"/>
      <c r="AD196" s="730"/>
      <c r="AE196" s="730"/>
    </row>
    <row s="7114" customFormat="1" customHeight="1" ht="11.25">
      <c r="A197" s="1170"/>
      <c r="B197" s="1876"/>
      <c r="C197" s="1876"/>
      <c r="D197" s="499"/>
      <c r="K197" s="1348"/>
      <c r="L197" s="1876"/>
      <c r="M197" s="1876"/>
      <c r="N197" s="1348"/>
      <c r="O197" s="1348"/>
      <c r="P197" s="1348"/>
      <c r="Q197" s="1348"/>
      <c r="R197" s="1876"/>
      <c r="S197" s="1348"/>
      <c r="T197" s="1348"/>
      <c r="U197" s="708"/>
      <c r="V197" s="1348"/>
      <c r="W197" s="1348"/>
      <c r="X197" s="1348"/>
      <c r="Y197" s="1348"/>
      <c r="Z197" s="1348"/>
      <c r="AA197" s="1872"/>
      <c r="AB197" s="730"/>
      <c r="AC197" s="730"/>
      <c r="AD197" s="730"/>
      <c r="AE197" s="730"/>
    </row>
    <row s="7114" customFormat="1" customHeight="1" ht="11.25">
      <c r="A198" s="1170"/>
      <c r="B198" s="1876"/>
      <c r="C198" s="1876"/>
      <c r="D198" s="499"/>
      <c r="K198" s="1348"/>
      <c r="L198" s="1876"/>
      <c r="M198" s="1876"/>
      <c r="N198" s="1348"/>
      <c r="O198" s="1348"/>
      <c r="P198" s="1348"/>
      <c r="Q198" s="1348"/>
      <c r="R198" s="1876"/>
      <c r="S198" s="1348"/>
      <c r="T198" s="1348"/>
      <c r="U198" s="708"/>
      <c r="V198" s="1348"/>
      <c r="W198" s="1348"/>
      <c r="X198" s="1348"/>
      <c r="Y198" s="1348"/>
      <c r="Z198" s="1348"/>
      <c r="AA198" s="1872"/>
      <c r="AB198" s="730"/>
      <c r="AC198" s="730"/>
      <c r="AD198" s="730"/>
      <c r="AE198" s="730"/>
    </row>
    <row s="7114" customFormat="1" customHeight="1" ht="11.25">
      <c r="A199" s="1170"/>
      <c r="B199" s="1876"/>
      <c r="C199" s="1876"/>
      <c r="D199" s="499"/>
      <c r="K199" s="1348"/>
      <c r="L199" s="1876"/>
      <c r="M199" s="1876"/>
      <c r="N199" s="1348"/>
      <c r="O199" s="1348"/>
      <c r="P199" s="1348"/>
      <c r="Q199" s="1348"/>
      <c r="R199" s="1876"/>
      <c r="S199" s="1348"/>
      <c r="T199" s="1348"/>
      <c r="U199" s="708"/>
      <c r="V199" s="1348"/>
      <c r="W199" s="1348"/>
      <c r="X199" s="1348"/>
      <c r="Y199" s="1348"/>
      <c r="Z199" s="1348"/>
      <c r="AA199" s="1872"/>
      <c r="AB199" s="730"/>
      <c r="AC199" s="730"/>
      <c r="AD199" s="730"/>
      <c r="AE199" s="730"/>
    </row>
    <row s="7114" customFormat="1" customHeight="1" ht="11.25">
      <c r="A200" s="1170"/>
      <c r="B200" s="1876"/>
      <c r="C200" s="1876"/>
      <c r="D200" s="499"/>
      <c r="K200" s="1348"/>
      <c r="L200" s="1876"/>
      <c r="M200" s="1876"/>
      <c r="N200" s="1348"/>
      <c r="O200" s="1348"/>
      <c r="P200" s="1348"/>
      <c r="Q200" s="1348"/>
      <c r="R200" s="1876"/>
      <c r="S200" s="1348"/>
      <c r="T200" s="1348"/>
      <c r="U200" s="708"/>
      <c r="V200" s="1348"/>
      <c r="W200" s="1348"/>
      <c r="X200" s="1348"/>
      <c r="Y200" s="1348"/>
      <c r="Z200" s="1348"/>
      <c r="AA200" s="1872"/>
      <c r="AB200" s="730"/>
      <c r="AC200" s="730"/>
      <c r="AD200" s="730"/>
      <c r="AE200" s="730"/>
    </row>
    <row s="7114" customFormat="1" customHeight="1" ht="11.25">
      <c r="A201" s="1170"/>
      <c r="B201" s="1876"/>
      <c r="C201" s="1876"/>
      <c r="D201" s="499"/>
      <c r="K201" s="1348"/>
      <c r="L201" s="1876"/>
      <c r="M201" s="1876"/>
      <c r="N201" s="1348"/>
      <c r="O201" s="1348"/>
      <c r="P201" s="1348"/>
      <c r="Q201" s="1348"/>
      <c r="R201" s="1876"/>
      <c r="S201" s="1348"/>
      <c r="T201" s="1348"/>
      <c r="U201" s="708"/>
      <c r="V201" s="1348"/>
      <c r="W201" s="1348"/>
      <c r="X201" s="1348"/>
      <c r="Y201" s="1348"/>
      <c r="Z201" s="1348"/>
      <c r="AA201" s="1872"/>
      <c r="AB201" s="730"/>
      <c r="AC201" s="730"/>
      <c r="AD201" s="730"/>
      <c r="AE201" s="730"/>
    </row>
    <row s="7114" customFormat="1" customHeight="1" ht="11.25">
      <c r="A202" s="1170"/>
      <c r="B202" s="1876"/>
      <c r="C202" s="1876"/>
      <c r="D202" s="499"/>
      <c r="K202" s="1348"/>
      <c r="L202" s="1876"/>
      <c r="M202" s="1876"/>
      <c r="N202" s="1348"/>
      <c r="O202" s="1348"/>
      <c r="P202" s="1348"/>
      <c r="Q202" s="1348"/>
      <c r="R202" s="1876"/>
      <c r="S202" s="1348"/>
      <c r="T202" s="1348"/>
      <c r="U202" s="708"/>
      <c r="V202" s="1348"/>
      <c r="W202" s="1348"/>
      <c r="X202" s="1348"/>
      <c r="Y202" s="1348"/>
      <c r="Z202" s="1348"/>
      <c r="AA202" s="1872"/>
      <c r="AB202" s="730"/>
      <c r="AC202" s="730"/>
      <c r="AD202" s="730"/>
      <c r="AE202" s="730"/>
    </row>
    <row s="7114" customFormat="1" customHeight="1" ht="11.25">
      <c r="A203" s="1170"/>
      <c r="B203" s="1876"/>
      <c r="C203" s="1876"/>
      <c r="D203" s="499"/>
      <c r="K203" s="1348"/>
      <c r="L203" s="1876"/>
      <c r="M203" s="1876"/>
      <c r="N203" s="1348"/>
      <c r="O203" s="1348"/>
      <c r="P203" s="1348"/>
      <c r="Q203" s="1348"/>
      <c r="R203" s="1876"/>
      <c r="S203" s="1348"/>
      <c r="T203" s="1348"/>
      <c r="U203" s="708"/>
      <c r="V203" s="1348"/>
      <c r="W203" s="1348"/>
      <c r="X203" s="1348"/>
      <c r="Y203" s="1348"/>
      <c r="Z203" s="1348"/>
      <c r="AA203" s="1872"/>
      <c r="AB203" s="730"/>
      <c r="AC203" s="730"/>
      <c r="AD203" s="730"/>
      <c r="AE203" s="730"/>
    </row>
    <row s="7114" customFormat="1" customHeight="1" ht="11.25">
      <c r="A204" s="1170"/>
      <c r="B204" s="1876"/>
      <c r="C204" s="1876"/>
      <c r="D204" s="499"/>
      <c r="K204" s="1348"/>
      <c r="L204" s="1876"/>
      <c r="M204" s="1876"/>
      <c r="N204" s="1348"/>
      <c r="O204" s="1348"/>
      <c r="P204" s="1348"/>
      <c r="Q204" s="1348"/>
      <c r="R204" s="1876"/>
      <c r="S204" s="1348"/>
      <c r="T204" s="1348"/>
      <c r="U204" s="708"/>
      <c r="V204" s="1348"/>
      <c r="W204" s="1348"/>
      <c r="X204" s="1348"/>
      <c r="Y204" s="1348"/>
      <c r="Z204" s="1348"/>
      <c r="AA204" s="1872"/>
      <c r="AB204" s="730"/>
      <c r="AC204" s="730"/>
      <c r="AD204" s="730"/>
      <c r="AE204" s="730"/>
    </row>
    <row s="7114" customFormat="1" customHeight="1" ht="11.25">
      <c r="A205" s="1170"/>
      <c r="B205" s="1876"/>
      <c r="C205" s="1876"/>
      <c r="D205" s="499"/>
      <c r="K205" s="1348"/>
      <c r="L205" s="1876"/>
      <c r="M205" s="1876"/>
      <c r="N205" s="1348"/>
      <c r="O205" s="1348"/>
      <c r="P205" s="1348"/>
      <c r="Q205" s="1348"/>
      <c r="R205" s="1876"/>
      <c r="S205" s="1348"/>
      <c r="T205" s="1348"/>
      <c r="U205" s="708"/>
      <c r="V205" s="1348"/>
      <c r="W205" s="1348"/>
      <c r="X205" s="1348"/>
      <c r="Y205" s="1348"/>
      <c r="Z205" s="1348"/>
      <c r="AA205" s="1872"/>
      <c r="AB205" s="730"/>
      <c r="AC205" s="730"/>
      <c r="AD205" s="730"/>
      <c r="AE205" s="730"/>
    </row>
    <row s="7114" customFormat="1" customHeight="1" ht="11.25">
      <c r="A206" s="1170"/>
      <c r="B206" s="1876"/>
      <c r="C206" s="1876"/>
      <c r="D206" s="499"/>
      <c r="K206" s="1348"/>
      <c r="L206" s="1876"/>
      <c r="M206" s="1876"/>
      <c r="N206" s="1348"/>
      <c r="O206" s="1348"/>
      <c r="P206" s="1348"/>
      <c r="Q206" s="1348"/>
      <c r="R206" s="1876"/>
      <c r="S206" s="1348"/>
      <c r="T206" s="1348"/>
      <c r="U206" s="708"/>
      <c r="V206" s="1348"/>
      <c r="W206" s="1348"/>
      <c r="X206" s="1348"/>
      <c r="Y206" s="1348"/>
      <c r="Z206" s="1348"/>
      <c r="AA206" s="1872"/>
      <c r="AB206" s="730"/>
      <c r="AC206" s="730"/>
      <c r="AD206" s="730"/>
      <c r="AE206" s="730"/>
    </row>
    <row s="7114" customFormat="1" customHeight="1" ht="11.25">
      <c r="A207" s="1170"/>
      <c r="B207" s="1876"/>
      <c r="C207" s="1876"/>
      <c r="D207" s="499"/>
      <c r="K207" s="1348"/>
      <c r="L207" s="1876"/>
      <c r="M207" s="1876"/>
      <c r="N207" s="1348"/>
      <c r="O207" s="1348"/>
      <c r="P207" s="1348"/>
      <c r="Q207" s="1348"/>
      <c r="R207" s="1876"/>
      <c r="S207" s="1348"/>
      <c r="T207" s="1348"/>
      <c r="U207" s="708"/>
      <c r="V207" s="1348"/>
      <c r="W207" s="1348"/>
      <c r="X207" s="1348"/>
      <c r="Y207" s="1348"/>
      <c r="Z207" s="1348"/>
      <c r="AA207" s="1872"/>
      <c r="AB207" s="730"/>
      <c r="AC207" s="730"/>
      <c r="AD207" s="730"/>
      <c r="AE207" s="730"/>
    </row>
    <row s="7114" customFormat="1" customHeight="1" ht="11.25">
      <c r="A208" s="1170"/>
      <c r="B208" s="1876"/>
      <c r="C208" s="1876"/>
      <c r="D208" s="499"/>
      <c r="K208" s="1348"/>
      <c r="L208" s="1876"/>
      <c r="M208" s="1876"/>
      <c r="N208" s="1348"/>
      <c r="O208" s="1348"/>
      <c r="P208" s="1348"/>
      <c r="Q208" s="1348"/>
      <c r="R208" s="1876"/>
      <c r="S208" s="1348"/>
      <c r="T208" s="1348"/>
      <c r="U208" s="708"/>
      <c r="V208" s="1348"/>
      <c r="W208" s="1348"/>
      <c r="X208" s="1348"/>
      <c r="Y208" s="1348"/>
      <c r="Z208" s="1348"/>
      <c r="AA208" s="1872"/>
      <c r="AB208" s="730"/>
      <c r="AC208" s="730"/>
      <c r="AD208" s="730"/>
      <c r="AE208" s="730"/>
    </row>
    <row s="7114" customFormat="1" customHeight="1" ht="11.25">
      <c r="A209" s="1170"/>
      <c r="B209" s="1876"/>
      <c r="C209" s="1876"/>
      <c r="D209" s="499"/>
      <c r="K209" s="1348"/>
      <c r="L209" s="1876"/>
      <c r="M209" s="1876"/>
      <c r="N209" s="1348"/>
      <c r="O209" s="1348"/>
      <c r="P209" s="1348"/>
      <c r="Q209" s="1348"/>
      <c r="R209" s="1876"/>
      <c r="S209" s="1348"/>
      <c r="T209" s="1348"/>
      <c r="U209" s="708"/>
      <c r="V209" s="1348"/>
      <c r="W209" s="1348"/>
      <c r="X209" s="1348"/>
      <c r="Y209" s="1348"/>
      <c r="Z209" s="1348"/>
      <c r="AA209" s="1872"/>
      <c r="AB209" s="730"/>
      <c r="AC209" s="730"/>
      <c r="AD209" s="730"/>
      <c r="AE209" s="730"/>
    </row>
    <row s="7114" customFormat="1" customHeight="1" ht="11.25">
      <c r="A210" s="1170"/>
      <c r="B210" s="1876"/>
      <c r="C210" s="1876"/>
      <c r="D210" s="499"/>
      <c r="K210" s="1348"/>
      <c r="L210" s="1876"/>
      <c r="M210" s="1876"/>
      <c r="N210" s="1348"/>
      <c r="O210" s="1348"/>
      <c r="P210" s="1348"/>
      <c r="Q210" s="1348"/>
      <c r="R210" s="1876"/>
      <c r="S210" s="1348"/>
      <c r="T210" s="1348"/>
      <c r="U210" s="708"/>
      <c r="V210" s="1348"/>
      <c r="W210" s="1348"/>
      <c r="X210" s="1348"/>
      <c r="Y210" s="1348"/>
      <c r="Z210" s="1348"/>
      <c r="AA210" s="1872"/>
      <c r="AB210" s="730"/>
      <c r="AC210" s="730"/>
      <c r="AD210" s="730"/>
      <c r="AE210" s="730"/>
    </row>
    <row s="7114" customFormat="1" customHeight="1" ht="11.25">
      <c r="A211" s="1170"/>
      <c r="B211" s="1876"/>
      <c r="C211" s="1876"/>
      <c r="D211" s="499"/>
      <c r="K211" s="1348"/>
      <c r="L211" s="1876"/>
      <c r="M211" s="1876"/>
      <c r="N211" s="1348"/>
      <c r="O211" s="1348"/>
      <c r="P211" s="1348"/>
      <c r="Q211" s="1348"/>
      <c r="R211" s="1876"/>
      <c r="S211" s="1348"/>
      <c r="T211" s="1348"/>
      <c r="U211" s="708"/>
      <c r="V211" s="1348"/>
      <c r="W211" s="1348"/>
      <c r="X211" s="1348"/>
      <c r="Y211" s="1348"/>
      <c r="Z211" s="1348"/>
      <c r="AA211" s="1872"/>
      <c r="AB211" s="730"/>
      <c r="AC211" s="730"/>
      <c r="AD211" s="730"/>
      <c r="AE211" s="730"/>
    </row>
    <row s="7114" customFormat="1" customHeight="1" ht="11.25">
      <c r="A212" s="1170"/>
      <c r="B212" s="1876"/>
      <c r="C212" s="1876"/>
      <c r="D212" s="499"/>
      <c r="K212" s="1348"/>
      <c r="L212" s="1876"/>
      <c r="M212" s="1876"/>
      <c r="N212" s="1348"/>
      <c r="O212" s="1348"/>
      <c r="P212" s="1348"/>
      <c r="Q212" s="1348"/>
      <c r="R212" s="1876"/>
      <c r="S212" s="1348"/>
      <c r="T212" s="1348"/>
      <c r="U212" s="708"/>
      <c r="V212" s="1348"/>
      <c r="W212" s="1348"/>
      <c r="X212" s="1348"/>
      <c r="Y212" s="1348"/>
      <c r="Z212" s="1348"/>
      <c r="AA212" s="1872"/>
      <c r="AB212" s="730"/>
      <c r="AC212" s="730"/>
      <c r="AD212" s="730"/>
      <c r="AE212" s="730"/>
    </row>
    <row s="7114" customFormat="1" customHeight="1" ht="11.25">
      <c r="A213" s="1170"/>
      <c r="B213" s="1876"/>
      <c r="C213" s="1876"/>
      <c r="D213" s="499"/>
      <c r="K213" s="1348"/>
      <c r="L213" s="1876"/>
      <c r="M213" s="1876"/>
      <c r="N213" s="1348"/>
      <c r="O213" s="1348"/>
      <c r="P213" s="1348"/>
      <c r="Q213" s="1348"/>
      <c r="R213" s="1876"/>
      <c r="S213" s="1348"/>
      <c r="T213" s="1348"/>
      <c r="U213" s="708"/>
      <c r="V213" s="1348"/>
      <c r="W213" s="1348"/>
      <c r="X213" s="1348"/>
      <c r="Y213" s="1348"/>
      <c r="Z213" s="1348"/>
      <c r="AA213" s="1872"/>
      <c r="AB213" s="730"/>
      <c r="AC213" s="730"/>
      <c r="AD213" s="730"/>
      <c r="AE213" s="730"/>
    </row>
    <row s="7114" customFormat="1" customHeight="1" ht="11.25">
      <c r="A214" s="1170"/>
      <c r="B214" s="1876"/>
      <c r="C214" s="1876"/>
      <c r="D214" s="499"/>
      <c r="K214" s="1348"/>
      <c r="L214" s="1876"/>
      <c r="M214" s="1876"/>
      <c r="N214" s="1348"/>
      <c r="O214" s="1348"/>
      <c r="P214" s="1348"/>
      <c r="Q214" s="1348"/>
      <c r="R214" s="1876"/>
      <c r="S214" s="1348"/>
      <c r="T214" s="1348"/>
      <c r="U214" s="708"/>
      <c r="V214" s="1348"/>
      <c r="W214" s="1348"/>
      <c r="X214" s="1348"/>
      <c r="Y214" s="1348"/>
      <c r="Z214" s="1348"/>
      <c r="AA214" s="1872"/>
      <c r="AB214" s="730"/>
      <c r="AC214" s="730"/>
      <c r="AD214" s="730"/>
      <c r="AE214" s="730"/>
    </row>
    <row s="7114" customFormat="1" customHeight="1" ht="11.25">
      <c r="A215" s="1170"/>
      <c r="B215" s="1876"/>
      <c r="C215" s="1876"/>
      <c r="D215" s="499"/>
      <c r="K215" s="1348"/>
      <c r="L215" s="1876"/>
      <c r="M215" s="1876"/>
      <c r="N215" s="1348"/>
      <c r="O215" s="1348"/>
      <c r="P215" s="1348"/>
      <c r="Q215" s="1348"/>
      <c r="R215" s="1876"/>
      <c r="S215" s="1348"/>
      <c r="T215" s="1348"/>
      <c r="U215" s="708"/>
      <c r="V215" s="1348"/>
      <c r="W215" s="1348"/>
      <c r="X215" s="1348"/>
      <c r="Y215" s="1348"/>
      <c r="Z215" s="1348"/>
      <c r="AA215" s="1872"/>
      <c r="AB215" s="730"/>
      <c r="AC215" s="730"/>
      <c r="AD215" s="730"/>
      <c r="AE215" s="730"/>
    </row>
    <row s="7114" customFormat="1" customHeight="1" ht="11.25">
      <c r="A216" s="1170"/>
      <c r="B216" s="1876"/>
      <c r="C216" s="1876"/>
      <c r="D216" s="499"/>
      <c r="K216" s="1348"/>
      <c r="L216" s="1876"/>
      <c r="M216" s="1876"/>
      <c r="N216" s="1348"/>
      <c r="O216" s="1348"/>
      <c r="P216" s="1348"/>
      <c r="Q216" s="1348"/>
      <c r="R216" s="1876"/>
      <c r="S216" s="1348"/>
      <c r="T216" s="1348"/>
      <c r="U216" s="708"/>
      <c r="V216" s="1348"/>
      <c r="W216" s="1348"/>
      <c r="X216" s="1348"/>
      <c r="Y216" s="1348"/>
      <c r="Z216" s="1348"/>
      <c r="AA216" s="1872"/>
      <c r="AB216" s="730"/>
      <c r="AC216" s="730"/>
      <c r="AD216" s="730"/>
      <c r="AE216" s="730"/>
    </row>
    <row s="7114" customFormat="1" customHeight="1" ht="11.25">
      <c r="A217" s="1170"/>
      <c r="B217" s="1876"/>
      <c r="C217" s="1876"/>
      <c r="D217" s="499"/>
      <c r="K217" s="1348"/>
      <c r="L217" s="1876"/>
      <c r="M217" s="1876"/>
      <c r="N217" s="1348"/>
      <c r="O217" s="1348"/>
      <c r="P217" s="1348"/>
      <c r="Q217" s="1348"/>
      <c r="R217" s="1876"/>
      <c r="S217" s="1348"/>
      <c r="T217" s="1348"/>
      <c r="U217" s="708"/>
      <c r="V217" s="1348"/>
      <c r="W217" s="1348"/>
      <c r="X217" s="1348"/>
      <c r="Y217" s="1348"/>
      <c r="Z217" s="1348"/>
      <c r="AA217" s="1872"/>
      <c r="AB217" s="730"/>
      <c r="AC217" s="730"/>
      <c r="AD217" s="730"/>
      <c r="AE217" s="730"/>
    </row>
    <row s="7114" customFormat="1" customHeight="1" ht="11.25">
      <c r="A218" s="1170"/>
      <c r="B218" s="1876"/>
      <c r="C218" s="1876"/>
      <c r="D218" s="499"/>
      <c r="K218" s="1348"/>
      <c r="L218" s="1876"/>
      <c r="M218" s="1876"/>
      <c r="N218" s="1348"/>
      <c r="O218" s="1348"/>
      <c r="P218" s="1348"/>
      <c r="Q218" s="1348"/>
      <c r="R218" s="1876"/>
      <c r="S218" s="1348"/>
      <c r="T218" s="1348"/>
      <c r="U218" s="708"/>
      <c r="V218" s="1348"/>
      <c r="W218" s="1348"/>
      <c r="X218" s="1348"/>
      <c r="Y218" s="1348"/>
      <c r="Z218" s="1348"/>
      <c r="AA218" s="1872"/>
      <c r="AB218" s="730"/>
      <c r="AC218" s="730"/>
      <c r="AD218" s="730"/>
      <c r="AE218" s="730"/>
    </row>
    <row s="7114" customFormat="1" customHeight="1" ht="11.25">
      <c r="A219" s="1170"/>
      <c r="B219" s="1876"/>
      <c r="C219" s="1876"/>
      <c r="D219" s="499"/>
      <c r="K219" s="1348"/>
      <c r="L219" s="1876"/>
      <c r="M219" s="1876"/>
      <c r="N219" s="1348"/>
      <c r="O219" s="1348"/>
      <c r="P219" s="1348"/>
      <c r="Q219" s="1348"/>
      <c r="R219" s="1876"/>
      <c r="S219" s="1348"/>
      <c r="T219" s="1348"/>
      <c r="U219" s="708"/>
      <c r="V219" s="1348"/>
      <c r="W219" s="1348"/>
      <c r="X219" s="1348"/>
      <c r="Y219" s="1348"/>
      <c r="Z219" s="1348"/>
      <c r="AA219" s="1872"/>
      <c r="AB219" s="730"/>
      <c r="AC219" s="730"/>
      <c r="AD219" s="730"/>
      <c r="AE219" s="730"/>
    </row>
    <row s="7114" customFormat="1" customHeight="1" ht="11.25">
      <c r="A220" s="1170"/>
      <c r="B220" s="1876"/>
      <c r="C220" s="1876"/>
      <c r="D220" s="499"/>
      <c r="K220" s="1348"/>
      <c r="L220" s="1876"/>
      <c r="M220" s="1876"/>
      <c r="N220" s="1348"/>
      <c r="O220" s="1348"/>
      <c r="P220" s="1348"/>
      <c r="Q220" s="1348"/>
      <c r="R220" s="1876"/>
      <c r="S220" s="1348"/>
      <c r="T220" s="1348"/>
      <c r="U220" s="708"/>
      <c r="V220" s="1348"/>
      <c r="W220" s="1348"/>
      <c r="X220" s="1348"/>
      <c r="Y220" s="1348"/>
      <c r="Z220" s="1348"/>
      <c r="AA220" s="1872"/>
      <c r="AB220" s="730"/>
      <c r="AC220" s="730"/>
      <c r="AD220" s="730"/>
      <c r="AE220" s="730"/>
    </row>
    <row s="7114" customFormat="1" customHeight="1" ht="11.25">
      <c r="A221" s="1170"/>
      <c r="B221" s="1876"/>
      <c r="C221" s="1876"/>
      <c r="D221" s="499"/>
      <c r="K221" s="1348"/>
      <c r="L221" s="1876"/>
      <c r="M221" s="1876"/>
      <c r="N221" s="1348"/>
      <c r="O221" s="1348"/>
      <c r="P221" s="1348"/>
      <c r="Q221" s="1348"/>
      <c r="R221" s="1876"/>
      <c r="S221" s="1348"/>
      <c r="T221" s="1348"/>
      <c r="U221" s="708"/>
      <c r="V221" s="1348"/>
      <c r="W221" s="1348"/>
      <c r="X221" s="1348"/>
      <c r="Y221" s="1348"/>
      <c r="Z221" s="1348"/>
      <c r="AA221" s="1872"/>
      <c r="AB221" s="730"/>
      <c r="AC221" s="730"/>
      <c r="AD221" s="730"/>
      <c r="AE221" s="730"/>
    </row>
    <row s="7114" customFormat="1" customHeight="1" ht="11.25">
      <c r="A222" s="1170"/>
      <c r="B222" s="1876"/>
      <c r="C222" s="1876"/>
      <c r="D222" s="499"/>
      <c r="K222" s="1348"/>
      <c r="L222" s="1876"/>
      <c r="M222" s="1876"/>
      <c r="N222" s="1348"/>
      <c r="O222" s="1348"/>
      <c r="P222" s="1348"/>
      <c r="Q222" s="1348"/>
      <c r="R222" s="1876"/>
      <c r="S222" s="1348"/>
      <c r="T222" s="1348"/>
      <c r="U222" s="708"/>
      <c r="V222" s="1348"/>
      <c r="W222" s="1348"/>
      <c r="X222" s="1348"/>
      <c r="Y222" s="1348"/>
      <c r="Z222" s="1348"/>
      <c r="AA222" s="1872"/>
      <c r="AB222" s="730"/>
      <c r="AC222" s="730"/>
      <c r="AD222" s="730"/>
      <c r="AE222" s="730"/>
    </row>
    <row s="7114" customFormat="1" customHeight="1" ht="11.25">
      <c r="A223" s="1170"/>
      <c r="B223" s="1876"/>
      <c r="C223" s="1876"/>
      <c r="D223" s="499"/>
      <c r="K223" s="1348"/>
      <c r="L223" s="1876"/>
      <c r="M223" s="1876"/>
      <c r="N223" s="1348"/>
      <c r="O223" s="1348"/>
      <c r="P223" s="1348"/>
      <c r="Q223" s="1348"/>
      <c r="R223" s="1876"/>
      <c r="S223" s="1348"/>
      <c r="T223" s="1348"/>
      <c r="U223" s="708"/>
      <c r="V223" s="1348"/>
      <c r="W223" s="1348"/>
      <c r="X223" s="1348"/>
      <c r="Y223" s="1348"/>
      <c r="Z223" s="1348"/>
      <c r="AA223" s="1872"/>
      <c r="AB223" s="730"/>
      <c r="AC223" s="730"/>
      <c r="AD223" s="730"/>
      <c r="AE223" s="730"/>
    </row>
    <row s="7114" customFormat="1" customHeight="1" ht="11.25">
      <c r="A224" s="1170"/>
      <c r="B224" s="1876"/>
      <c r="C224" s="1876"/>
      <c r="D224" s="499"/>
      <c r="K224" s="1348"/>
      <c r="L224" s="1876"/>
      <c r="M224" s="1876"/>
      <c r="N224" s="1348"/>
      <c r="O224" s="1348"/>
      <c r="P224" s="1348"/>
      <c r="Q224" s="1348"/>
      <c r="R224" s="1876"/>
      <c r="S224" s="1348"/>
      <c r="T224" s="1348"/>
      <c r="U224" s="708"/>
      <c r="V224" s="1348"/>
      <c r="W224" s="1348"/>
      <c r="X224" s="1348"/>
      <c r="Y224" s="1348"/>
      <c r="Z224" s="1348"/>
      <c r="AA224" s="1872"/>
      <c r="AB224" s="730"/>
      <c r="AC224" s="730"/>
      <c r="AD224" s="730"/>
      <c r="AE224" s="730"/>
    </row>
    <row s="7114" customFormat="1" customHeight="1" ht="11.25">
      <c r="A225" s="1170"/>
      <c r="B225" s="1876"/>
      <c r="C225" s="1876"/>
      <c r="D225" s="499"/>
      <c r="K225" s="1348"/>
      <c r="L225" s="1876"/>
      <c r="M225" s="1876"/>
      <c r="N225" s="1348"/>
      <c r="O225" s="1348"/>
      <c r="P225" s="1348"/>
      <c r="Q225" s="1348"/>
      <c r="R225" s="1876"/>
      <c r="S225" s="1348"/>
      <c r="T225" s="1348"/>
      <c r="U225" s="708"/>
      <c r="V225" s="1348"/>
      <c r="W225" s="1348"/>
      <c r="X225" s="1348"/>
      <c r="Y225" s="1348"/>
      <c r="Z225" s="1348"/>
      <c r="AA225" s="1872"/>
      <c r="AB225" s="730"/>
      <c r="AC225" s="730"/>
      <c r="AD225" s="730"/>
      <c r="AE225" s="730"/>
    </row>
    <row s="7114" customFormat="1" customHeight="1" ht="11.25">
      <c r="A226" s="1170"/>
      <c r="B226" s="1876"/>
      <c r="C226" s="1876"/>
      <c r="D226" s="499"/>
      <c r="K226" s="1348"/>
      <c r="L226" s="1876"/>
      <c r="M226" s="1876"/>
      <c r="N226" s="1348"/>
      <c r="O226" s="1348"/>
      <c r="P226" s="1348"/>
      <c r="Q226" s="1348"/>
      <c r="R226" s="1876"/>
      <c r="S226" s="1348"/>
      <c r="T226" s="1348"/>
      <c r="U226" s="708"/>
      <c r="V226" s="1348"/>
      <c r="W226" s="1348"/>
      <c r="X226" s="1348"/>
      <c r="Y226" s="1348"/>
      <c r="Z226" s="1348"/>
      <c r="AA226" s="1872"/>
      <c r="AB226" s="730"/>
      <c r="AC226" s="730"/>
      <c r="AD226" s="730"/>
      <c r="AE226" s="730"/>
    </row>
    <row s="7114" customFormat="1" customHeight="1" ht="11.25">
      <c r="A227" s="1170"/>
      <c r="B227" s="1876"/>
      <c r="C227" s="1876"/>
      <c r="D227" s="499"/>
      <c r="K227" s="1348"/>
      <c r="L227" s="1876"/>
      <c r="M227" s="1876"/>
      <c r="N227" s="1348"/>
      <c r="O227" s="1348"/>
      <c r="P227" s="1348"/>
      <c r="Q227" s="1348"/>
      <c r="R227" s="1876"/>
      <c r="S227" s="1348"/>
      <c r="T227" s="1348"/>
      <c r="U227" s="708"/>
      <c r="V227" s="1348"/>
      <c r="W227" s="1348"/>
      <c r="X227" s="1348"/>
      <c r="Y227" s="1348"/>
      <c r="Z227" s="1348"/>
      <c r="AA227" s="1872"/>
      <c r="AB227" s="730"/>
      <c r="AC227" s="730"/>
      <c r="AD227" s="730"/>
      <c r="AE227" s="730"/>
    </row>
    <row s="7114" customFormat="1" customHeight="1" ht="11.25">
      <c r="A228" s="1170"/>
      <c r="B228" s="1876"/>
      <c r="C228" s="1876"/>
      <c r="D228" s="499"/>
      <c r="K228" s="1348"/>
      <c r="L228" s="1876"/>
      <c r="M228" s="1876"/>
      <c r="N228" s="1348"/>
      <c r="O228" s="1348"/>
      <c r="P228" s="1348"/>
      <c r="Q228" s="1348"/>
      <c r="R228" s="1876"/>
      <c r="S228" s="1348"/>
      <c r="T228" s="1348"/>
      <c r="U228" s="708"/>
      <c r="V228" s="1348"/>
      <c r="W228" s="1348"/>
      <c r="X228" s="1348"/>
      <c r="Y228" s="1348"/>
      <c r="Z228" s="1348"/>
      <c r="AA228" s="1872"/>
      <c r="AB228" s="730"/>
      <c r="AC228" s="730"/>
      <c r="AD228" s="730"/>
      <c r="AE228" s="730"/>
    </row>
    <row s="7114" customFormat="1" customHeight="1" ht="11.25">
      <c r="A229" s="1170"/>
      <c r="B229" s="1876"/>
      <c r="C229" s="1876"/>
      <c r="D229" s="499"/>
      <c r="K229" s="1348"/>
      <c r="L229" s="1876"/>
      <c r="M229" s="1876"/>
      <c r="N229" s="1348"/>
      <c r="O229" s="1348"/>
      <c r="P229" s="1348"/>
      <c r="Q229" s="1348"/>
      <c r="R229" s="1876"/>
      <c r="S229" s="1348"/>
      <c r="T229" s="1348"/>
      <c r="U229" s="708"/>
      <c r="V229" s="1348"/>
      <c r="W229" s="1348"/>
      <c r="X229" s="1348"/>
      <c r="Y229" s="1348"/>
      <c r="Z229" s="1348"/>
      <c r="AA229" s="1872"/>
      <c r="AB229" s="730"/>
      <c r="AC229" s="730"/>
      <c r="AD229" s="730"/>
      <c r="AE229" s="730"/>
    </row>
    <row s="7114" customFormat="1" customHeight="1" ht="11.25">
      <c r="A230" s="1170"/>
      <c r="B230" s="1876"/>
      <c r="C230" s="1876"/>
      <c r="D230" s="499"/>
      <c r="K230" s="1348"/>
      <c r="L230" s="1876"/>
      <c r="M230" s="1876"/>
      <c r="N230" s="1348"/>
      <c r="O230" s="1348"/>
      <c r="P230" s="1348"/>
      <c r="Q230" s="1348"/>
      <c r="R230" s="1876"/>
      <c r="S230" s="1348"/>
      <c r="T230" s="1348"/>
      <c r="U230" s="708"/>
      <c r="V230" s="1348"/>
      <c r="W230" s="1348"/>
      <c r="X230" s="1348"/>
      <c r="Y230" s="1348"/>
      <c r="Z230" s="1348"/>
      <c r="AA230" s="1872"/>
      <c r="AB230" s="730"/>
      <c r="AC230" s="730"/>
      <c r="AD230" s="730"/>
      <c r="AE230" s="730"/>
    </row>
    <row s="7114" customFormat="1" customHeight="1" ht="11.25">
      <c r="A231" s="1170"/>
      <c r="B231" s="1876"/>
      <c r="C231" s="1876"/>
      <c r="D231" s="499"/>
      <c r="K231" s="1348"/>
      <c r="L231" s="1876"/>
      <c r="M231" s="1876"/>
      <c r="N231" s="1348"/>
      <c r="O231" s="1348"/>
      <c r="P231" s="1348"/>
      <c r="Q231" s="1348"/>
      <c r="R231" s="1876"/>
      <c r="S231" s="1348"/>
      <c r="T231" s="1348"/>
      <c r="U231" s="708"/>
      <c r="V231" s="1348"/>
      <c r="W231" s="1348"/>
      <c r="X231" s="1348"/>
      <c r="Y231" s="1348"/>
      <c r="Z231" s="1348"/>
      <c r="AA231" s="1872"/>
      <c r="AB231" s="730"/>
      <c r="AC231" s="730"/>
      <c r="AD231" s="730"/>
      <c r="AE231" s="730"/>
    </row>
    <row s="7114" customFormat="1" customHeight="1" ht="11.25">
      <c r="A232" s="1170"/>
      <c r="B232" s="1876"/>
      <c r="C232" s="1876"/>
      <c r="D232" s="499"/>
      <c r="K232" s="1348"/>
      <c r="L232" s="1876"/>
      <c r="M232" s="1876"/>
      <c r="N232" s="1348"/>
      <c r="O232" s="1348"/>
      <c r="P232" s="1348"/>
      <c r="Q232" s="1348"/>
      <c r="R232" s="1876"/>
      <c r="S232" s="1348"/>
      <c r="T232" s="1348"/>
      <c r="U232" s="708"/>
      <c r="V232" s="1348"/>
      <c r="W232" s="1348"/>
      <c r="X232" s="1348"/>
      <c r="Y232" s="1348"/>
      <c r="Z232" s="1348"/>
      <c r="AA232" s="1872"/>
      <c r="AB232" s="730"/>
      <c r="AC232" s="730"/>
      <c r="AD232" s="730"/>
      <c r="AE232" s="730"/>
    </row>
    <row s="7114" customFormat="1" customHeight="1" ht="11.25">
      <c r="A233" s="1170"/>
      <c r="B233" s="1876"/>
      <c r="C233" s="1876"/>
      <c r="D233" s="499"/>
      <c r="K233" s="1348"/>
      <c r="L233" s="1876"/>
      <c r="M233" s="1876"/>
      <c r="N233" s="1348"/>
      <c r="O233" s="1348"/>
      <c r="P233" s="1348"/>
      <c r="Q233" s="1348"/>
      <c r="R233" s="1876"/>
      <c r="S233" s="1348"/>
      <c r="T233" s="1348"/>
      <c r="U233" s="708"/>
      <c r="V233" s="1348"/>
      <c r="W233" s="1348"/>
      <c r="X233" s="1348"/>
      <c r="Y233" s="1348"/>
      <c r="Z233" s="1348"/>
      <c r="AA233" s="1872"/>
      <c r="AB233" s="730"/>
      <c r="AC233" s="730"/>
      <c r="AD233" s="730"/>
      <c r="AE233" s="730"/>
    </row>
    <row s="7114" customFormat="1" customHeight="1" ht="11.25">
      <c r="A234" s="1170"/>
      <c r="B234" s="1876"/>
      <c r="C234" s="1876"/>
      <c r="D234" s="499"/>
      <c r="K234" s="1348"/>
      <c r="L234" s="1876"/>
      <c r="M234" s="1876"/>
      <c r="N234" s="1348"/>
      <c r="O234" s="1348"/>
      <c r="P234" s="1348"/>
      <c r="Q234" s="1348"/>
      <c r="R234" s="1876"/>
      <c r="S234" s="1348"/>
      <c r="T234" s="1348"/>
      <c r="U234" s="708"/>
      <c r="V234" s="1348"/>
      <c r="W234" s="1348"/>
      <c r="X234" s="1348"/>
      <c r="Y234" s="1348"/>
      <c r="Z234" s="1348"/>
      <c r="AA234" s="1872"/>
      <c r="AB234" s="730"/>
      <c r="AC234" s="730"/>
      <c r="AD234" s="730"/>
      <c r="AE234" s="730"/>
    </row>
    <row s="7114" customFormat="1" customHeight="1" ht="11.25">
      <c r="A235" s="1170"/>
      <c r="B235" s="1876"/>
      <c r="C235" s="1876"/>
      <c r="D235" s="499"/>
      <c r="K235" s="1348"/>
      <c r="L235" s="1876"/>
      <c r="M235" s="1876"/>
      <c r="N235" s="1348"/>
      <c r="O235" s="1348"/>
      <c r="P235" s="1348"/>
      <c r="Q235" s="1348"/>
      <c r="R235" s="1876"/>
      <c r="S235" s="1348"/>
      <c r="T235" s="1348"/>
      <c r="U235" s="708"/>
      <c r="V235" s="1348"/>
      <c r="W235" s="1348"/>
      <c r="X235" s="1348"/>
      <c r="Y235" s="1348"/>
      <c r="Z235" s="1348"/>
      <c r="AA235" s="1872"/>
      <c r="AB235" s="730"/>
      <c r="AC235" s="730"/>
      <c r="AD235" s="730"/>
      <c r="AE235" s="730"/>
    </row>
    <row s="7114" customFormat="1" customHeight="1" ht="11.25">
      <c r="A236" s="1170"/>
      <c r="B236" s="1876"/>
      <c r="C236" s="1876"/>
      <c r="D236" s="499"/>
      <c r="K236" s="1348"/>
      <c r="L236" s="1876"/>
      <c r="M236" s="1876"/>
      <c r="N236" s="1348"/>
      <c r="O236" s="1348"/>
      <c r="P236" s="1348"/>
      <c r="Q236" s="1348"/>
      <c r="R236" s="1876"/>
      <c r="S236" s="1348"/>
      <c r="T236" s="1348"/>
      <c r="U236" s="708"/>
      <c r="V236" s="1348"/>
      <c r="W236" s="1348"/>
      <c r="X236" s="1348"/>
      <c r="Y236" s="1348"/>
      <c r="Z236" s="1348"/>
      <c r="AA236" s="1872"/>
      <c r="AB236" s="730"/>
      <c r="AC236" s="730"/>
      <c r="AD236" s="730"/>
      <c r="AE236" s="730"/>
    </row>
    <row s="7114" customFormat="1" customHeight="1" ht="11.25">
      <c r="A237" s="1170"/>
      <c r="B237" s="1876"/>
      <c r="C237" s="1876"/>
      <c r="D237" s="499"/>
      <c r="K237" s="1348"/>
      <c r="L237" s="1876"/>
      <c r="M237" s="1876"/>
      <c r="N237" s="1348"/>
      <c r="O237" s="1348"/>
      <c r="P237" s="1348"/>
      <c r="Q237" s="1348"/>
      <c r="R237" s="1876"/>
      <c r="S237" s="1348"/>
      <c r="T237" s="1348"/>
      <c r="U237" s="708"/>
      <c r="V237" s="1348"/>
      <c r="W237" s="1348"/>
      <c r="X237" s="1348"/>
      <c r="Y237" s="1348"/>
      <c r="Z237" s="1348"/>
      <c r="AA237" s="1872"/>
      <c r="AB237" s="730"/>
      <c r="AC237" s="730"/>
      <c r="AD237" s="730"/>
      <c r="AE237" s="730"/>
    </row>
    <row s="7114" customFormat="1" customHeight="1" ht="11.25">
      <c r="A238" s="1170"/>
      <c r="B238" s="1876"/>
      <c r="C238" s="1876"/>
      <c r="D238" s="499"/>
      <c r="K238" s="1348"/>
      <c r="L238" s="1876"/>
      <c r="M238" s="1876"/>
      <c r="N238" s="1348"/>
      <c r="O238" s="1348"/>
      <c r="P238" s="1348"/>
      <c r="Q238" s="1348"/>
      <c r="R238" s="1876"/>
      <c r="S238" s="1348"/>
      <c r="T238" s="1348"/>
      <c r="U238" s="708"/>
      <c r="V238" s="1348"/>
      <c r="W238" s="1348"/>
      <c r="X238" s="1348"/>
      <c r="Y238" s="1348"/>
      <c r="Z238" s="1348"/>
      <c r="AA238" s="1872"/>
      <c r="AB238" s="730"/>
      <c r="AC238" s="730"/>
      <c r="AD238" s="730"/>
      <c r="AE238" s="730"/>
    </row>
    <row s="7114" customFormat="1" customHeight="1" ht="11.25">
      <c r="A239" s="1170"/>
      <c r="B239" s="1876"/>
      <c r="C239" s="1876"/>
      <c r="D239" s="499"/>
      <c r="K239" s="1348"/>
      <c r="L239" s="1876"/>
      <c r="M239" s="1876"/>
      <c r="N239" s="1348"/>
      <c r="O239" s="1348"/>
      <c r="P239" s="1348"/>
      <c r="Q239" s="1348"/>
      <c r="R239" s="1876"/>
      <c r="S239" s="1348"/>
      <c r="T239" s="1348"/>
      <c r="U239" s="708"/>
      <c r="V239" s="1348"/>
      <c r="W239" s="1348"/>
      <c r="X239" s="1348"/>
      <c r="Y239" s="1348"/>
      <c r="Z239" s="1348"/>
      <c r="AA239" s="1872"/>
      <c r="AB239" s="730"/>
      <c r="AC239" s="730"/>
      <c r="AD239" s="730"/>
      <c r="AE239" s="730"/>
    </row>
    <row s="7114" customFormat="1" customHeight="1" ht="11.25">
      <c r="A240" s="1170"/>
      <c r="B240" s="1876"/>
      <c r="C240" s="1876"/>
      <c r="D240" s="499"/>
      <c r="K240" s="1348"/>
      <c r="L240" s="1876"/>
      <c r="M240" s="1876"/>
      <c r="N240" s="1348"/>
      <c r="O240" s="1348"/>
      <c r="P240" s="1348"/>
      <c r="Q240" s="1348"/>
      <c r="R240" s="1876"/>
      <c r="S240" s="1348"/>
      <c r="T240" s="1348"/>
      <c r="U240" s="708"/>
      <c r="V240" s="1348"/>
      <c r="W240" s="1348"/>
      <c r="X240" s="1348"/>
      <c r="Y240" s="1348"/>
      <c r="Z240" s="1348"/>
      <c r="AA240" s="1872"/>
      <c r="AB240" s="730"/>
      <c r="AC240" s="730"/>
      <c r="AD240" s="730"/>
      <c r="AE240" s="730"/>
    </row>
    <row s="7114" customFormat="1" customHeight="1" ht="11.25">
      <c r="A241" s="1170"/>
      <c r="B241" s="1876"/>
      <c r="C241" s="1876"/>
      <c r="D241" s="499"/>
      <c r="K241" s="1348"/>
      <c r="L241" s="1876"/>
      <c r="M241" s="1876"/>
      <c r="N241" s="1348"/>
      <c r="O241" s="1348"/>
      <c r="P241" s="1348"/>
      <c r="Q241" s="1348"/>
      <c r="R241" s="1876"/>
      <c r="S241" s="1348"/>
      <c r="T241" s="1348"/>
      <c r="U241" s="708"/>
      <c r="V241" s="1348"/>
      <c r="W241" s="1348"/>
      <c r="X241" s="1348"/>
      <c r="Y241" s="1348"/>
      <c r="Z241" s="1348"/>
      <c r="AA241" s="1872"/>
      <c r="AB241" s="730"/>
      <c r="AC241" s="730"/>
      <c r="AD241" s="730"/>
      <c r="AE241" s="730"/>
    </row>
    <row s="7114" customFormat="1" customHeight="1" ht="11.25">
      <c r="A242" s="1170"/>
      <c r="B242" s="1876"/>
      <c r="C242" s="1876"/>
      <c r="D242" s="499"/>
      <c r="K242" s="1348"/>
      <c r="L242" s="1876"/>
      <c r="M242" s="1876"/>
      <c r="N242" s="1348"/>
      <c r="O242" s="1348"/>
      <c r="P242" s="1348"/>
      <c r="Q242" s="1348"/>
      <c r="R242" s="1876"/>
      <c r="S242" s="1348"/>
      <c r="T242" s="1348"/>
      <c r="U242" s="708"/>
      <c r="V242" s="1348"/>
      <c r="W242" s="1348"/>
      <c r="X242" s="1348"/>
      <c r="Y242" s="1348"/>
      <c r="Z242" s="1348"/>
      <c r="AA242" s="1872"/>
      <c r="AB242" s="730"/>
      <c r="AC242" s="730"/>
      <c r="AD242" s="730"/>
      <c r="AE242" s="730"/>
    </row>
    <row s="7114" customFormat="1" customHeight="1" ht="11.25">
      <c r="A243" s="1170"/>
      <c r="B243" s="1876"/>
      <c r="C243" s="1876"/>
      <c r="D243" s="499"/>
      <c r="K243" s="1348"/>
      <c r="L243" s="1876"/>
      <c r="M243" s="1876"/>
      <c r="N243" s="1348"/>
      <c r="O243" s="1348"/>
      <c r="P243" s="1348"/>
      <c r="Q243" s="1348"/>
      <c r="R243" s="1876"/>
      <c r="S243" s="1348"/>
      <c r="T243" s="1348"/>
      <c r="U243" s="708"/>
      <c r="V243" s="1348"/>
      <c r="W243" s="1348"/>
      <c r="X243" s="1348"/>
      <c r="Y243" s="1348"/>
      <c r="Z243" s="1348"/>
      <c r="AA243" s="1872"/>
      <c r="AB243" s="730"/>
      <c r="AC243" s="730"/>
      <c r="AD243" s="730"/>
      <c r="AE243" s="730"/>
    </row>
    <row s="7114" customFormat="1" customHeight="1" ht="11.25">
      <c r="A244" s="1170"/>
      <c r="B244" s="1876"/>
      <c r="C244" s="1876"/>
      <c r="D244" s="499"/>
      <c r="K244" s="1348"/>
      <c r="L244" s="1876"/>
      <c r="M244" s="1876"/>
      <c r="N244" s="1348"/>
      <c r="O244" s="1348"/>
      <c r="P244" s="1348"/>
      <c r="Q244" s="1348"/>
      <c r="R244" s="1876"/>
      <c r="S244" s="1348"/>
      <c r="T244" s="1348"/>
      <c r="U244" s="708"/>
      <c r="V244" s="1348"/>
      <c r="W244" s="1348"/>
      <c r="X244" s="1348"/>
      <c r="Y244" s="1348"/>
      <c r="Z244" s="1348"/>
      <c r="AA244" s="1872"/>
      <c r="AB244" s="730"/>
      <c r="AC244" s="730"/>
      <c r="AD244" s="730"/>
      <c r="AE244" s="730"/>
    </row>
    <row s="7114" customFormat="1" customHeight="1" ht="11.25">
      <c r="A245" s="1170"/>
      <c r="B245" s="1876"/>
      <c r="C245" s="1876"/>
      <c r="D245" s="499"/>
      <c r="K245" s="1348"/>
      <c r="L245" s="1876"/>
      <c r="M245" s="1876"/>
      <c r="N245" s="1348"/>
      <c r="O245" s="1348"/>
      <c r="P245" s="1348"/>
      <c r="Q245" s="1348"/>
      <c r="R245" s="1876"/>
      <c r="S245" s="1348"/>
      <c r="T245" s="1348"/>
      <c r="U245" s="708"/>
      <c r="V245" s="1348"/>
      <c r="W245" s="1348"/>
      <c r="X245" s="1348"/>
      <c r="Y245" s="1348"/>
      <c r="Z245" s="1348"/>
      <c r="AA245" s="1872"/>
      <c r="AB245" s="730"/>
      <c r="AC245" s="730"/>
      <c r="AD245" s="730"/>
      <c r="AE245" s="730"/>
    </row>
    <row s="7114" customFormat="1" customHeight="1" ht="11.25">
      <c r="A246" s="1170"/>
      <c r="B246" s="1876"/>
      <c r="C246" s="1876"/>
      <c r="D246" s="499"/>
      <c r="K246" s="1348"/>
      <c r="L246" s="1876"/>
      <c r="M246" s="1876"/>
      <c r="N246" s="1348"/>
      <c r="O246" s="1348"/>
      <c r="P246" s="1348"/>
      <c r="Q246" s="1348"/>
      <c r="R246" s="1876"/>
      <c r="S246" s="1348"/>
      <c r="T246" s="1348"/>
      <c r="U246" s="708"/>
      <c r="V246" s="1348"/>
      <c r="W246" s="1348"/>
      <c r="X246" s="1348"/>
      <c r="Y246" s="1348"/>
      <c r="Z246" s="1348"/>
      <c r="AA246" s="1872"/>
      <c r="AB246" s="730"/>
      <c r="AC246" s="730"/>
      <c r="AD246" s="730"/>
      <c r="AE246" s="730"/>
    </row>
    <row s="7114" customFormat="1" customHeight="1" ht="11.25">
      <c r="A247" s="1170"/>
      <c r="B247" s="1876"/>
      <c r="C247" s="1876"/>
      <c r="D247" s="499"/>
      <c r="K247" s="1348"/>
      <c r="L247" s="1876"/>
      <c r="M247" s="1876"/>
      <c r="N247" s="1348"/>
      <c r="O247" s="1348"/>
      <c r="P247" s="1348"/>
      <c r="Q247" s="1348"/>
      <c r="R247" s="1876"/>
      <c r="S247" s="1348"/>
      <c r="T247" s="1348"/>
      <c r="U247" s="708"/>
      <c r="V247" s="1348"/>
      <c r="W247" s="1348"/>
      <c r="X247" s="1348"/>
      <c r="Y247" s="1348"/>
      <c r="Z247" s="1348"/>
      <c r="AA247" s="1872"/>
      <c r="AB247" s="730"/>
      <c r="AC247" s="730"/>
      <c r="AD247" s="730"/>
      <c r="AE247" s="730"/>
    </row>
    <row s="7114" customFormat="1" customHeight="1" ht="11.25">
      <c r="A248" s="1170"/>
      <c r="B248" s="1876"/>
      <c r="C248" s="1876"/>
      <c r="D248" s="499"/>
      <c r="K248" s="1348"/>
      <c r="L248" s="1876"/>
      <c r="M248" s="1876"/>
      <c r="N248" s="1348"/>
      <c r="O248" s="1348"/>
      <c r="P248" s="1348"/>
      <c r="Q248" s="1348"/>
      <c r="R248" s="1876"/>
      <c r="S248" s="1348"/>
      <c r="T248" s="1348"/>
      <c r="U248" s="708"/>
      <c r="V248" s="1348"/>
      <c r="W248" s="1348"/>
      <c r="X248" s="1348"/>
      <c r="Y248" s="1348"/>
      <c r="Z248" s="1348"/>
      <c r="AA248" s="1872"/>
      <c r="AB248" s="730"/>
      <c r="AC248" s="730"/>
      <c r="AD248" s="730"/>
      <c r="AE248" s="730"/>
    </row>
    <row s="7114" customFormat="1" customHeight="1" ht="11.25">
      <c r="A249" s="1170"/>
      <c r="B249" s="1876"/>
      <c r="C249" s="1876"/>
      <c r="D249" s="499"/>
      <c r="K249" s="1348"/>
      <c r="L249" s="1876"/>
      <c r="M249" s="1876"/>
      <c r="N249" s="1348"/>
      <c r="O249" s="1348"/>
      <c r="P249" s="1348"/>
      <c r="Q249" s="1348"/>
      <c r="R249" s="1876"/>
      <c r="S249" s="1348"/>
      <c r="T249" s="1348"/>
      <c r="U249" s="708"/>
      <c r="V249" s="1348"/>
      <c r="W249" s="1348"/>
      <c r="X249" s="1348"/>
      <c r="Y249" s="1348"/>
      <c r="Z249" s="1348"/>
      <c r="AA249" s="1872"/>
      <c r="AB249" s="730"/>
      <c r="AC249" s="730"/>
      <c r="AD249" s="730"/>
      <c r="AE249" s="730"/>
    </row>
    <row s="7114" customFormat="1" customHeight="1" ht="11.25">
      <c r="A250" s="1170"/>
      <c r="B250" s="1876"/>
      <c r="C250" s="1876"/>
      <c r="D250" s="499"/>
      <c r="K250" s="1348"/>
      <c r="L250" s="1876"/>
      <c r="M250" s="1876"/>
      <c r="N250" s="1348"/>
      <c r="O250" s="1348"/>
      <c r="P250" s="1348"/>
      <c r="Q250" s="1348"/>
      <c r="R250" s="1876"/>
      <c r="S250" s="1348"/>
      <c r="T250" s="1348"/>
      <c r="U250" s="708"/>
      <c r="V250" s="1348"/>
      <c r="W250" s="1348"/>
      <c r="X250" s="1348"/>
      <c r="Y250" s="1348"/>
      <c r="Z250" s="1348"/>
      <c r="AA250" s="1872"/>
      <c r="AB250" s="730"/>
      <c r="AC250" s="730"/>
      <c r="AD250" s="730"/>
      <c r="AE250" s="730"/>
    </row>
    <row s="7114" customFormat="1" customHeight="1" ht="11.25">
      <c r="A251" s="1170"/>
      <c r="B251" s="1876"/>
      <c r="C251" s="1876"/>
      <c r="D251" s="499"/>
      <c r="K251" s="1348"/>
      <c r="L251" s="1876"/>
      <c r="M251" s="1876"/>
      <c r="N251" s="1348"/>
      <c r="O251" s="1348"/>
      <c r="P251" s="1348"/>
      <c r="Q251" s="1348"/>
      <c r="R251" s="1876"/>
      <c r="S251" s="1348"/>
      <c r="T251" s="1348"/>
      <c r="U251" s="708"/>
      <c r="V251" s="1348"/>
      <c r="W251" s="1348"/>
      <c r="X251" s="1348"/>
      <c r="Y251" s="1348"/>
      <c r="Z251" s="1348"/>
      <c r="AA251" s="1872"/>
      <c r="AB251" s="730"/>
      <c r="AC251" s="730"/>
      <c r="AD251" s="730"/>
      <c r="AE251" s="730"/>
    </row>
    <row s="7114" customFormat="1" customHeight="1" ht="11.25">
      <c r="A252" s="1170"/>
      <c r="B252" s="1876"/>
      <c r="C252" s="1876"/>
      <c r="D252" s="499"/>
      <c r="K252" s="1348"/>
      <c r="L252" s="1876"/>
      <c r="M252" s="1876"/>
      <c r="N252" s="1348"/>
      <c r="O252" s="1348"/>
      <c r="P252" s="1348"/>
      <c r="Q252" s="1348"/>
      <c r="R252" s="1876"/>
      <c r="S252" s="1348"/>
      <c r="T252" s="1348"/>
      <c r="U252" s="708"/>
      <c r="V252" s="1348"/>
      <c r="W252" s="1348"/>
      <c r="X252" s="1348"/>
      <c r="Y252" s="1348"/>
      <c r="Z252" s="1348"/>
      <c r="AA252" s="1872"/>
      <c r="AB252" s="730"/>
      <c r="AC252" s="730"/>
      <c r="AD252" s="730"/>
      <c r="AE252" s="730"/>
    </row>
    <row s="7114" customFormat="1" customHeight="1" ht="11.25">
      <c r="A253" s="1170"/>
      <c r="B253" s="1876"/>
      <c r="C253" s="1876"/>
      <c r="D253" s="499"/>
      <c r="K253" s="1348"/>
      <c r="L253" s="1876"/>
      <c r="M253" s="1876"/>
      <c r="N253" s="1348"/>
      <c r="O253" s="1348"/>
      <c r="P253" s="1348"/>
      <c r="Q253" s="1348"/>
      <c r="R253" s="1876"/>
      <c r="S253" s="1348"/>
      <c r="T253" s="1348"/>
      <c r="U253" s="708"/>
      <c r="V253" s="1348"/>
      <c r="W253" s="1348"/>
      <c r="X253" s="1348"/>
      <c r="Y253" s="1348"/>
      <c r="Z253" s="1348"/>
      <c r="AA253" s="1872"/>
      <c r="AB253" s="730"/>
      <c r="AC253" s="730"/>
      <c r="AD253" s="730"/>
      <c r="AE253" s="730"/>
    </row>
    <row s="7114" customFormat="1" customHeight="1" ht="11.25">
      <c r="A254" s="1170"/>
      <c r="B254" s="1876"/>
      <c r="C254" s="1876"/>
      <c r="D254" s="499"/>
      <c r="K254" s="1348"/>
      <c r="L254" s="1876"/>
      <c r="M254" s="1876"/>
      <c r="N254" s="1348"/>
      <c r="O254" s="1348"/>
      <c r="P254" s="1348"/>
      <c r="Q254" s="1348"/>
      <c r="R254" s="1876"/>
      <c r="S254" s="1348"/>
      <c r="T254" s="1348"/>
      <c r="U254" s="708"/>
      <c r="V254" s="1348"/>
      <c r="W254" s="1348"/>
      <c r="X254" s="1348"/>
      <c r="Y254" s="1348"/>
      <c r="Z254" s="1348"/>
      <c r="AA254" s="1872"/>
      <c r="AB254" s="730"/>
      <c r="AC254" s="730"/>
      <c r="AD254" s="730"/>
      <c r="AE254" s="730"/>
    </row>
    <row s="7114" customFormat="1" customHeight="1" ht="11.25">
      <c r="A255" s="1170"/>
      <c r="B255" s="1876"/>
      <c r="C255" s="1876"/>
      <c r="D255" s="499"/>
      <c r="K255" s="1348"/>
      <c r="L255" s="1876"/>
      <c r="M255" s="1876"/>
      <c r="N255" s="1348"/>
      <c r="O255" s="1348"/>
      <c r="P255" s="1348"/>
      <c r="Q255" s="1348"/>
      <c r="R255" s="1876"/>
      <c r="S255" s="1348"/>
      <c r="T255" s="1348"/>
      <c r="U255" s="708"/>
      <c r="V255" s="1348"/>
      <c r="W255" s="1348"/>
      <c r="X255" s="1348"/>
      <c r="Y255" s="1348"/>
      <c r="Z255" s="1348"/>
      <c r="AA255" s="1872"/>
      <c r="AB255" s="730"/>
      <c r="AC255" s="730"/>
      <c r="AD255" s="730"/>
      <c r="AE255" s="730"/>
    </row>
    <row s="7114" customFormat="1" customHeight="1" ht="11.25">
      <c r="A256" s="1170"/>
      <c r="B256" s="1876"/>
      <c r="C256" s="1876"/>
      <c r="D256" s="499"/>
      <c r="K256" s="1348"/>
      <c r="L256" s="1876"/>
      <c r="M256" s="1876"/>
      <c r="N256" s="1348"/>
      <c r="O256" s="1348"/>
      <c r="P256" s="1348"/>
      <c r="Q256" s="1348"/>
      <c r="R256" s="1876"/>
      <c r="S256" s="1348"/>
      <c r="T256" s="1348"/>
      <c r="U256" s="708"/>
      <c r="V256" s="1348"/>
      <c r="W256" s="1348"/>
      <c r="X256" s="1348"/>
      <c r="Y256" s="1348"/>
      <c r="Z256" s="1348"/>
      <c r="AA256" s="1872"/>
      <c r="AB256" s="730"/>
      <c r="AC256" s="730"/>
      <c r="AD256" s="730"/>
      <c r="AE256" s="730"/>
    </row>
    <row s="7114" customFormat="1" customHeight="1" ht="11.25">
      <c r="A257" s="1170"/>
      <c r="B257" s="1876"/>
      <c r="C257" s="1876"/>
      <c r="D257" s="499"/>
      <c r="K257" s="1348"/>
      <c r="L257" s="1876"/>
      <c r="M257" s="1876"/>
      <c r="N257" s="1348"/>
      <c r="O257" s="1348"/>
      <c r="P257" s="1348"/>
      <c r="Q257" s="1348"/>
      <c r="R257" s="1876"/>
      <c r="S257" s="1348"/>
      <c r="T257" s="1348"/>
      <c r="U257" s="708"/>
      <c r="V257" s="1348"/>
      <c r="W257" s="1348"/>
      <c r="X257" s="1348"/>
      <c r="Y257" s="1348"/>
      <c r="Z257" s="1348"/>
      <c r="AA257" s="1872"/>
      <c r="AB257" s="730"/>
      <c r="AC257" s="730"/>
      <c r="AD257" s="730"/>
      <c r="AE257" s="730"/>
    </row>
    <row s="7114" customFormat="1" customHeight="1" ht="11.25">
      <c r="A258" s="1170"/>
      <c r="B258" s="1876"/>
      <c r="C258" s="1876"/>
      <c r="D258" s="499"/>
      <c r="K258" s="1348"/>
      <c r="L258" s="1876"/>
      <c r="M258" s="1876"/>
      <c r="N258" s="1348"/>
      <c r="O258" s="1348"/>
      <c r="P258" s="1348"/>
      <c r="Q258" s="1348"/>
      <c r="R258" s="1876"/>
      <c r="S258" s="1348"/>
      <c r="T258" s="1348"/>
      <c r="U258" s="708"/>
      <c r="V258" s="1348"/>
      <c r="W258" s="1348"/>
      <c r="X258" s="1348"/>
      <c r="Y258" s="1348"/>
      <c r="Z258" s="1348"/>
      <c r="AA258" s="1872"/>
      <c r="AB258" s="730"/>
      <c r="AC258" s="730"/>
      <c r="AD258" s="730"/>
      <c r="AE258" s="730"/>
    </row>
    <row s="7114" customFormat="1" customHeight="1" ht="11.25">
      <c r="A259" s="1170"/>
      <c r="B259" s="1876"/>
      <c r="C259" s="1876"/>
      <c r="D259" s="499"/>
      <c r="K259" s="1348"/>
      <c r="L259" s="1876"/>
      <c r="M259" s="1876"/>
      <c r="N259" s="1348"/>
      <c r="O259" s="1348"/>
      <c r="P259" s="1348"/>
      <c r="Q259" s="1348"/>
      <c r="R259" s="1876"/>
      <c r="S259" s="1348"/>
      <c r="T259" s="1348"/>
      <c r="U259" s="708"/>
      <c r="V259" s="1348"/>
      <c r="W259" s="1348"/>
      <c r="X259" s="1348"/>
      <c r="Y259" s="1348"/>
      <c r="Z259" s="1348"/>
      <c r="AA259" s="1872"/>
      <c r="AB259" s="730"/>
      <c r="AC259" s="730"/>
      <c r="AD259" s="730"/>
      <c r="AE259" s="730"/>
    </row>
    <row s="7114" customFormat="1" customHeight="1" ht="11.25">
      <c r="A260" s="1170"/>
      <c r="B260" s="1876"/>
      <c r="C260" s="1876"/>
      <c r="D260" s="499"/>
      <c r="K260" s="1348"/>
      <c r="L260" s="1876"/>
      <c r="M260" s="1876"/>
      <c r="N260" s="1348"/>
      <c r="O260" s="1348"/>
      <c r="P260" s="1348"/>
      <c r="Q260" s="1348"/>
      <c r="R260" s="1876"/>
      <c r="S260" s="1348"/>
      <c r="T260" s="1348"/>
      <c r="U260" s="708"/>
      <c r="V260" s="1348"/>
      <c r="W260" s="1348"/>
      <c r="X260" s="1348"/>
      <c r="Y260" s="1348"/>
      <c r="Z260" s="1348"/>
      <c r="AA260" s="1872"/>
      <c r="AB260" s="730"/>
      <c r="AC260" s="730"/>
      <c r="AD260" s="730"/>
      <c r="AE260" s="730"/>
    </row>
    <row s="7114" customFormat="1" customHeight="1" ht="11.25">
      <c r="A261" s="1170"/>
      <c r="B261" s="1876"/>
      <c r="C261" s="1876"/>
      <c r="D261" s="499"/>
      <c r="K261" s="1348"/>
      <c r="L261" s="1876"/>
      <c r="M261" s="1876"/>
      <c r="N261" s="1348"/>
      <c r="O261" s="1348"/>
      <c r="P261" s="1348"/>
      <c r="Q261" s="1348"/>
      <c r="R261" s="1876"/>
      <c r="S261" s="1348"/>
      <c r="T261" s="1348"/>
      <c r="U261" s="708"/>
      <c r="V261" s="1348"/>
      <c r="W261" s="1348"/>
      <c r="X261" s="1348"/>
      <c r="Y261" s="1348"/>
      <c r="Z261" s="1348"/>
      <c r="AA261" s="1872"/>
      <c r="AB261" s="730"/>
      <c r="AC261" s="730"/>
      <c r="AD261" s="730"/>
      <c r="AE261" s="730"/>
    </row>
    <row s="7114" customFormat="1" customHeight="1" ht="11.25">
      <c r="A262" s="1170"/>
      <c r="B262" s="1876"/>
      <c r="C262" s="1876"/>
      <c r="D262" s="499"/>
      <c r="K262" s="1348"/>
      <c r="L262" s="1876"/>
      <c r="M262" s="1876"/>
      <c r="N262" s="1348"/>
      <c r="O262" s="1348"/>
      <c r="P262" s="1348"/>
      <c r="Q262" s="1348"/>
      <c r="R262" s="1876"/>
      <c r="S262" s="1348"/>
      <c r="T262" s="1348"/>
      <c r="U262" s="708"/>
      <c r="V262" s="1348"/>
      <c r="W262" s="1348"/>
      <c r="X262" s="1348"/>
      <c r="Y262" s="1348"/>
      <c r="Z262" s="1348"/>
      <c r="AA262" s="1872"/>
      <c r="AB262" s="730"/>
      <c r="AC262" s="730"/>
      <c r="AD262" s="730"/>
      <c r="AE262" s="730"/>
    </row>
    <row s="7114" customFormat="1" customHeight="1" ht="11.25">
      <c r="A263" s="1170"/>
      <c r="B263" s="1876"/>
      <c r="C263" s="1876"/>
      <c r="D263" s="499"/>
      <c r="K263" s="1348"/>
      <c r="L263" s="1876"/>
      <c r="M263" s="1876"/>
      <c r="N263" s="1348"/>
      <c r="O263" s="1348"/>
      <c r="P263" s="1348"/>
      <c r="Q263" s="1348"/>
      <c r="R263" s="1876"/>
      <c r="S263" s="1348"/>
      <c r="T263" s="1348"/>
      <c r="U263" s="708"/>
      <c r="V263" s="1348"/>
      <c r="W263" s="1348"/>
      <c r="X263" s="1348"/>
      <c r="Y263" s="1348"/>
      <c r="Z263" s="1348"/>
      <c r="AA263" s="1872"/>
      <c r="AB263" s="730"/>
      <c r="AC263" s="730"/>
      <c r="AD263" s="730"/>
      <c r="AE263" s="730"/>
    </row>
    <row s="7114" customFormat="1" customHeight="1" ht="11.25">
      <c r="A264" s="1170"/>
      <c r="B264" s="1876"/>
      <c r="C264" s="1876"/>
      <c r="D264" s="499"/>
      <c r="K264" s="1348"/>
      <c r="L264" s="1876"/>
      <c r="M264" s="1876"/>
      <c r="N264" s="1348"/>
      <c r="O264" s="1348"/>
      <c r="P264" s="1348"/>
      <c r="Q264" s="1348"/>
      <c r="R264" s="1876"/>
      <c r="S264" s="1348"/>
      <c r="T264" s="1348"/>
      <c r="U264" s="708"/>
      <c r="V264" s="1348"/>
      <c r="W264" s="1348"/>
      <c r="X264" s="1348"/>
      <c r="Y264" s="1348"/>
      <c r="Z264" s="1348"/>
      <c r="AA264" s="1872"/>
      <c r="AB264" s="730"/>
      <c r="AC264" s="730"/>
      <c r="AD264" s="730"/>
      <c r="AE264" s="730"/>
    </row>
    <row s="7114" customFormat="1" customHeight="1" ht="11.25">
      <c r="A265" s="1170"/>
      <c r="B265" s="1876"/>
      <c r="C265" s="1876"/>
      <c r="D265" s="499"/>
      <c r="K265" s="1348"/>
      <c r="L265" s="1876"/>
      <c r="M265" s="1876"/>
      <c r="N265" s="1348"/>
      <c r="O265" s="1348"/>
      <c r="P265" s="1348"/>
      <c r="Q265" s="1348"/>
      <c r="R265" s="1876"/>
      <c r="S265" s="1348"/>
      <c r="T265" s="1348"/>
      <c r="U265" s="708"/>
      <c r="V265" s="1348"/>
      <c r="W265" s="1348"/>
      <c r="X265" s="1348"/>
      <c r="Y265" s="1348"/>
      <c r="Z265" s="1348"/>
      <c r="AA265" s="1872"/>
      <c r="AB265" s="730"/>
      <c r="AC265" s="730"/>
      <c r="AD265" s="730"/>
      <c r="AE265" s="730"/>
    </row>
    <row s="7114" customFormat="1" customHeight="1" ht="11.25">
      <c r="A266" s="1170"/>
      <c r="B266" s="1876"/>
      <c r="C266" s="1876"/>
      <c r="D266" s="499"/>
      <c r="K266" s="1348"/>
      <c r="L266" s="1876"/>
      <c r="M266" s="1876"/>
      <c r="N266" s="1348"/>
      <c r="O266" s="1348"/>
      <c r="P266" s="1348"/>
      <c r="Q266" s="1348"/>
      <c r="R266" s="1876"/>
      <c r="S266" s="1348"/>
      <c r="T266" s="1348"/>
      <c r="U266" s="708"/>
      <c r="V266" s="1348"/>
      <c r="W266" s="1348"/>
      <c r="X266" s="1348"/>
      <c r="Y266" s="1348"/>
      <c r="Z266" s="1348"/>
      <c r="AA266" s="1872"/>
      <c r="AB266" s="730"/>
      <c r="AC266" s="730"/>
      <c r="AD266" s="730"/>
      <c r="AE266" s="730"/>
    </row>
    <row s="7114" customFormat="1" customHeight="1" ht="11.25">
      <c r="A267" s="1170"/>
      <c r="B267" s="1876"/>
      <c r="C267" s="1876"/>
      <c r="D267" s="499"/>
      <c r="K267" s="1348"/>
      <c r="L267" s="1876"/>
      <c r="M267" s="1876"/>
      <c r="N267" s="1348"/>
      <c r="O267" s="1348"/>
      <c r="P267" s="1348"/>
      <c r="Q267" s="1348"/>
      <c r="R267" s="1876"/>
      <c r="S267" s="1348"/>
      <c r="T267" s="1348"/>
      <c r="U267" s="708"/>
      <c r="V267" s="1348"/>
      <c r="W267" s="1348"/>
      <c r="X267" s="1348"/>
      <c r="Y267" s="1348"/>
      <c r="Z267" s="1348"/>
      <c r="AA267" s="1872"/>
      <c r="AB267" s="730"/>
      <c r="AC267" s="730"/>
      <c r="AD267" s="730"/>
      <c r="AE267" s="730"/>
    </row>
    <row s="7114" customFormat="1" customHeight="1" ht="11.25">
      <c r="A268" s="1170"/>
      <c r="B268" s="1876"/>
      <c r="C268" s="1876"/>
      <c r="D268" s="499"/>
      <c r="K268" s="1348"/>
      <c r="L268" s="1876"/>
      <c r="M268" s="1876"/>
      <c r="N268" s="1348"/>
      <c r="O268" s="1348"/>
      <c r="P268" s="1348"/>
      <c r="Q268" s="1348"/>
      <c r="R268" s="1876"/>
      <c r="S268" s="1348"/>
      <c r="T268" s="1348"/>
      <c r="U268" s="708"/>
      <c r="V268" s="1348"/>
      <c r="W268" s="1348"/>
      <c r="X268" s="1348"/>
      <c r="Y268" s="1348"/>
      <c r="Z268" s="1348"/>
      <c r="AA268" s="1872"/>
      <c r="AB268" s="730"/>
      <c r="AC268" s="730"/>
      <c r="AD268" s="730"/>
      <c r="AE268" s="730"/>
    </row>
    <row s="7114" customFormat="1" customHeight="1" ht="11.25">
      <c r="A269" s="1170"/>
      <c r="B269" s="1876"/>
      <c r="C269" s="1876"/>
      <c r="D269" s="499"/>
      <c r="K269" s="1348"/>
      <c r="L269" s="1876"/>
      <c r="M269" s="1876"/>
      <c r="N269" s="1348"/>
      <c r="O269" s="1348"/>
      <c r="P269" s="1348"/>
      <c r="Q269" s="1348"/>
      <c r="R269" s="1876"/>
      <c r="S269" s="1348"/>
      <c r="T269" s="1348"/>
      <c r="U269" s="708"/>
      <c r="V269" s="1348"/>
      <c r="W269" s="1348"/>
      <c r="X269" s="1348"/>
      <c r="Y269" s="1348"/>
      <c r="Z269" s="1348"/>
      <c r="AA269" s="1872"/>
      <c r="AB269" s="730"/>
      <c r="AC269" s="730"/>
      <c r="AD269" s="730"/>
      <c r="AE269" s="730"/>
    </row>
    <row s="7114" customFormat="1" customHeight="1" ht="11.25">
      <c r="A270" s="1170"/>
      <c r="B270" s="1876"/>
      <c r="C270" s="1876"/>
      <c r="D270" s="499"/>
      <c r="K270" s="1348"/>
      <c r="L270" s="1876"/>
      <c r="M270" s="1876"/>
      <c r="N270" s="1348"/>
      <c r="O270" s="1348"/>
      <c r="P270" s="1348"/>
      <c r="Q270" s="1348"/>
      <c r="R270" s="1876"/>
      <c r="S270" s="1348"/>
      <c r="T270" s="1348"/>
      <c r="U270" s="708"/>
      <c r="V270" s="1348"/>
      <c r="W270" s="1348"/>
      <c r="X270" s="1348"/>
      <c r="Y270" s="1348"/>
      <c r="Z270" s="1348"/>
      <c r="AA270" s="1872"/>
      <c r="AB270" s="730"/>
      <c r="AC270" s="730"/>
      <c r="AD270" s="730"/>
      <c r="AE270" s="730"/>
    </row>
    <row s="7114" customFormat="1" customHeight="1" ht="11.25">
      <c r="A271" s="1170"/>
      <c r="B271" s="1876"/>
      <c r="C271" s="1876"/>
      <c r="D271" s="499"/>
      <c r="K271" s="1348"/>
      <c r="L271" s="1876"/>
      <c r="M271" s="1876"/>
      <c r="N271" s="1348"/>
      <c r="O271" s="1348"/>
      <c r="P271" s="1348"/>
      <c r="Q271" s="1348"/>
      <c r="R271" s="1876"/>
      <c r="S271" s="1348"/>
      <c r="T271" s="1348"/>
      <c r="U271" s="708"/>
      <c r="V271" s="1348"/>
      <c r="W271" s="1348"/>
      <c r="X271" s="1348"/>
      <c r="Y271" s="1348"/>
      <c r="Z271" s="1348"/>
      <c r="AA271" s="1872"/>
      <c r="AB271" s="730"/>
      <c r="AC271" s="730"/>
      <c r="AD271" s="730"/>
      <c r="AE271" s="730"/>
    </row>
    <row s="7114" customFormat="1" customHeight="1" ht="11.25">
      <c r="A272" s="1170"/>
      <c r="B272" s="1876"/>
      <c r="C272" s="1876"/>
      <c r="D272" s="499"/>
      <c r="K272" s="1348"/>
      <c r="L272" s="1876"/>
      <c r="M272" s="1876"/>
      <c r="N272" s="1348"/>
      <c r="O272" s="1348"/>
      <c r="P272" s="1348"/>
      <c r="Q272" s="1348"/>
      <c r="R272" s="1876"/>
      <c r="S272" s="1348"/>
      <c r="T272" s="1348"/>
      <c r="U272" s="708"/>
      <c r="V272" s="1348"/>
      <c r="W272" s="1348"/>
      <c r="X272" s="1348"/>
      <c r="Y272" s="1348"/>
      <c r="Z272" s="1348"/>
      <c r="AA272" s="1872"/>
      <c r="AB272" s="730"/>
      <c r="AC272" s="730"/>
      <c r="AD272" s="730"/>
      <c r="AE272" s="730"/>
    </row>
    <row s="7114" customFormat="1" customHeight="1" ht="11.25">
      <c r="A273" s="1170"/>
      <c r="B273" s="1876"/>
      <c r="C273" s="1876"/>
      <c r="D273" s="499"/>
      <c r="K273" s="1348"/>
      <c r="L273" s="1876"/>
      <c r="M273" s="1876"/>
      <c r="N273" s="1348"/>
      <c r="O273" s="1348"/>
      <c r="P273" s="1348"/>
      <c r="Q273" s="1348"/>
      <c r="R273" s="1876"/>
      <c r="S273" s="1348"/>
      <c r="T273" s="1348"/>
      <c r="U273" s="708"/>
      <c r="V273" s="1348"/>
      <c r="W273" s="1348"/>
      <c r="X273" s="1348"/>
      <c r="Y273" s="1348"/>
      <c r="Z273" s="1348"/>
      <c r="AA273" s="1872"/>
      <c r="AB273" s="730"/>
      <c r="AC273" s="730"/>
      <c r="AD273" s="730"/>
      <c r="AE273" s="730"/>
    </row>
    <row s="7114" customFormat="1" customHeight="1" ht="11.25">
      <c r="A274" s="1170"/>
      <c r="B274" s="1876"/>
      <c r="C274" s="1876"/>
      <c r="D274" s="499"/>
      <c r="K274" s="1348"/>
      <c r="L274" s="1876"/>
      <c r="M274" s="1876"/>
      <c r="N274" s="1348"/>
      <c r="O274" s="1348"/>
      <c r="P274" s="1348"/>
      <c r="Q274" s="1348"/>
      <c r="R274" s="1876"/>
      <c r="S274" s="1348"/>
      <c r="T274" s="1348"/>
      <c r="U274" s="708"/>
      <c r="V274" s="1348"/>
      <c r="W274" s="1348"/>
      <c r="X274" s="1348"/>
      <c r="Y274" s="1348"/>
      <c r="Z274" s="1348"/>
      <c r="AA274" s="1872"/>
      <c r="AB274" s="730"/>
      <c r="AC274" s="730"/>
      <c r="AD274" s="730"/>
      <c r="AE274" s="730"/>
    </row>
    <row s="7114" customFormat="1" customHeight="1" ht="11.25">
      <c r="A275" s="1170"/>
      <c r="B275" s="1876"/>
      <c r="C275" s="1876"/>
      <c r="D275" s="499"/>
      <c r="K275" s="1348"/>
      <c r="L275" s="1876"/>
      <c r="M275" s="1876"/>
      <c r="N275" s="1348"/>
      <c r="O275" s="1348"/>
      <c r="P275" s="1348"/>
      <c r="Q275" s="1348"/>
      <c r="R275" s="1876"/>
      <c r="S275" s="1348"/>
      <c r="T275" s="1348"/>
      <c r="U275" s="708"/>
      <c r="V275" s="1348"/>
      <c r="W275" s="1348"/>
      <c r="X275" s="1348"/>
      <c r="Y275" s="1348"/>
      <c r="Z275" s="1348"/>
      <c r="AA275" s="1872"/>
      <c r="AB275" s="730"/>
      <c r="AC275" s="730"/>
      <c r="AD275" s="730"/>
      <c r="AE275" s="730"/>
    </row>
    <row s="7114" customFormat="1" customHeight="1" ht="11.25">
      <c r="A276" s="1170"/>
      <c r="B276" s="1876"/>
      <c r="C276" s="1876"/>
      <c r="D276" s="499"/>
      <c r="K276" s="1348"/>
      <c r="L276" s="1876"/>
      <c r="M276" s="1876"/>
      <c r="N276" s="1348"/>
      <c r="O276" s="1348"/>
      <c r="P276" s="1348"/>
      <c r="Q276" s="1348"/>
      <c r="R276" s="1876"/>
      <c r="S276" s="1348"/>
      <c r="T276" s="1348"/>
      <c r="U276" s="708"/>
      <c r="V276" s="1348"/>
      <c r="W276" s="1348"/>
      <c r="X276" s="1348"/>
      <c r="Y276" s="1348"/>
      <c r="Z276" s="1348"/>
      <c r="AA276" s="1872"/>
      <c r="AB276" s="730"/>
      <c r="AC276" s="730"/>
      <c r="AD276" s="730"/>
      <c r="AE276" s="730"/>
    </row>
    <row s="7114" customFormat="1" customHeight="1" ht="11.25">
      <c r="A277" s="1170"/>
      <c r="B277" s="1876"/>
      <c r="C277" s="1876"/>
      <c r="D277" s="499"/>
      <c r="K277" s="1348"/>
      <c r="L277" s="1876"/>
      <c r="M277" s="1876"/>
      <c r="N277" s="1348"/>
      <c r="O277" s="1348"/>
      <c r="P277" s="1348"/>
      <c r="Q277" s="1348"/>
      <c r="R277" s="1876"/>
      <c r="S277" s="1348"/>
      <c r="T277" s="1348"/>
      <c r="U277" s="708"/>
      <c r="V277" s="1348"/>
      <c r="W277" s="1348"/>
      <c r="X277" s="1348"/>
      <c r="Y277" s="1348"/>
      <c r="Z277" s="1348"/>
      <c r="AA277" s="1872"/>
      <c r="AB277" s="730"/>
      <c r="AC277" s="730"/>
      <c r="AD277" s="730"/>
      <c r="AE277" s="730"/>
    </row>
    <row s="7114" customFormat="1" customHeight="1" ht="11.25">
      <c r="A278" s="1170"/>
      <c r="B278" s="1876"/>
      <c r="C278" s="1876"/>
      <c r="D278" s="499"/>
      <c r="K278" s="1348"/>
      <c r="L278" s="1876"/>
      <c r="M278" s="1876"/>
      <c r="N278" s="1348"/>
      <c r="O278" s="1348"/>
      <c r="P278" s="1348"/>
      <c r="Q278" s="1348"/>
      <c r="R278" s="1876"/>
      <c r="S278" s="1348"/>
      <c r="T278" s="1348"/>
      <c r="U278" s="708"/>
      <c r="V278" s="1348"/>
      <c r="W278" s="1348"/>
      <c r="X278" s="1348"/>
      <c r="Y278" s="1348"/>
      <c r="Z278" s="1348"/>
      <c r="AA278" s="1872"/>
      <c r="AB278" s="730"/>
      <c r="AC278" s="730"/>
      <c r="AD278" s="730"/>
      <c r="AE278" s="730"/>
    </row>
    <row s="7114" customFormat="1" customHeight="1" ht="11.25">
      <c r="A279" s="1170"/>
      <c r="B279" s="1876"/>
      <c r="C279" s="1876"/>
      <c r="D279" s="499"/>
      <c r="K279" s="1348"/>
      <c r="L279" s="1876"/>
      <c r="M279" s="1876"/>
      <c r="N279" s="1348"/>
      <c r="O279" s="1348"/>
      <c r="P279" s="1348"/>
      <c r="Q279" s="1348"/>
      <c r="R279" s="1876"/>
      <c r="S279" s="1348"/>
      <c r="T279" s="1348"/>
      <c r="U279" s="708"/>
      <c r="V279" s="1348"/>
      <c r="W279" s="1348"/>
      <c r="X279" s="1348"/>
      <c r="Y279" s="1348"/>
      <c r="Z279" s="1348"/>
      <c r="AA279" s="1872"/>
      <c r="AB279" s="730"/>
      <c r="AC279" s="730"/>
      <c r="AD279" s="730"/>
      <c r="AE279" s="730"/>
    </row>
    <row s="7114" customFormat="1" customHeight="1" ht="11.25">
      <c r="A280" s="1170"/>
      <c r="B280" s="1876"/>
      <c r="C280" s="1876"/>
      <c r="D280" s="499"/>
      <c r="K280" s="1348"/>
      <c r="L280" s="1876"/>
      <c r="M280" s="1876"/>
      <c r="N280" s="1348"/>
      <c r="O280" s="1348"/>
      <c r="P280" s="1348"/>
      <c r="Q280" s="1348"/>
      <c r="R280" s="1876"/>
      <c r="S280" s="1348"/>
      <c r="T280" s="1348"/>
      <c r="U280" s="708"/>
      <c r="V280" s="1348"/>
      <c r="W280" s="1348"/>
      <c r="X280" s="1348"/>
      <c r="Y280" s="1348"/>
      <c r="Z280" s="1348"/>
      <c r="AA280" s="1872"/>
      <c r="AB280" s="730"/>
      <c r="AC280" s="730"/>
      <c r="AD280" s="730"/>
      <c r="AE280" s="730"/>
    </row>
    <row s="7114" customFormat="1" customHeight="1" ht="11.25">
      <c r="A281" s="1170"/>
      <c r="B281" s="1876"/>
      <c r="C281" s="1876"/>
      <c r="D281" s="499"/>
      <c r="K281" s="1348"/>
      <c r="L281" s="1876"/>
      <c r="M281" s="1876"/>
      <c r="N281" s="1348"/>
      <c r="O281" s="1348"/>
      <c r="P281" s="1348"/>
      <c r="Q281" s="1348"/>
      <c r="R281" s="1876"/>
      <c r="S281" s="1348"/>
      <c r="T281" s="1348"/>
      <c r="U281" s="708"/>
      <c r="V281" s="1348"/>
      <c r="W281" s="1348"/>
      <c r="X281" s="1348"/>
      <c r="Y281" s="1348"/>
      <c r="Z281" s="1348"/>
      <c r="AA281" s="1872"/>
      <c r="AB281" s="730"/>
      <c r="AC281" s="730"/>
      <c r="AD281" s="730"/>
      <c r="AE281" s="730"/>
    </row>
    <row s="7114" customFormat="1" customHeight="1" ht="11.25">
      <c r="A282" s="1170"/>
      <c r="B282" s="1876"/>
      <c r="C282" s="1876"/>
      <c r="D282" s="499"/>
      <c r="K282" s="1348"/>
      <c r="L282" s="1876"/>
      <c r="M282" s="1876"/>
      <c r="N282" s="1348"/>
      <c r="O282" s="1348"/>
      <c r="P282" s="1348"/>
      <c r="Q282" s="1348"/>
      <c r="R282" s="1876"/>
      <c r="S282" s="1348"/>
      <c r="T282" s="1348"/>
      <c r="U282" s="708"/>
      <c r="V282" s="1348"/>
      <c r="W282" s="1348"/>
      <c r="X282" s="1348"/>
      <c r="Y282" s="1348"/>
      <c r="Z282" s="1348"/>
      <c r="AA282" s="1872"/>
      <c r="AB282" s="730"/>
      <c r="AC282" s="730"/>
      <c r="AD282" s="730"/>
      <c r="AE282" s="730"/>
    </row>
    <row s="7114" customFormat="1" customHeight="1" ht="11.25">
      <c r="A283" s="1170"/>
      <c r="B283" s="1876"/>
      <c r="C283" s="1876"/>
      <c r="D283" s="499"/>
      <c r="K283" s="1348"/>
      <c r="L283" s="1876"/>
      <c r="M283" s="1876"/>
      <c r="N283" s="1348"/>
      <c r="O283" s="1348"/>
      <c r="P283" s="1348"/>
      <c r="Q283" s="1348"/>
      <c r="R283" s="1876"/>
      <c r="S283" s="1348"/>
      <c r="T283" s="1348"/>
      <c r="U283" s="708"/>
      <c r="V283" s="1348"/>
      <c r="W283" s="1348"/>
      <c r="X283" s="1348"/>
      <c r="Y283" s="1348"/>
      <c r="Z283" s="1348"/>
      <c r="AA283" s="1872"/>
      <c r="AB283" s="730"/>
      <c r="AC283" s="730"/>
      <c r="AD283" s="730"/>
      <c r="AE283" s="730"/>
    </row>
    <row s="7114" customFormat="1" customHeight="1" ht="11.25">
      <c r="A284" s="1170"/>
      <c r="B284" s="1876"/>
      <c r="C284" s="1876"/>
      <c r="D284" s="499"/>
      <c r="K284" s="1348"/>
      <c r="L284" s="1876"/>
      <c r="M284" s="1876"/>
      <c r="N284" s="1348"/>
      <c r="O284" s="1348"/>
      <c r="P284" s="1348"/>
      <c r="Q284" s="1348"/>
      <c r="R284" s="1876"/>
      <c r="S284" s="1348"/>
      <c r="T284" s="1348"/>
      <c r="U284" s="708"/>
      <c r="V284" s="1348"/>
      <c r="W284" s="1348"/>
      <c r="X284" s="1348"/>
      <c r="Y284" s="1348"/>
      <c r="Z284" s="1348"/>
      <c r="AA284" s="1872"/>
      <c r="AB284" s="730"/>
      <c r="AC284" s="730"/>
      <c r="AD284" s="730"/>
      <c r="AE284" s="730"/>
    </row>
    <row s="7114" customFormat="1" customHeight="1" ht="11.25">
      <c r="A285" s="1170"/>
      <c r="B285" s="1876"/>
      <c r="C285" s="1876"/>
      <c r="D285" s="499"/>
      <c r="K285" s="1348"/>
      <c r="L285" s="1876"/>
      <c r="M285" s="1876"/>
      <c r="N285" s="1348"/>
      <c r="O285" s="1348"/>
      <c r="P285" s="1348"/>
      <c r="Q285" s="1348"/>
      <c r="R285" s="1876"/>
      <c r="S285" s="1348"/>
      <c r="T285" s="1348"/>
      <c r="U285" s="708"/>
      <c r="V285" s="1348"/>
      <c r="W285" s="1348"/>
      <c r="X285" s="1348"/>
      <c r="Y285" s="1348"/>
      <c r="Z285" s="1348"/>
      <c r="AA285" s="1872"/>
      <c r="AB285" s="730"/>
      <c r="AC285" s="730"/>
      <c r="AD285" s="730"/>
      <c r="AE285" s="730"/>
    </row>
    <row s="7114" customFormat="1" customHeight="1" ht="11.25">
      <c r="A286" s="1170"/>
      <c r="B286" s="1876"/>
      <c r="C286" s="1876"/>
      <c r="D286" s="499"/>
      <c r="K286" s="1348"/>
      <c r="L286" s="1876"/>
      <c r="M286" s="1876"/>
      <c r="N286" s="1348"/>
      <c r="O286" s="1348"/>
      <c r="P286" s="1348"/>
      <c r="Q286" s="1348"/>
      <c r="R286" s="1876"/>
      <c r="S286" s="1348"/>
      <c r="T286" s="1348"/>
      <c r="U286" s="708"/>
      <c r="V286" s="1348"/>
      <c r="W286" s="1348"/>
      <c r="X286" s="1348"/>
      <c r="Y286" s="1348"/>
      <c r="Z286" s="1348"/>
      <c r="AA286" s="1872"/>
      <c r="AB286" s="730"/>
      <c r="AC286" s="730"/>
      <c r="AD286" s="730"/>
      <c r="AE286" s="730"/>
    </row>
    <row s="7114" customFormat="1" customHeight="1" ht="11.25">
      <c r="A287" s="1170"/>
      <c r="B287" s="1876"/>
      <c r="C287" s="1876"/>
      <c r="D287" s="499"/>
      <c r="K287" s="1348"/>
      <c r="L287" s="1876"/>
      <c r="M287" s="1876"/>
      <c r="N287" s="1348"/>
      <c r="O287" s="1348"/>
      <c r="P287" s="1348"/>
      <c r="Q287" s="1348"/>
      <c r="R287" s="1876"/>
      <c r="S287" s="1348"/>
      <c r="T287" s="1348"/>
      <c r="U287" s="708"/>
      <c r="V287" s="1348"/>
      <c r="W287" s="1348"/>
      <c r="X287" s="1348"/>
      <c r="Y287" s="1348"/>
      <c r="Z287" s="1348"/>
      <c r="AA287" s="1872"/>
      <c r="AB287" s="730"/>
      <c r="AC287" s="730"/>
      <c r="AD287" s="730"/>
      <c r="AE287" s="730"/>
    </row>
    <row s="7114" customFormat="1" customHeight="1" ht="11.25">
      <c r="A288" s="1170"/>
      <c r="B288" s="1876"/>
      <c r="C288" s="1876"/>
      <c r="D288" s="499"/>
      <c r="K288" s="1348"/>
      <c r="L288" s="1876"/>
      <c r="M288" s="1876"/>
      <c r="N288" s="1348"/>
      <c r="O288" s="1348"/>
      <c r="P288" s="1348"/>
      <c r="Q288" s="1348"/>
      <c r="R288" s="1876"/>
      <c r="S288" s="1348"/>
      <c r="T288" s="1348"/>
      <c r="U288" s="708"/>
      <c r="V288" s="1348"/>
      <c r="W288" s="1348"/>
      <c r="X288" s="1348"/>
      <c r="Y288" s="1348"/>
      <c r="Z288" s="1348"/>
      <c r="AA288" s="1872"/>
      <c r="AB288" s="730"/>
      <c r="AC288" s="730"/>
      <c r="AD288" s="730"/>
      <c r="AE288" s="730"/>
    </row>
    <row r="292" customHeight="1" ht="11.25">
      <c r="A292" s="1173"/>
      <c r="B292" s="1871"/>
      <c r="D292" s="1871"/>
      <c r="K292" s="1871"/>
      <c r="N292" s="1871"/>
      <c r="O292" s="1871"/>
      <c r="P292" s="1871"/>
      <c r="Q292" s="1871"/>
      <c r="S292" s="1871"/>
      <c r="T292" s="1871"/>
      <c r="U292" s="1871"/>
      <c r="V292" s="1871"/>
      <c r="W292" s="1871"/>
      <c r="X292" s="1871"/>
      <c r="Y292" s="1871"/>
      <c r="Z292" s="1871"/>
      <c r="AA292" s="1871"/>
      <c r="AB292" s="1871"/>
      <c r="AC292" s="1871"/>
      <c r="AD292" s="1871"/>
      <c r="AE292" s="1871"/>
    </row>
    <row customHeight="1" ht="11.25">
      <c r="A293" s="1173"/>
      <c r="B293" s="1871"/>
      <c r="D293" s="1871"/>
      <c r="K293" s="1871"/>
      <c r="N293" s="1871"/>
      <c r="O293" s="1871"/>
      <c r="P293" s="1871"/>
      <c r="Q293" s="1871"/>
      <c r="S293" s="1871"/>
      <c r="T293" s="1871"/>
      <c r="U293" s="1871"/>
      <c r="V293" s="1871"/>
      <c r="W293" s="1871"/>
      <c r="X293" s="1871"/>
      <c r="Y293" s="1871"/>
      <c r="Z293" s="1871"/>
      <c r="AA293" s="1871"/>
      <c r="AB293" s="1871"/>
      <c r="AC293" s="1871"/>
      <c r="AD293" s="1871"/>
      <c r="AE293" s="1871"/>
    </row>
    <row customHeight="1" ht="11.25">
      <c r="A294" s="1173"/>
      <c r="B294" s="1871"/>
      <c r="D294" s="1871"/>
      <c r="K294" s="1871"/>
      <c r="N294" s="1871"/>
      <c r="O294" s="1871"/>
      <c r="P294" s="1871"/>
      <c r="Q294" s="1871"/>
      <c r="S294" s="1871"/>
      <c r="T294" s="1871"/>
      <c r="U294" s="1871"/>
      <c r="V294" s="1871"/>
      <c r="W294" s="1871"/>
      <c r="X294" s="1871"/>
      <c r="Y294" s="1871"/>
      <c r="Z294" s="1871"/>
      <c r="AA294" s="1871"/>
      <c r="AB294" s="1871"/>
      <c r="AC294" s="1871"/>
      <c r="AD294" s="1871"/>
      <c r="AE294" s="1871"/>
    </row>
    <row customHeight="1" ht="11.25">
      <c r="A295" s="1173"/>
      <c r="B295" s="1871"/>
      <c r="D295" s="1871"/>
      <c r="K295" s="1871"/>
      <c r="N295" s="1871"/>
      <c r="O295" s="1871"/>
      <c r="P295" s="1871"/>
      <c r="Q295" s="1871"/>
      <c r="S295" s="1871"/>
      <c r="T295" s="1871"/>
      <c r="U295" s="1871"/>
      <c r="V295" s="1871"/>
      <c r="W295" s="1871"/>
      <c r="X295" s="1871"/>
      <c r="Y295" s="1871"/>
      <c r="Z295" s="1871"/>
      <c r="AA295" s="1871"/>
      <c r="AB295" s="1871"/>
      <c r="AC295" s="1871"/>
      <c r="AD295" s="1871"/>
      <c r="AE295" s="1871"/>
    </row>
    <row customHeight="1" ht="11.25">
      <c r="A296" s="1173"/>
      <c r="B296" s="1871"/>
      <c r="D296" s="1871"/>
      <c r="K296" s="1871"/>
      <c r="N296" s="1871"/>
      <c r="O296" s="1871"/>
      <c r="P296" s="1871"/>
      <c r="Q296" s="1871"/>
      <c r="S296" s="1871"/>
      <c r="T296" s="1871"/>
      <c r="U296" s="1871"/>
      <c r="V296" s="1871"/>
      <c r="W296" s="1871"/>
      <c r="X296" s="1871"/>
      <c r="Y296" s="1871"/>
      <c r="Z296" s="1871"/>
      <c r="AA296" s="1871"/>
      <c r="AB296" s="1871"/>
      <c r="AC296" s="1871"/>
      <c r="AD296" s="1871"/>
      <c r="AE296" s="1871"/>
    </row>
    <row customHeight="1" ht="11.25">
      <c r="A297" s="1173"/>
      <c r="B297" s="1871"/>
      <c r="D297" s="1871"/>
      <c r="K297" s="1871"/>
      <c r="N297" s="1871"/>
      <c r="O297" s="1871"/>
      <c r="P297" s="1871"/>
      <c r="Q297" s="1871"/>
      <c r="S297" s="1871"/>
      <c r="T297" s="1871"/>
      <c r="U297" s="1871"/>
      <c r="V297" s="1871"/>
      <c r="W297" s="1871"/>
      <c r="X297" s="1871"/>
      <c r="Y297" s="1871"/>
      <c r="Z297" s="1871"/>
      <c r="AA297" s="1871"/>
      <c r="AB297" s="1871"/>
      <c r="AC297" s="1871"/>
      <c r="AD297" s="1871"/>
      <c r="AE297" s="1871"/>
    </row>
    <row customHeight="1" ht="11.25">
      <c r="A298" s="1173"/>
      <c r="B298" s="1871"/>
      <c r="D298" s="1871"/>
      <c r="K298" s="1871"/>
      <c r="N298" s="1871"/>
      <c r="O298" s="1871"/>
      <c r="P298" s="1871"/>
      <c r="Q298" s="1871"/>
      <c r="S298" s="1871"/>
      <c r="T298" s="1871"/>
      <c r="U298" s="1871"/>
      <c r="V298" s="1871"/>
      <c r="W298" s="1871"/>
      <c r="X298" s="1871"/>
      <c r="Y298" s="1871"/>
      <c r="Z298" s="1871"/>
      <c r="AA298" s="1871"/>
      <c r="AB298" s="1871"/>
      <c r="AC298" s="1871"/>
      <c r="AD298" s="1871"/>
      <c r="AE298" s="1871"/>
    </row>
    <row customHeight="1" ht="11.25">
      <c r="A299" s="1173"/>
      <c r="B299" s="1871"/>
      <c r="D299" s="1871"/>
      <c r="K299" s="1871"/>
      <c r="N299" s="1871"/>
      <c r="O299" s="1871"/>
      <c r="P299" s="1871"/>
      <c r="Q299" s="1871"/>
      <c r="S299" s="1871"/>
      <c r="T299" s="1871"/>
      <c r="U299" s="1871"/>
      <c r="V299" s="1871"/>
      <c r="W299" s="1871"/>
      <c r="X299" s="1871"/>
      <c r="Y299" s="1871"/>
      <c r="Z299" s="1871"/>
      <c r="AA299" s="1871"/>
      <c r="AB299" s="1871"/>
      <c r="AC299" s="1871"/>
      <c r="AD299" s="1871"/>
      <c r="AE299" s="1871"/>
    </row>
    <row customHeight="1" ht="11.25">
      <c r="A300" s="1173"/>
      <c r="B300" s="1871"/>
      <c r="D300" s="1871"/>
      <c r="K300" s="1871"/>
      <c r="N300" s="1871"/>
      <c r="O300" s="1871"/>
      <c r="P300" s="1871"/>
      <c r="Q300" s="1871"/>
      <c r="S300" s="1871"/>
      <c r="T300" s="1871"/>
      <c r="U300" s="1871"/>
      <c r="V300" s="1871"/>
      <c r="W300" s="1871"/>
      <c r="X300" s="1871"/>
      <c r="Y300" s="1871"/>
      <c r="Z300" s="1871"/>
      <c r="AA300" s="1871"/>
      <c r="AB300" s="1871"/>
      <c r="AC300" s="1871"/>
      <c r="AD300" s="1871"/>
      <c r="AE300" s="1871"/>
    </row>
    <row customHeight="1" ht="11.25">
      <c r="A301" s="1173"/>
      <c r="B301" s="1871"/>
      <c r="D301" s="1871"/>
      <c r="K301" s="1871"/>
      <c r="N301" s="1871"/>
      <c r="O301" s="1871"/>
      <c r="P301" s="1871"/>
      <c r="Q301" s="1871"/>
      <c r="S301" s="1871"/>
      <c r="T301" s="1871"/>
      <c r="U301" s="1871"/>
      <c r="V301" s="1871"/>
      <c r="W301" s="1871"/>
      <c r="X301" s="1871"/>
      <c r="Y301" s="1871"/>
      <c r="Z301" s="1871"/>
      <c r="AA301" s="1871"/>
      <c r="AB301" s="1871"/>
      <c r="AC301" s="1871"/>
      <c r="AD301" s="1871"/>
      <c r="AE301" s="1871"/>
    </row>
    <row customHeight="1" ht="11.25">
      <c r="A302" s="1173"/>
      <c r="B302" s="1871"/>
      <c r="D302" s="1871"/>
      <c r="K302" s="1871"/>
      <c r="N302" s="1871"/>
      <c r="O302" s="1871"/>
      <c r="P302" s="1871"/>
      <c r="Q302" s="1871"/>
      <c r="S302" s="1871"/>
      <c r="T302" s="1871"/>
      <c r="U302" s="1871"/>
      <c r="V302" s="1871"/>
      <c r="W302" s="1871"/>
      <c r="X302" s="1871"/>
      <c r="Y302" s="1871"/>
      <c r="Z302" s="1871"/>
      <c r="AA302" s="1871"/>
      <c r="AB302" s="1871"/>
      <c r="AC302" s="1871"/>
      <c r="AD302" s="1871"/>
      <c r="AE302" s="1871"/>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EC15E13-C18B-96EB-6B8B-752FB737231D}"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7221" width="14.7109375" hidden="1" customWidth="1"/>
    <col min="2" max="2" style="5814" width="17.00390625" hidden="1" customWidth="1"/>
    <col min="3" max="3" style="5817" width="3.7109375" customWidth="1"/>
    <col min="4" max="4" style="5817" width="1.8515625" hidden="1" customWidth="1"/>
    <col min="5" max="6" style="5817" width="7.7109375" customWidth="1"/>
    <col min="7" max="7" style="5817" width="29.7109375" customWidth="1"/>
    <col min="8" max="8" style="5817" width="3.7109375" customWidth="1"/>
    <col min="9" max="9" style="5817" width="5.421875" customWidth="1"/>
    <col min="10" max="10" style="5817" width="24.57421875" customWidth="1"/>
    <col min="11" max="11" style="5817" width="24.421875" customWidth="1"/>
    <col min="12" max="12" style="5817" width="3.7109375" customWidth="1"/>
    <col min="13" max="13" style="5817" width="6.28125" customWidth="1"/>
    <col min="14" max="14" style="5817" width="25.8515625" customWidth="1"/>
    <col min="15" max="18" style="5817" width="18.7109375" customWidth="1"/>
    <col min="19" max="19" style="5817" width="93.421875" customWidth="1"/>
    <col min="20" max="20" style="5817" width="10.57421875" customWidth="1"/>
    <col min="21" max="21" style="7222" width="10.57421875" customWidth="1"/>
    <col min="22" max="22" style="7222" width="11.7109375" customWidth="1"/>
    <col min="23" max="23" style="7223" width="10.57421875" customWidth="1"/>
    <col min="24" max="27" style="5814" width="10.57421875" customWidth="1"/>
    <col min="28" max="83" style="5817" width="9.140625"/>
  </cols>
  <sheetData>
    <row customHeight="1" ht="11.25" hidden="1"/>
    <row customHeight="1" ht="11.25" hidden="1"/>
    <row customHeight="1" ht="11.25" hidden="1"/>
    <row customHeight="1" ht="3">
      <c r="C4" s="673"/>
      <c r="D4" s="673"/>
      <c r="E4" s="673"/>
      <c r="F4" s="673"/>
      <c r="G4" s="673"/>
      <c r="H4" s="673"/>
      <c r="I4" s="673"/>
      <c r="J4" s="673"/>
      <c r="K4" s="301"/>
      <c r="L4" s="301"/>
      <c r="M4" s="301"/>
    </row>
    <row customHeight="1" ht="33.75">
      <c r="C5" s="673"/>
      <c r="D5" s="1244"/>
      <c r="E5" s="2525"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525"/>
      <c r="G5" s="2525"/>
      <c r="H5" s="2525"/>
      <c r="I5" s="2525"/>
      <c r="J5" s="2525"/>
      <c r="K5" s="2525"/>
      <c r="L5" s="777"/>
      <c r="M5" s="777"/>
    </row>
    <row s="5367" customFormat="1" customHeight="1" ht="16.5">
      <c r="A6" s="774"/>
      <c r="B6" s="925"/>
      <c r="C6" s="673"/>
      <c r="D6" s="1245"/>
      <c r="E6" s="2526"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6" s="2526"/>
      <c r="G6" s="2526"/>
      <c r="H6" s="2526"/>
      <c r="I6" s="2526"/>
      <c r="J6" s="2526"/>
      <c r="K6" s="2526"/>
      <c r="L6" s="777"/>
      <c r="M6" s="777"/>
      <c r="U6" s="775"/>
      <c r="V6" s="775"/>
      <c r="W6" s="776"/>
      <c r="X6" s="925"/>
      <c r="Y6" s="925"/>
      <c r="Z6" s="925"/>
      <c r="AA6" s="925"/>
    </row>
    <row customHeight="1" ht="11.25">
      <c r="C7" s="673"/>
      <c r="D7" s="673"/>
      <c r="E7" s="673"/>
      <c r="F7" s="673"/>
      <c r="G7" s="686"/>
      <c r="H7" s="686"/>
      <c r="I7" s="686"/>
      <c r="J7" s="686"/>
      <c r="K7" s="778"/>
      <c r="L7" s="778"/>
      <c r="M7" s="778"/>
      <c r="R7" s="918"/>
    </row>
    <row s="5794" customFormat="1" customHeight="1" ht="5.25">
      <c r="A8" s="785"/>
      <c r="B8" s="730"/>
      <c r="C8" s="499"/>
      <c r="D8" s="499"/>
      <c r="E8" s="499"/>
      <c r="F8" s="499"/>
      <c r="G8" s="1158"/>
      <c r="H8" s="1158"/>
      <c r="I8" s="1158"/>
      <c r="J8" s="1158"/>
      <c r="K8" s="1201"/>
      <c r="L8" s="1201"/>
      <c r="M8" s="1201"/>
      <c r="R8" s="1202"/>
      <c r="U8" s="775"/>
      <c r="V8" s="775"/>
      <c r="W8" s="786"/>
      <c r="X8" s="730"/>
      <c r="Y8" s="730"/>
      <c r="Z8" s="730"/>
      <c r="AA8" s="730"/>
    </row>
    <row customHeight="1" ht="18.75">
      <c r="D9" s="426"/>
      <c r="E9" s="2063" t="s">
        <v>300</v>
      </c>
      <c r="F9" s="2064"/>
      <c r="G9" s="2064"/>
      <c r="H9" s="2064"/>
      <c r="I9" s="2064"/>
      <c r="J9" s="2064"/>
      <c r="K9" s="2064"/>
      <c r="L9" s="2064"/>
      <c r="M9" s="2064"/>
      <c r="N9" s="2064"/>
      <c r="O9" s="2064"/>
      <c r="P9" s="2064"/>
      <c r="Q9" s="2064"/>
      <c r="R9" s="2065"/>
      <c r="S9" s="2204" t="s">
        <v>301</v>
      </c>
      <c r="T9" s="482"/>
    </row>
    <row customHeight="1" ht="33.75">
      <c r="D10" s="715" t="s">
        <v>87</v>
      </c>
      <c r="E10" s="2204" t="s">
        <v>87</v>
      </c>
      <c r="F10" s="2204"/>
      <c r="G10" s="685" t="s">
        <v>302</v>
      </c>
      <c r="H10" s="2204" t="s">
        <v>87</v>
      </c>
      <c r="I10" s="2204"/>
      <c r="J10" s="685" t="s">
        <v>1768</v>
      </c>
      <c r="K10" s="685" t="s">
        <v>1769</v>
      </c>
      <c r="L10" s="2204" t="s">
        <v>87</v>
      </c>
      <c r="M10" s="2204"/>
      <c r="N10" s="685" t="s">
        <v>1770</v>
      </c>
      <c r="O10" s="685" t="s">
        <v>1771</v>
      </c>
      <c r="P10" s="685" t="s">
        <v>1772</v>
      </c>
      <c r="Q10" s="685" t="s">
        <v>1773</v>
      </c>
      <c r="R10" s="685" t="s">
        <v>1774</v>
      </c>
      <c r="S10" s="2204"/>
      <c r="T10" s="482"/>
    </row>
    <row s="6608" customFormat="1" customHeight="1" ht="15" hidden="1">
      <c r="A11" s="1238"/>
      <c r="D11" s="1210" t="s">
        <v>118</v>
      </c>
      <c r="E11" s="1210"/>
      <c r="F11" s="1210" t="s">
        <v>102</v>
      </c>
      <c r="G11" s="1210" t="s">
        <v>89</v>
      </c>
      <c r="H11" s="1210"/>
      <c r="I11" s="1210" t="s">
        <v>90</v>
      </c>
      <c r="J11" s="1210" t="s">
        <v>119</v>
      </c>
      <c r="K11" s="1210" t="s">
        <v>91</v>
      </c>
      <c r="L11" s="1210"/>
      <c r="M11" s="1210" t="s">
        <v>92</v>
      </c>
      <c r="N11" s="1210" t="s">
        <v>120</v>
      </c>
      <c r="O11" s="1210" t="s">
        <v>157</v>
      </c>
      <c r="P11" s="1210" t="s">
        <v>158</v>
      </c>
      <c r="Q11" s="1210" t="s">
        <v>159</v>
      </c>
      <c r="R11" s="1210" t="s">
        <v>160</v>
      </c>
      <c r="S11" s="1210" t="s">
        <v>161</v>
      </c>
      <c r="U11" s="775"/>
      <c r="V11" s="775"/>
      <c r="W11" s="775"/>
    </row>
    <row s="6905" customFormat="1" customHeight="1" ht="0.75">
      <c r="A12" s="779"/>
      <c r="B12" s="512"/>
      <c r="D12" s="712"/>
      <c r="E12" s="494"/>
      <c r="F12" s="494"/>
      <c r="Q12" s="780"/>
      <c r="R12" s="781"/>
      <c r="T12" s="782"/>
      <c r="U12" s="783"/>
      <c r="V12" s="783"/>
      <c r="W12" s="784"/>
      <c r="X12" s="512"/>
      <c r="Y12" s="512"/>
      <c r="Z12" s="512"/>
      <c r="AA12" s="512"/>
    </row>
    <row s="5794" customFormat="1" customHeight="1" ht="0.75">
      <c r="A13" s="785"/>
      <c r="B13" s="730"/>
      <c r="D13" s="712" t="s">
        <v>378</v>
      </c>
      <c r="E13" s="724"/>
      <c r="F13" s="724"/>
      <c r="G13" s="724"/>
      <c r="H13" s="724"/>
      <c r="I13" s="724"/>
      <c r="J13" s="724"/>
      <c r="K13" s="724"/>
      <c r="L13" s="724"/>
      <c r="M13" s="724"/>
      <c r="N13" s="724"/>
      <c r="O13" s="724"/>
      <c r="P13" s="724"/>
      <c r="Q13" s="724"/>
      <c r="R13" s="724"/>
      <c r="T13" s="482"/>
      <c r="U13" s="775"/>
      <c r="V13" s="775"/>
      <c r="W13" s="786"/>
      <c r="X13" s="730"/>
      <c r="Y13" s="730"/>
      <c r="Z13" s="730"/>
      <c r="AA13" s="730"/>
    </row>
    <row s="5661" customFormat="1" customHeight="1" ht="15" hidden="1">
      <c r="A14" s="787" t="s">
        <v>125</v>
      </c>
      <c r="B14" s="788"/>
      <c r="C14" s="788"/>
      <c r="D14" s="2521" t="s">
        <v>118</v>
      </c>
      <c r="E14" s="2301" t="s">
        <v>114</v>
      </c>
      <c r="F14" s="2302"/>
      <c r="G14" s="2303"/>
      <c r="H14" s="2304" t="str">
        <f>IF(A14="","",INDEX(DIFFERENTIATION_UNMERGE_VD,MATCH(A14,DIFFERENTIATION_ID_DIFF,0)))</f>
        <v>Водоотведение</v>
      </c>
      <c r="I14" s="2304"/>
      <c r="J14" s="2304"/>
      <c r="K14" s="2304"/>
      <c r="L14" s="2304"/>
      <c r="M14" s="2304"/>
      <c r="N14" s="2304"/>
      <c r="O14" s="2304"/>
      <c r="P14" s="2304"/>
      <c r="Q14" s="2304"/>
      <c r="R14" s="2304"/>
      <c r="S14" s="883"/>
      <c r="T14" s="880"/>
      <c r="U14" s="789"/>
      <c r="V14" s="789"/>
      <c r="W14" s="790"/>
      <c r="X14" s="790"/>
      <c r="Y14" s="790"/>
      <c r="Z14" s="790"/>
      <c r="AA14" s="791"/>
      <c r="AB14" s="792"/>
      <c r="AC14" s="2300"/>
      <c r="AD14" s="793"/>
      <c r="AE14" s="794" t="s">
        <v>17</v>
      </c>
      <c r="AF14" s="794"/>
      <c r="AG14" s="795" t="s">
        <v>1427</v>
      </c>
      <c r="AH14" s="796">
        <v>3</v>
      </c>
      <c r="AI14" s="789"/>
      <c r="AJ14" s="789"/>
      <c r="AK14" s="789"/>
      <c r="AL14" s="789"/>
      <c r="AM14" s="789"/>
      <c r="AN14" s="789"/>
      <c r="AO14" s="789"/>
      <c r="AP14" s="789"/>
      <c r="AQ14" s="789"/>
      <c r="AR14" s="789"/>
      <c r="AS14" s="789"/>
      <c r="AT14" s="789"/>
      <c r="AU14" s="789"/>
      <c r="AV14" s="789"/>
      <c r="AW14" s="789"/>
      <c r="AX14" s="789"/>
      <c r="AY14" s="789"/>
      <c r="AZ14" s="789"/>
      <c r="BA14" s="789"/>
      <c r="BB14" s="789"/>
      <c r="BC14" s="789"/>
      <c r="BD14" s="789"/>
      <c r="BE14" s="789"/>
      <c r="BF14" s="789"/>
      <c r="BG14" s="789"/>
      <c r="BH14" s="789"/>
      <c r="BI14" s="789"/>
      <c r="BJ14" s="789"/>
      <c r="BK14" s="789"/>
      <c r="BL14" s="789"/>
      <c r="BM14" s="789"/>
      <c r="BN14" s="789"/>
      <c r="BO14" s="789"/>
      <c r="BP14" s="789"/>
      <c r="BQ14" s="789"/>
      <c r="BR14" s="789"/>
      <c r="BS14" s="789"/>
      <c r="BT14" s="789"/>
      <c r="BU14" s="789"/>
      <c r="BV14" s="790"/>
      <c r="BW14" s="790"/>
      <c r="BX14" s="790"/>
      <c r="BY14" s="790"/>
      <c r="BZ14" s="790"/>
      <c r="CA14" s="790"/>
      <c r="CB14" s="790"/>
      <c r="CC14" s="790"/>
      <c r="CD14" s="790"/>
      <c r="CE14" s="790"/>
    </row>
    <row s="5661" customFormat="1" customHeight="1" ht="15" hidden="1">
      <c r="A15" s="787"/>
      <c r="B15" s="788"/>
      <c r="C15" s="788"/>
      <c r="D15" s="2522"/>
      <c r="E15" s="2301" t="s">
        <v>1428</v>
      </c>
      <c r="F15" s="2302"/>
      <c r="G15" s="2303"/>
      <c r="H15" s="2304" t="str">
        <f>IF(A14="","",INDEX(DIFFERENTIATION_UNMERGE_AREA,MATCH(A14,DIFFERENTIATION_ID_DIFF,0)))</f>
        <v>Краснодарский край (тариф на водоотведение)  </v>
      </c>
      <c r="I15" s="2304"/>
      <c r="J15" s="2304"/>
      <c r="K15" s="2304"/>
      <c r="L15" s="2304"/>
      <c r="M15" s="2304"/>
      <c r="N15" s="2304"/>
      <c r="O15" s="2304"/>
      <c r="P15" s="2304"/>
      <c r="Q15" s="2304"/>
      <c r="R15" s="2304"/>
      <c r="S15" s="883"/>
      <c r="T15" s="880"/>
      <c r="U15" s="789"/>
      <c r="V15" s="789"/>
      <c r="W15" s="790"/>
      <c r="X15" s="790"/>
      <c r="Y15" s="790"/>
      <c r="Z15" s="790"/>
      <c r="AA15" s="791"/>
      <c r="AB15" s="792"/>
      <c r="AC15" s="2300"/>
      <c r="AD15" s="793"/>
      <c r="AE15" s="794"/>
      <c r="AF15" s="794"/>
      <c r="AG15" s="795"/>
      <c r="AH15" s="796"/>
      <c r="AI15" s="789"/>
      <c r="AJ15" s="789"/>
      <c r="AK15" s="789"/>
      <c r="AL15" s="789"/>
      <c r="AM15" s="789"/>
      <c r="AN15" s="789"/>
      <c r="AO15" s="789"/>
      <c r="AP15" s="789"/>
      <c r="AQ15" s="789"/>
      <c r="AR15" s="789"/>
      <c r="AS15" s="789"/>
      <c r="AT15" s="789"/>
      <c r="AU15" s="789"/>
      <c r="AV15" s="789"/>
      <c r="AW15" s="789"/>
      <c r="AX15" s="789"/>
      <c r="AY15" s="789"/>
      <c r="AZ15" s="789"/>
      <c r="BA15" s="789"/>
      <c r="BB15" s="789"/>
      <c r="BC15" s="789"/>
      <c r="BD15" s="789"/>
      <c r="BE15" s="789"/>
      <c r="BF15" s="789"/>
      <c r="BG15" s="789"/>
      <c r="BH15" s="789"/>
      <c r="BI15" s="789"/>
      <c r="BJ15" s="789"/>
      <c r="BK15" s="789"/>
      <c r="BL15" s="789"/>
      <c r="BM15" s="789"/>
      <c r="BN15" s="789"/>
      <c r="BO15" s="789"/>
      <c r="BP15" s="789"/>
      <c r="BQ15" s="789"/>
      <c r="BR15" s="789"/>
      <c r="BS15" s="789"/>
      <c r="BT15" s="789"/>
      <c r="BU15" s="789"/>
      <c r="BV15" s="790"/>
      <c r="BW15" s="790"/>
      <c r="BX15" s="790"/>
      <c r="BY15" s="790"/>
      <c r="BZ15" s="790"/>
      <c r="CA15" s="790"/>
      <c r="CB15" s="790"/>
      <c r="CC15" s="790"/>
      <c r="CD15" s="790"/>
      <c r="CE15" s="790"/>
    </row>
    <row s="5661" customFormat="1" customHeight="1" ht="15" hidden="1">
      <c r="A16" s="787"/>
      <c r="B16" s="788"/>
      <c r="C16" s="788"/>
      <c r="D16" s="2522"/>
      <c r="E16" s="2301" t="s">
        <v>1429</v>
      </c>
      <c r="F16" s="2302"/>
      <c r="G16" s="2303"/>
      <c r="H16" s="2304" t="str">
        <f>IF(A14="","",INDEX(DIFFERENTIATION_UNMERGE_SYSTEM,MATCH(A14,DIFFERENTIATION_ID_DIFF,0)))</f>
        <v>без дифференциации</v>
      </c>
      <c r="I16" s="2304"/>
      <c r="J16" s="2304"/>
      <c r="K16" s="2304"/>
      <c r="L16" s="2304"/>
      <c r="M16" s="2304"/>
      <c r="N16" s="2304"/>
      <c r="O16" s="2304"/>
      <c r="P16" s="2304"/>
      <c r="Q16" s="2304"/>
      <c r="R16" s="2304"/>
      <c r="S16" s="883"/>
      <c r="T16" s="880"/>
      <c r="U16" s="789"/>
      <c r="V16" s="789"/>
      <c r="W16" s="790"/>
      <c r="X16" s="790"/>
      <c r="Y16" s="790"/>
      <c r="Z16" s="790"/>
      <c r="AA16" s="791"/>
      <c r="AB16" s="792"/>
      <c r="AC16" s="2300"/>
      <c r="AD16" s="793"/>
      <c r="AE16" s="794"/>
      <c r="AF16" s="794"/>
      <c r="AG16" s="795"/>
      <c r="AH16" s="796"/>
      <c r="AI16" s="789"/>
      <c r="AJ16" s="789"/>
      <c r="AK16" s="789"/>
      <c r="AL16" s="789"/>
      <c r="AM16" s="789"/>
      <c r="AN16" s="789"/>
      <c r="AO16" s="789"/>
      <c r="AP16" s="789"/>
      <c r="AQ16" s="789"/>
      <c r="AR16" s="789"/>
      <c r="AS16" s="789"/>
      <c r="AT16" s="789"/>
      <c r="AU16" s="789"/>
      <c r="AV16" s="789"/>
      <c r="AW16" s="789"/>
      <c r="AX16" s="789"/>
      <c r="AY16" s="789"/>
      <c r="AZ16" s="789"/>
      <c r="BA16" s="789"/>
      <c r="BB16" s="789"/>
      <c r="BC16" s="789"/>
      <c r="BD16" s="789"/>
      <c r="BE16" s="789"/>
      <c r="BF16" s="789"/>
      <c r="BG16" s="789"/>
      <c r="BH16" s="789"/>
      <c r="BI16" s="789"/>
      <c r="BJ16" s="789"/>
      <c r="BK16" s="789"/>
      <c r="BL16" s="789"/>
      <c r="BM16" s="789"/>
      <c r="BN16" s="789"/>
      <c r="BO16" s="789"/>
      <c r="BP16" s="789"/>
      <c r="BQ16" s="789"/>
      <c r="BR16" s="789"/>
      <c r="BS16" s="789"/>
      <c r="BT16" s="789"/>
      <c r="BU16" s="789"/>
      <c r="BV16" s="790"/>
      <c r="BW16" s="790"/>
      <c r="BX16" s="790"/>
      <c r="BY16" s="790"/>
      <c r="BZ16" s="790"/>
      <c r="CA16" s="790"/>
      <c r="CB16" s="790"/>
      <c r="CC16" s="790"/>
      <c r="CD16" s="790"/>
      <c r="CE16" s="790"/>
    </row>
    <row s="5661" customFormat="1" customHeight="1" ht="22.5" hidden="1">
      <c r="A17" s="797"/>
      <c r="B17" s="580"/>
      <c r="C17" s="575"/>
      <c r="D17" s="2522"/>
      <c r="E17" s="2315" t="s">
        <v>1430</v>
      </c>
      <c r="F17" s="2315"/>
      <c r="G17" s="2315"/>
      <c r="H17" s="2315"/>
      <c r="I17" s="2315"/>
      <c r="J17" s="2315"/>
      <c r="K17" s="2315"/>
      <c r="L17" s="2315"/>
      <c r="M17" s="2315"/>
      <c r="N17" s="2315"/>
      <c r="O17" s="2315"/>
      <c r="P17" s="2315"/>
      <c r="Q17" s="722">
        <f>SUMIF(T18:T19,"i",Q18:Q19)</f>
        <v>0</v>
      </c>
      <c r="R17" s="1200"/>
      <c r="S17" s="1075" t="s">
        <v>1431</v>
      </c>
      <c r="T17" s="881" t="s">
        <v>1432</v>
      </c>
      <c r="U17" s="2316">
        <v>1</v>
      </c>
      <c r="V17" s="2316" t="str">
        <f>INDEX(B_FHD_FLAG_INDEX_1,1,MATCH(A14,B_FHD_FLAG_DIFFERENTIATION,0))</f>
        <v>отсутствует</v>
      </c>
      <c r="W17" s="580"/>
      <c r="X17" s="580"/>
      <c r="Y17" s="580"/>
      <c r="Z17" s="580"/>
      <c r="AA17" s="675"/>
      <c r="AB17" s="580"/>
      <c r="AC17" s="2300"/>
      <c r="AD17" s="793"/>
      <c r="AE17" s="580"/>
      <c r="AF17" s="580"/>
      <c r="AG17" s="675"/>
      <c r="AH17" s="675"/>
      <c r="AI17" s="675"/>
      <c r="AJ17" s="675"/>
      <c r="AK17" s="675"/>
      <c r="AL17" s="675"/>
      <c r="AM17" s="675"/>
      <c r="AN17" s="675"/>
      <c r="AO17" s="675"/>
      <c r="AP17" s="675"/>
      <c r="AQ17" s="675"/>
      <c r="AR17" s="675"/>
      <c r="AS17" s="675"/>
      <c r="AT17" s="675"/>
      <c r="AU17" s="675"/>
      <c r="AV17" s="675"/>
      <c r="AW17" s="675"/>
      <c r="AX17" s="675"/>
      <c r="AY17" s="675"/>
      <c r="AZ17" s="675"/>
      <c r="BA17" s="675"/>
      <c r="BB17" s="675"/>
      <c r="BC17" s="675"/>
      <c r="BD17" s="675"/>
      <c r="BE17" s="675"/>
      <c r="BF17" s="675"/>
      <c r="BG17" s="675"/>
      <c r="BH17" s="675"/>
      <c r="BI17" s="675"/>
      <c r="BJ17" s="675"/>
      <c r="BK17" s="675"/>
      <c r="BL17" s="675"/>
      <c r="BM17" s="675"/>
      <c r="BN17" s="675"/>
      <c r="BO17" s="675"/>
      <c r="BP17" s="675"/>
      <c r="BQ17" s="675"/>
      <c r="BR17" s="675"/>
      <c r="BS17" s="675"/>
      <c r="BT17" s="675"/>
      <c r="BU17" s="675"/>
      <c r="BV17" s="580"/>
      <c r="BW17" s="580"/>
      <c r="BX17" s="580"/>
      <c r="BY17" s="580"/>
      <c r="BZ17" s="580"/>
      <c r="CA17" s="580"/>
      <c r="CB17" s="580"/>
      <c r="CC17" s="580"/>
      <c r="CD17" s="580"/>
      <c r="CE17" s="580"/>
    </row>
    <row s="5661" customFormat="1" customHeight="1" ht="11.25" hidden="1">
      <c r="A18" s="798"/>
      <c r="B18" s="675"/>
      <c r="C18" s="675"/>
      <c r="D18" s="2522"/>
      <c r="E18" s="799"/>
      <c r="F18" s="799">
        <v>0</v>
      </c>
      <c r="G18" s="799"/>
      <c r="H18" s="799"/>
      <c r="I18" s="799"/>
      <c r="J18" s="799"/>
      <c r="K18" s="799"/>
      <c r="L18" s="799"/>
      <c r="M18" s="799"/>
      <c r="N18" s="799"/>
      <c r="O18" s="799"/>
      <c r="P18" s="799"/>
      <c r="Q18" s="799"/>
      <c r="R18" s="799"/>
      <c r="S18" s="800"/>
      <c r="T18" s="882"/>
      <c r="U18" s="2316"/>
      <c r="V18" s="2316"/>
      <c r="W18" s="675"/>
      <c r="X18" s="675"/>
      <c r="Y18" s="675"/>
      <c r="Z18" s="675"/>
      <c r="AA18" s="675"/>
      <c r="AB18" s="580"/>
      <c r="AC18" s="2300"/>
      <c r="AD18" s="793"/>
      <c r="AE18" s="580"/>
      <c r="AF18" s="580"/>
      <c r="AG18" s="675"/>
      <c r="AH18" s="675"/>
      <c r="AI18" s="675"/>
      <c r="AJ18" s="675"/>
      <c r="AK18" s="675"/>
      <c r="AL18" s="675"/>
      <c r="AM18" s="675"/>
      <c r="AN18" s="675"/>
      <c r="AO18" s="675"/>
      <c r="AP18" s="675"/>
      <c r="AQ18" s="675"/>
      <c r="AR18" s="675"/>
      <c r="AS18" s="675"/>
      <c r="AT18" s="675"/>
      <c r="AU18" s="675"/>
      <c r="AV18" s="675"/>
      <c r="AW18" s="675"/>
      <c r="AX18" s="675"/>
      <c r="AY18" s="675"/>
      <c r="AZ18" s="675"/>
      <c r="BA18" s="675"/>
      <c r="BB18" s="675"/>
      <c r="BC18" s="675"/>
      <c r="BD18" s="675"/>
      <c r="BE18" s="675"/>
      <c r="BF18" s="675"/>
      <c r="BG18" s="675"/>
      <c r="BH18" s="675"/>
      <c r="BI18" s="675"/>
      <c r="BJ18" s="675"/>
      <c r="BK18" s="675"/>
      <c r="BL18" s="675"/>
      <c r="BM18" s="675"/>
      <c r="BN18" s="675"/>
      <c r="BO18" s="675"/>
      <c r="BP18" s="675"/>
      <c r="BQ18" s="675"/>
      <c r="BR18" s="675"/>
      <c r="BS18" s="675"/>
      <c r="BT18" s="675"/>
      <c r="BU18" s="675"/>
      <c r="BV18" s="675"/>
      <c r="BW18" s="675"/>
      <c r="BX18" s="675"/>
      <c r="BY18" s="675"/>
      <c r="BZ18" s="675"/>
      <c r="CA18" s="675"/>
      <c r="CB18" s="675"/>
      <c r="CC18" s="675"/>
      <c r="CD18" s="675"/>
      <c r="CE18" s="675"/>
    </row>
    <row s="5661" customFormat="1" customHeight="1" ht="11.25" hidden="1">
      <c r="A19" s="797"/>
      <c r="B19" s="580"/>
      <c r="C19" s="575"/>
      <c r="D19" s="2522"/>
      <c r="E19" s="813" t="s">
        <v>17</v>
      </c>
      <c r="F19" s="814" t="s">
        <v>17</v>
      </c>
      <c r="G19" s="814" t="s">
        <v>17</v>
      </c>
      <c r="H19" s="815" t="s">
        <v>17</v>
      </c>
      <c r="I19" s="815"/>
      <c r="J19" s="815"/>
      <c r="K19" s="815"/>
      <c r="L19" s="815"/>
      <c r="M19" s="815"/>
      <c r="N19" s="815"/>
      <c r="O19" s="815"/>
      <c r="P19" s="815"/>
      <c r="Q19" s="815"/>
      <c r="R19" s="816"/>
      <c r="S19" s="1203"/>
      <c r="T19" s="882"/>
      <c r="U19" s="2316"/>
      <c r="V19" s="2316"/>
      <c r="W19" s="580"/>
      <c r="X19" s="580"/>
      <c r="Y19" s="580"/>
      <c r="Z19" s="580"/>
      <c r="AA19" s="675"/>
      <c r="AB19" s="580"/>
      <c r="AC19" s="2300"/>
      <c r="AD19" s="793"/>
      <c r="AE19" s="580"/>
      <c r="AF19" s="580"/>
      <c r="AG19" s="675"/>
      <c r="AH19" s="675"/>
      <c r="AI19" s="675"/>
      <c r="AJ19" s="675"/>
      <c r="AK19" s="675"/>
      <c r="AL19" s="675"/>
      <c r="AM19" s="675"/>
      <c r="AN19" s="675"/>
      <c r="AO19" s="675"/>
      <c r="AP19" s="675"/>
      <c r="AQ19" s="675"/>
      <c r="AR19" s="675"/>
      <c r="AS19" s="675"/>
      <c r="AT19" s="675"/>
      <c r="AU19" s="675"/>
      <c r="AV19" s="675"/>
      <c r="AW19" s="675"/>
      <c r="AX19" s="675"/>
      <c r="AY19" s="675"/>
      <c r="AZ19" s="675"/>
      <c r="BA19" s="675"/>
      <c r="BB19" s="675"/>
      <c r="BC19" s="675"/>
      <c r="BD19" s="675"/>
      <c r="BE19" s="675"/>
      <c r="BF19" s="675"/>
      <c r="BG19" s="675"/>
      <c r="BH19" s="675"/>
      <c r="BI19" s="675"/>
      <c r="BJ19" s="675"/>
      <c r="BK19" s="675"/>
      <c r="BL19" s="675"/>
      <c r="BM19" s="675"/>
      <c r="BN19" s="675"/>
      <c r="BO19" s="675"/>
      <c r="BP19" s="675"/>
      <c r="BQ19" s="675"/>
      <c r="BR19" s="675"/>
      <c r="BS19" s="675"/>
      <c r="BT19" s="675"/>
      <c r="BU19" s="675"/>
      <c r="BV19" s="580"/>
      <c r="BW19" s="580"/>
      <c r="BX19" s="580"/>
      <c r="BY19" s="580"/>
      <c r="BZ19" s="580"/>
      <c r="CA19" s="580"/>
      <c r="CB19" s="580"/>
      <c r="CC19" s="580"/>
      <c r="CD19" s="580"/>
      <c r="CE19" s="580"/>
    </row>
    <row s="5661" customFormat="1" customHeight="1" ht="22.5" hidden="1">
      <c r="A20" s="797"/>
      <c r="B20" s="580"/>
      <c r="C20" s="575"/>
      <c r="D20" s="2522"/>
      <c r="E20" s="2315" t="s">
        <v>1435</v>
      </c>
      <c r="F20" s="2315"/>
      <c r="G20" s="2315"/>
      <c r="H20" s="2315"/>
      <c r="I20" s="2315"/>
      <c r="J20" s="2315"/>
      <c r="K20" s="2315"/>
      <c r="L20" s="2315"/>
      <c r="M20" s="2315"/>
      <c r="N20" s="2315"/>
      <c r="O20" s="2315"/>
      <c r="P20" s="2315"/>
      <c r="Q20" s="722">
        <f>SUMIF(T21:T22,"i",Q21:Q22)</f>
        <v>0</v>
      </c>
      <c r="R20" s="1200"/>
      <c r="S20" s="873" t="s">
        <v>1436</v>
      </c>
      <c r="T20" s="881" t="s">
        <v>1432</v>
      </c>
      <c r="U20" s="2316">
        <v>2</v>
      </c>
      <c r="V20" s="2316" t="str">
        <f>INDEX(B_FHD_FLAG_INDEX_2,1,MATCH(A14,B_FHD_FLAG_DIFFERENTIATION,0))</f>
        <v>отсутствует</v>
      </c>
      <c r="W20" s="580"/>
      <c r="X20" s="580"/>
      <c r="Y20" s="580"/>
      <c r="Z20" s="580"/>
      <c r="AA20" s="675"/>
      <c r="AB20" s="580"/>
      <c r="AC20" s="870"/>
      <c r="AD20" s="793"/>
      <c r="AE20" s="580"/>
      <c r="AF20" s="580"/>
      <c r="AG20" s="675"/>
      <c r="AH20" s="675"/>
      <c r="AI20" s="675"/>
      <c r="AJ20" s="675"/>
      <c r="AK20" s="675"/>
      <c r="AL20" s="675"/>
      <c r="AM20" s="675"/>
      <c r="AN20" s="675"/>
      <c r="AO20" s="675"/>
      <c r="AP20" s="675"/>
      <c r="AQ20" s="675"/>
      <c r="AR20" s="675"/>
      <c r="AS20" s="675"/>
      <c r="AT20" s="675"/>
      <c r="AU20" s="675"/>
      <c r="AV20" s="675"/>
      <c r="AW20" s="675"/>
      <c r="AX20" s="675"/>
      <c r="AY20" s="675"/>
      <c r="AZ20" s="675"/>
      <c r="BA20" s="675"/>
      <c r="BB20" s="675"/>
      <c r="BC20" s="675"/>
      <c r="BD20" s="675"/>
      <c r="BE20" s="675"/>
      <c r="BF20" s="675"/>
      <c r="BG20" s="675"/>
      <c r="BH20" s="675"/>
      <c r="BI20" s="675"/>
      <c r="BJ20" s="675"/>
      <c r="BK20" s="675"/>
      <c r="BL20" s="675"/>
      <c r="BM20" s="675"/>
      <c r="BN20" s="675"/>
      <c r="BO20" s="675"/>
      <c r="BP20" s="675"/>
      <c r="BQ20" s="675"/>
      <c r="BR20" s="675"/>
      <c r="BS20" s="675"/>
      <c r="BT20" s="675"/>
      <c r="BU20" s="675"/>
      <c r="BV20" s="580"/>
      <c r="BW20" s="580"/>
      <c r="BX20" s="580"/>
      <c r="BY20" s="580"/>
      <c r="BZ20" s="580"/>
      <c r="CA20" s="580"/>
      <c r="CB20" s="580"/>
      <c r="CC20" s="580"/>
      <c r="CD20" s="580"/>
      <c r="CE20" s="580"/>
    </row>
    <row s="5661" customFormat="1" customHeight="1" ht="11.25" hidden="1">
      <c r="A21" s="872"/>
      <c r="B21" s="675"/>
      <c r="C21" s="675"/>
      <c r="D21" s="2522"/>
      <c r="E21" s="799"/>
      <c r="F21" s="799">
        <v>0</v>
      </c>
      <c r="G21" s="799"/>
      <c r="H21" s="799"/>
      <c r="I21" s="799"/>
      <c r="J21" s="799"/>
      <c r="K21" s="799"/>
      <c r="L21" s="799"/>
      <c r="M21" s="799"/>
      <c r="N21" s="799"/>
      <c r="O21" s="799"/>
      <c r="P21" s="799"/>
      <c r="Q21" s="799"/>
      <c r="R21" s="799"/>
      <c r="S21" s="800"/>
      <c r="T21" s="882"/>
      <c r="U21" s="2316"/>
      <c r="V21" s="2316"/>
      <c r="W21" s="675"/>
      <c r="X21" s="675"/>
      <c r="Y21" s="675"/>
      <c r="Z21" s="675"/>
      <c r="AA21" s="675"/>
      <c r="AB21" s="580"/>
      <c r="AC21" s="870"/>
      <c r="AD21" s="793"/>
      <c r="AE21" s="580"/>
      <c r="AF21" s="580"/>
      <c r="AG21" s="675"/>
      <c r="AH21" s="675"/>
      <c r="AI21" s="675"/>
      <c r="AJ21" s="675"/>
      <c r="AK21" s="675"/>
      <c r="AL21" s="675"/>
      <c r="AM21" s="675"/>
      <c r="AN21" s="675"/>
      <c r="AO21" s="675"/>
      <c r="AP21" s="675"/>
      <c r="AQ21" s="675"/>
      <c r="AR21" s="675"/>
      <c r="AS21" s="675"/>
      <c r="AT21" s="675"/>
      <c r="AU21" s="675"/>
      <c r="AV21" s="675"/>
      <c r="AW21" s="675"/>
      <c r="AX21" s="675"/>
      <c r="AY21" s="675"/>
      <c r="AZ21" s="675"/>
      <c r="BA21" s="675"/>
      <c r="BB21" s="675"/>
      <c r="BC21" s="675"/>
      <c r="BD21" s="675"/>
      <c r="BE21" s="675"/>
      <c r="BF21" s="675"/>
      <c r="BG21" s="675"/>
      <c r="BH21" s="675"/>
      <c r="BI21" s="675"/>
      <c r="BJ21" s="675"/>
      <c r="BK21" s="675"/>
      <c r="BL21" s="675"/>
      <c r="BM21" s="675"/>
      <c r="BN21" s="675"/>
      <c r="BO21" s="675"/>
      <c r="BP21" s="675"/>
      <c r="BQ21" s="675"/>
      <c r="BR21" s="675"/>
      <c r="BS21" s="675"/>
      <c r="BT21" s="675"/>
      <c r="BU21" s="675"/>
      <c r="BV21" s="675"/>
      <c r="BW21" s="675"/>
      <c r="BX21" s="675"/>
      <c r="BY21" s="675"/>
      <c r="BZ21" s="675"/>
      <c r="CA21" s="675"/>
      <c r="CB21" s="675"/>
      <c r="CC21" s="675"/>
      <c r="CD21" s="675"/>
      <c r="CE21" s="675"/>
    </row>
    <row s="5661" customFormat="1" customHeight="1" ht="11.25" hidden="1">
      <c r="A22" s="797"/>
      <c r="B22" s="580"/>
      <c r="C22" s="575"/>
      <c r="D22" s="2523"/>
      <c r="E22" s="813" t="s">
        <v>17</v>
      </c>
      <c r="F22" s="814" t="s">
        <v>17</v>
      </c>
      <c r="G22" s="814" t="s">
        <v>17</v>
      </c>
      <c r="H22" s="815" t="s">
        <v>17</v>
      </c>
      <c r="I22" s="815"/>
      <c r="J22" s="815"/>
      <c r="K22" s="815"/>
      <c r="L22" s="815"/>
      <c r="M22" s="815"/>
      <c r="N22" s="815"/>
      <c r="O22" s="815"/>
      <c r="P22" s="815"/>
      <c r="Q22" s="815"/>
      <c r="R22" s="816"/>
      <c r="S22" s="1203"/>
      <c r="T22" s="882"/>
      <c r="U22" s="2316"/>
      <c r="V22" s="2316"/>
      <c r="W22" s="580"/>
      <c r="X22" s="580"/>
      <c r="Y22" s="580"/>
      <c r="Z22" s="580"/>
      <c r="AA22" s="675"/>
      <c r="AB22" s="580"/>
      <c r="AC22" s="870"/>
      <c r="AD22" s="793"/>
      <c r="AE22" s="580"/>
      <c r="AF22" s="580"/>
      <c r="AG22" s="675"/>
      <c r="AH22" s="675"/>
      <c r="AI22" s="675"/>
      <c r="AJ22" s="675"/>
      <c r="AK22" s="675"/>
      <c r="AL22" s="675"/>
      <c r="AM22" s="675"/>
      <c r="AN22" s="675"/>
      <c r="AO22" s="675"/>
      <c r="AP22" s="675"/>
      <c r="AQ22" s="675"/>
      <c r="AR22" s="675"/>
      <c r="AS22" s="675"/>
      <c r="AT22" s="675"/>
      <c r="AU22" s="675"/>
      <c r="AV22" s="675"/>
      <c r="AW22" s="675"/>
      <c r="AX22" s="675"/>
      <c r="AY22" s="675"/>
      <c r="AZ22" s="675"/>
      <c r="BA22" s="675"/>
      <c r="BB22" s="675"/>
      <c r="BC22" s="675"/>
      <c r="BD22" s="675"/>
      <c r="BE22" s="675"/>
      <c r="BF22" s="675"/>
      <c r="BG22" s="675"/>
      <c r="BH22" s="675"/>
      <c r="BI22" s="675"/>
      <c r="BJ22" s="675"/>
      <c r="BK22" s="675"/>
      <c r="BL22" s="675"/>
      <c r="BM22" s="675"/>
      <c r="BN22" s="675"/>
      <c r="BO22" s="675"/>
      <c r="BP22" s="675"/>
      <c r="BQ22" s="675"/>
      <c r="BR22" s="675"/>
      <c r="BS22" s="675"/>
      <c r="BT22" s="675"/>
      <c r="BU22" s="675"/>
      <c r="BV22" s="580"/>
      <c r="BW22" s="580"/>
      <c r="BX22" s="580"/>
      <c r="BY22" s="580"/>
      <c r="BZ22" s="580"/>
      <c r="CA22" s="580"/>
      <c r="CB22" s="580"/>
      <c r="CC22" s="580"/>
      <c r="CD22" s="580"/>
      <c r="CE22" s="580"/>
    </row>
    <row customHeight="1" ht="18.75">
      <c r="D23" s="1233"/>
      <c r="E23" s="1233"/>
      <c r="F23" s="1233"/>
      <c r="G23" s="1233"/>
      <c r="H23" s="1233"/>
      <c r="I23" s="1233"/>
      <c r="J23" s="1233"/>
      <c r="K23" s="1233"/>
      <c r="L23" s="1233"/>
      <c r="M23" s="1233"/>
      <c r="N23" s="1233"/>
      <c r="O23" s="1233"/>
      <c r="P23" s="1233"/>
      <c r="Q23" s="1233"/>
      <c r="R23" s="1233"/>
      <c r="S23" s="1233"/>
      <c r="T23" s="482"/>
    </row>
    <row customHeight="1" ht="11.25">
      <c r="D24" s="673"/>
    </row>
    <row customHeight="1" ht="11.25">
      <c r="D25" s="818"/>
      <c r="E25" s="818"/>
      <c r="F25" s="818"/>
      <c r="G25" s="819"/>
    </row>
    <row r="27" customHeight="1" ht="11.25">
      <c r="D27" s="820"/>
      <c r="E27" s="2524"/>
      <c r="F27" s="2524"/>
      <c r="G27" s="2524"/>
      <c r="H27" s="2524"/>
      <c r="I27" s="2524"/>
      <c r="J27" s="2524"/>
      <c r="K27" s="2524"/>
      <c r="L27" s="2524"/>
      <c r="M27" s="2524"/>
      <c r="N27" s="2524"/>
      <c r="O27" s="2524"/>
      <c r="P27" s="2524"/>
      <c r="Q27" s="2524"/>
      <c r="R27" s="2524"/>
    </row>
    <row customHeight="1" ht="11.25">
      <c r="F28" s="924"/>
      <c r="G28" s="924"/>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FBA15D-CD3D-0A99-DCD8-80271697AED2}"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7184" width="10.7109375" hidden="1" customWidth="1"/>
    <col min="2" max="2" style="6539" width="16.8515625" hidden="1" customWidth="1"/>
    <col min="3" max="3" style="7085" width="5.57421875" hidden="1" customWidth="1"/>
    <col min="4" max="4" style="7185" width="3.7109375" customWidth="1"/>
    <col min="5" max="5" style="6130" width="7.7109375" customWidth="1"/>
    <col min="6" max="6" style="6130" width="56.140625" customWidth="1"/>
    <col min="7" max="7" style="6130" width="10.421875" customWidth="1"/>
    <col min="8" max="8" style="6130" width="40.7109375" hidden="1" customWidth="1"/>
    <col min="9" max="9" style="6130" width="40.7109375" customWidth="1"/>
    <col min="10" max="10" style="6130" width="102.8515625" customWidth="1"/>
    <col min="11" max="11" style="6539" width="9.7109375" customWidth="1"/>
    <col min="12" max="12" style="7085" width="5.28125" customWidth="1"/>
    <col min="13" max="13" style="7085" width="3.7109375" customWidth="1"/>
    <col min="14" max="17" style="6539" width="3.7109375" customWidth="1"/>
    <col min="18" max="18" style="7085" width="10.57421875" customWidth="1"/>
    <col min="19" max="19" style="6539" width="34.7109375" customWidth="1"/>
    <col min="20" max="20" style="6539" width="9.421875" customWidth="1"/>
    <col min="21" max="21" style="7186" width="9.140625"/>
    <col min="22" max="26" style="6539" width="9.140625"/>
    <col min="27" max="31" style="7102" width="9.140625"/>
  </cols>
  <sheetData>
    <row s="6539" customFormat="1" customHeight="1" ht="11.25" hidden="1">
      <c r="A1" s="1170"/>
      <c r="C1" s="1876"/>
      <c r="D1" s="701"/>
      <c r="H1" s="1348">
        <v>4</v>
      </c>
      <c r="I1" s="1348">
        <v>4</v>
      </c>
      <c r="L1" s="1876"/>
      <c r="M1" s="1876"/>
      <c r="R1" s="1876"/>
    </row>
    <row s="6539" customFormat="1" customHeight="1" ht="22.5" hidden="1">
      <c r="A2" s="1170"/>
      <c r="C2" s="1876"/>
      <c r="D2" s="702"/>
      <c r="E2" s="1877"/>
      <c r="F2" s="704"/>
      <c r="G2" s="1879" t="s">
        <v>1727</v>
      </c>
      <c r="H2" s="705"/>
      <c r="I2" s="705"/>
      <c r="J2" s="706" t="s">
        <v>1775</v>
      </c>
      <c r="K2" s="707"/>
      <c r="L2" s="1876"/>
      <c r="M2" s="1876"/>
      <c r="R2" s="1876"/>
      <c r="U2" s="708"/>
      <c r="AA2" s="1872"/>
      <c r="AB2" s="1872"/>
      <c r="AC2" s="1872"/>
      <c r="AD2" s="1872"/>
      <c r="AE2" s="1872"/>
    </row>
    <row customHeight="1" ht="11.25" hidden="1"/>
    <row s="7102" customFormat="1" customHeight="1" ht="11.25" hidden="1">
      <c r="A4" s="1170"/>
      <c r="B4" s="1348"/>
      <c r="C4" s="1876"/>
      <c r="D4" s="512"/>
      <c r="J4" s="1872">
        <v>4</v>
      </c>
      <c r="K4" s="1348"/>
      <c r="L4" s="1876"/>
      <c r="M4" s="1876"/>
      <c r="N4" s="1348"/>
      <c r="O4" s="1348"/>
      <c r="P4" s="1348"/>
      <c r="Q4" s="1348"/>
      <c r="R4" s="1876"/>
      <c r="S4" s="1348"/>
      <c r="T4" s="1348"/>
      <c r="U4" s="708"/>
      <c r="V4" s="1348"/>
      <c r="W4" s="1348"/>
      <c r="X4" s="1348"/>
      <c r="Y4" s="1348"/>
      <c r="Z4" s="1348"/>
    </row>
    <row r="6" customHeight="1" ht="24">
      <c r="E6" s="2328" t="s">
        <v>1776</v>
      </c>
      <c r="F6" s="2329"/>
      <c r="G6" s="2329"/>
      <c r="H6" s="2329"/>
      <c r="I6" s="2330"/>
      <c r="J6" s="720"/>
    </row>
    <row customHeight="1" ht="24">
      <c r="E7" s="233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332"/>
      <c r="G7" s="2332"/>
      <c r="H7" s="2332"/>
      <c r="I7" s="2333"/>
    </row>
    <row customHeight="1" ht="11.25">
      <c r="E8" s="1323"/>
      <c r="F8" s="1323"/>
      <c r="G8" s="1323"/>
      <c r="H8" s="1323"/>
      <c r="I8" s="1323"/>
    </row>
    <row s="7085" customFormat="1" customHeight="1" ht="0.75">
      <c r="A9" s="1355"/>
      <c r="D9" s="1882"/>
      <c r="H9" s="1065"/>
      <c r="I9" s="1065" t="s">
        <v>125</v>
      </c>
    </row>
    <row customHeight="1" ht="11.25">
      <c r="E10" s="875"/>
      <c r="F10" s="2472" t="s">
        <v>114</v>
      </c>
      <c r="G10" s="2473"/>
      <c r="H10" s="1790" t="str">
        <f>IF(H9="","",INDEX(DIFFERENTIATION_UNMERGE_VD,MATCH(H9,DIFFERENTIATION_ID_DIFF,0)))</f>
        <v/>
      </c>
      <c r="I10" s="1790" t="str">
        <f>IF(I9="","",INDEX(DIFFERENTIATION_UNMERGE_VD,MATCH(I9,DIFFERENTIATION_ID_DIFF,0)))</f>
        <v>Водоотведение</v>
      </c>
      <c r="J10" s="2204"/>
    </row>
    <row customHeight="1" ht="11.25">
      <c r="E11" s="875"/>
      <c r="F11" s="2472" t="s">
        <v>1428</v>
      </c>
      <c r="G11" s="2473"/>
      <c r="H11" s="1790" t="str">
        <f>IF(H9="","",INDEX(DIFFERENTIATION_UNMERGE_AREA,MATCH(H9,DIFFERENTIATION_ID_DIFF,0)))</f>
        <v/>
      </c>
      <c r="I11" s="1790" t="str">
        <f>IF(I9="","",INDEX(DIFFERENTIATION_UNMERGE_AREA,MATCH(I9,DIFFERENTIATION_ID_DIFF,0)))</f>
        <v>Краснодарский край (тариф на водоотведение)  </v>
      </c>
      <c r="J11" s="2204"/>
    </row>
    <row customHeight="1" ht="11.25" hidden="1">
      <c r="E12" s="1902"/>
      <c r="F12" s="2527" t="s">
        <v>1429</v>
      </c>
      <c r="G12" s="2528"/>
      <c r="H12" s="1903" t="str">
        <f>IF(H9="","",INDEX(DIFFERENTIATION_UNMERGE_SYSTEM,MATCH(H9,DIFFERENTIATION_ID_DIFF,0)))</f>
        <v/>
      </c>
      <c r="I12" s="1903" t="str">
        <f>IF(I9="","",INDEX(DIFFERENTIATION_UNMERGE_SYSTEM,MATCH(I9,DIFFERENTIATION_ID_DIFF,0)))</f>
        <v>без дифференциации</v>
      </c>
      <c r="J12" s="2204"/>
    </row>
    <row customHeight="1" ht="11.25">
      <c r="E13" s="2474" t="s">
        <v>300</v>
      </c>
      <c r="F13" s="2475"/>
      <c r="G13" s="2475"/>
      <c r="H13" s="1789"/>
      <c r="I13" s="1789"/>
      <c r="J13" s="2204"/>
    </row>
    <row customHeight="1" ht="22.5">
      <c r="E14" s="1879" t="s">
        <v>87</v>
      </c>
      <c r="F14" s="1874" t="s">
        <v>302</v>
      </c>
      <c r="G14" s="1874" t="s">
        <v>1607</v>
      </c>
      <c r="H14" s="1874" t="s">
        <v>303</v>
      </c>
      <c r="I14" s="1874" t="s">
        <v>303</v>
      </c>
      <c r="J14" s="2204"/>
    </row>
    <row customHeight="1" ht="18.75">
      <c r="D15" s="1878"/>
      <c r="E15" s="1870" t="s">
        <v>118</v>
      </c>
      <c r="F15" s="871" t="s">
        <v>1777</v>
      </c>
      <c r="G15" s="1886" t="s">
        <v>1727</v>
      </c>
      <c r="H15" s="721"/>
      <c r="I15" s="721"/>
      <c r="J15" s="426" t="s">
        <v>1778</v>
      </c>
      <c r="K15" s="707" t="s">
        <v>1779</v>
      </c>
    </row>
    <row customHeight="1" ht="33.75">
      <c r="D16" s="1878"/>
      <c r="E16" s="1870" t="s">
        <v>102</v>
      </c>
      <c r="F16" s="871" t="s">
        <v>1780</v>
      </c>
      <c r="G16" s="1886" t="s">
        <v>1727</v>
      </c>
      <c r="H16" s="722">
        <f>SUM(H17,H20:H32)</f>
        <v>0</v>
      </c>
      <c r="I16" s="722">
        <f>SUM(I17,I20:I32)</f>
        <v>0</v>
      </c>
      <c r="J16" s="426" t="s">
        <v>1781</v>
      </c>
      <c r="K16" s="707" t="s">
        <v>1779</v>
      </c>
    </row>
    <row customHeight="1" ht="18.75">
      <c r="D17" s="1878"/>
      <c r="E17" s="1904" t="s">
        <v>512</v>
      </c>
      <c r="F17" s="1137" t="s">
        <v>1782</v>
      </c>
      <c r="G17" s="1883" t="s">
        <v>1727</v>
      </c>
      <c r="H17" s="721"/>
      <c r="I17" s="721"/>
      <c r="J17" s="426" t="s">
        <v>1783</v>
      </c>
      <c r="K17" s="707"/>
    </row>
    <row customHeight="1" ht="22.5">
      <c r="D18" s="1878"/>
      <c r="E18" s="1904" t="s">
        <v>1465</v>
      </c>
      <c r="F18" s="1890" t="s">
        <v>1784</v>
      </c>
      <c r="G18" s="1883" t="s">
        <v>1727</v>
      </c>
      <c r="H18" s="721"/>
      <c r="I18" s="721"/>
      <c r="J18" s="426" t="s">
        <v>1785</v>
      </c>
      <c r="K18" s="707"/>
    </row>
    <row customHeight="1" ht="33.75">
      <c r="D19" s="1878"/>
      <c r="E19" s="1904" t="s">
        <v>1786</v>
      </c>
      <c r="F19" s="1890" t="s">
        <v>1787</v>
      </c>
      <c r="G19" s="1883" t="s">
        <v>1727</v>
      </c>
      <c r="H19" s="721"/>
      <c r="I19" s="721"/>
      <c r="J19" s="426"/>
      <c r="K19" s="707"/>
    </row>
    <row customHeight="1" ht="18.75">
      <c r="D20" s="1878"/>
      <c r="E20" s="1904" t="s">
        <v>307</v>
      </c>
      <c r="F20" s="1137" t="s">
        <v>1788</v>
      </c>
      <c r="G20" s="1883" t="s">
        <v>1727</v>
      </c>
      <c r="H20" s="721"/>
      <c r="I20" s="721"/>
      <c r="J20" s="426" t="s">
        <v>1789</v>
      </c>
      <c r="K20" s="707"/>
    </row>
    <row customHeight="1" ht="18.75">
      <c r="D21" s="1878"/>
      <c r="E21" s="1904" t="s">
        <v>527</v>
      </c>
      <c r="F21" s="1890" t="s">
        <v>1790</v>
      </c>
      <c r="G21" s="1883" t="s">
        <v>1727</v>
      </c>
      <c r="H21" s="721"/>
      <c r="I21" s="721"/>
      <c r="J21" s="426"/>
      <c r="K21" s="707"/>
    </row>
    <row customHeight="1" ht="18.75">
      <c r="D22" s="1878"/>
      <c r="E22" s="1904" t="s">
        <v>532</v>
      </c>
      <c r="F22" s="1890" t="s">
        <v>1791</v>
      </c>
      <c r="G22" s="1883" t="s">
        <v>1727</v>
      </c>
      <c r="H22" s="721"/>
      <c r="I22" s="721"/>
      <c r="J22" s="426"/>
      <c r="K22" s="707"/>
    </row>
    <row customHeight="1" ht="22.5">
      <c r="D23" s="1878"/>
      <c r="E23" s="1904" t="s">
        <v>310</v>
      </c>
      <c r="F23" s="1137" t="s">
        <v>1792</v>
      </c>
      <c r="G23" s="1883" t="s">
        <v>1727</v>
      </c>
      <c r="H23" s="721"/>
      <c r="I23" s="721"/>
      <c r="J23" s="426" t="s">
        <v>1793</v>
      </c>
      <c r="K23" s="707"/>
    </row>
    <row customHeight="1" ht="18.75">
      <c r="D24" s="1878"/>
      <c r="E24" s="1904" t="s">
        <v>526</v>
      </c>
      <c r="F24" s="1890" t="s">
        <v>1794</v>
      </c>
      <c r="G24" s="1883" t="s">
        <v>1727</v>
      </c>
      <c r="H24" s="721"/>
      <c r="I24" s="721"/>
      <c r="J24" s="426"/>
      <c r="K24" s="707"/>
    </row>
    <row customHeight="1" ht="33.75">
      <c r="D25" s="1878"/>
      <c r="E25" s="1904" t="s">
        <v>531</v>
      </c>
      <c r="F25" s="1890" t="s">
        <v>1795</v>
      </c>
      <c r="G25" s="1883" t="s">
        <v>1727</v>
      </c>
      <c r="H25" s="721"/>
      <c r="I25" s="721"/>
      <c r="J25" s="426"/>
      <c r="K25" s="707"/>
    </row>
    <row customHeight="1" ht="22.5">
      <c r="D26" s="1878"/>
      <c r="E26" s="1904" t="s">
        <v>521</v>
      </c>
      <c r="F26" s="1137" t="s">
        <v>1796</v>
      </c>
      <c r="G26" s="1883" t="s">
        <v>1727</v>
      </c>
      <c r="H26" s="721"/>
      <c r="I26" s="721"/>
      <c r="J26" s="426" t="s">
        <v>1797</v>
      </c>
      <c r="K26" s="707"/>
    </row>
    <row customHeight="1" ht="18.75">
      <c r="D27" s="1878"/>
      <c r="E27" s="1915" t="s">
        <v>542</v>
      </c>
      <c r="F27" s="1890" t="s">
        <v>1798</v>
      </c>
      <c r="G27" s="1894" t="s">
        <v>1727</v>
      </c>
      <c r="H27" s="1916"/>
      <c r="I27" s="1916"/>
      <c r="J27" s="426"/>
      <c r="K27" s="707"/>
    </row>
    <row customHeight="1" ht="18.75">
      <c r="D28" s="1878"/>
      <c r="E28" s="1915" t="s">
        <v>546</v>
      </c>
      <c r="F28" s="1890" t="s">
        <v>1799</v>
      </c>
      <c r="G28" s="1894" t="s">
        <v>1727</v>
      </c>
      <c r="H28" s="1916"/>
      <c r="I28" s="1916"/>
      <c r="J28" s="426"/>
      <c r="K28" s="707"/>
    </row>
    <row customHeight="1" ht="18.75">
      <c r="D29" s="1878"/>
      <c r="E29" s="1915" t="s">
        <v>523</v>
      </c>
      <c r="F29" s="1137" t="s">
        <v>1800</v>
      </c>
      <c r="G29" s="1894" t="s">
        <v>1727</v>
      </c>
      <c r="H29" s="1916"/>
      <c r="I29" s="1916"/>
      <c r="J29" s="426"/>
      <c r="K29" s="707"/>
    </row>
    <row customHeight="1" ht="18.75">
      <c r="D30" s="1878"/>
      <c r="E30" s="1915" t="s">
        <v>537</v>
      </c>
      <c r="F30" s="1137" t="s">
        <v>1801</v>
      </c>
      <c r="G30" s="1894" t="s">
        <v>1727</v>
      </c>
      <c r="H30" s="1916"/>
      <c r="I30" s="1916"/>
      <c r="J30" s="426"/>
      <c r="K30" s="707"/>
    </row>
    <row customHeight="1" ht="18.75">
      <c r="D31" s="1878"/>
      <c r="E31" s="1915" t="s">
        <v>548</v>
      </c>
      <c r="F31" s="1137" t="s">
        <v>1802</v>
      </c>
      <c r="G31" s="1894" t="s">
        <v>1727</v>
      </c>
      <c r="H31" s="1916"/>
      <c r="I31" s="1916"/>
      <c r="J31" s="426"/>
      <c r="K31" s="707"/>
    </row>
    <row s="6539" customFormat="1" customHeight="1" ht="22.5">
      <c r="A32" s="1170"/>
      <c r="C32" s="1876"/>
      <c r="D32" s="1878"/>
      <c r="E32" s="1915" t="s">
        <v>559</v>
      </c>
      <c r="F32" s="1137" t="s">
        <v>1803</v>
      </c>
      <c r="G32" s="1884" t="s">
        <v>1727</v>
      </c>
      <c r="H32" s="743">
        <f>SUM(H33:H34)</f>
        <v>0</v>
      </c>
      <c r="I32" s="743">
        <f>SUM(I33:I34)</f>
        <v>0</v>
      </c>
      <c r="J32" s="426" t="s">
        <v>1804</v>
      </c>
      <c r="K32" s="707"/>
      <c r="L32" s="1876"/>
      <c r="M32" s="1876"/>
      <c r="R32" s="1876"/>
      <c r="U32" s="708"/>
      <c r="AA32" s="1872"/>
      <c r="AB32" s="1872"/>
      <c r="AC32" s="1872"/>
      <c r="AD32" s="1872"/>
      <c r="AE32" s="1872"/>
    </row>
    <row s="7085" customFormat="1" customHeight="1" ht="0.75">
      <c r="A33" s="1355"/>
      <c r="D33" s="712"/>
      <c r="E33" s="969" t="str">
        <f>E32&amp;".0"</f>
        <v>2.8.0</v>
      </c>
      <c r="F33" s="1174"/>
      <c r="G33" s="715"/>
      <c r="H33" s="1175"/>
      <c r="I33" s="1175"/>
      <c r="J33" s="1176"/>
    </row>
    <row s="6539" customFormat="1" customHeight="1" ht="18.75">
      <c r="A34" s="1170"/>
      <c r="C34" s="1876"/>
      <c r="D34" s="1873"/>
      <c r="E34" s="734"/>
      <c r="F34" s="1906" t="s">
        <v>1745</v>
      </c>
      <c r="G34" s="736"/>
      <c r="H34" s="737"/>
      <c r="I34" s="737"/>
      <c r="J34" s="438" t="s">
        <v>1805</v>
      </c>
      <c r="K34" s="707"/>
      <c r="L34" s="1876"/>
      <c r="M34" s="1876"/>
      <c r="R34" s="1876"/>
      <c r="U34" s="708"/>
      <c r="AA34" s="1872"/>
      <c r="AB34" s="1872"/>
      <c r="AC34" s="1872"/>
      <c r="AD34" s="1872"/>
      <c r="AE34" s="1872"/>
    </row>
    <row customHeight="1" ht="56.25">
      <c r="D35" s="1878"/>
      <c r="E35" s="1915" t="s">
        <v>567</v>
      </c>
      <c r="F35" s="1137" t="s">
        <v>1806</v>
      </c>
      <c r="G35" s="1894" t="s">
        <v>1727</v>
      </c>
      <c r="H35" s="1916"/>
      <c r="I35" s="1916"/>
      <c r="J35" s="426" t="s">
        <v>1807</v>
      </c>
      <c r="K35" s="707"/>
    </row>
    <row s="6539" customFormat="1" customHeight="1" ht="22.5">
      <c r="A36" s="1172" t="s">
        <v>1746</v>
      </c>
      <c r="C36" s="1876"/>
      <c r="D36" s="1878"/>
      <c r="E36" s="1904" t="s">
        <v>89</v>
      </c>
      <c r="F36" s="871" t="s">
        <v>1808</v>
      </c>
      <c r="G36" s="1883" t="s">
        <v>1727</v>
      </c>
      <c r="H36" s="721"/>
      <c r="I36" s="721"/>
      <c r="J36" s="426" t="s">
        <v>619</v>
      </c>
      <c r="K36" s="707"/>
      <c r="L36" s="1876"/>
      <c r="M36" s="1876"/>
      <c r="R36" s="1876"/>
      <c r="U36" s="708"/>
      <c r="AA36" s="1872"/>
      <c r="AB36" s="1872"/>
      <c r="AC36" s="1872"/>
      <c r="AD36" s="1872"/>
      <c r="AE36" s="1872"/>
    </row>
    <row s="6539" customFormat="1" customHeight="1" ht="22.5">
      <c r="A37" s="1172"/>
      <c r="C37" s="1876"/>
      <c r="D37" s="1878"/>
      <c r="E37" s="1904" t="s">
        <v>326</v>
      </c>
      <c r="F37" s="1137" t="s">
        <v>1809</v>
      </c>
      <c r="G37" s="1894"/>
      <c r="H37" s="721"/>
      <c r="I37" s="721"/>
      <c r="J37" s="426"/>
      <c r="K37" s="707"/>
      <c r="L37" s="1876"/>
      <c r="M37" s="1876"/>
      <c r="R37" s="1876"/>
      <c r="U37" s="708"/>
      <c r="AA37" s="1872"/>
      <c r="AB37" s="1872"/>
      <c r="AC37" s="1872"/>
      <c r="AD37" s="1872"/>
      <c r="AE37" s="1872"/>
    </row>
    <row s="6539" customFormat="1" customHeight="1" ht="18.75">
      <c r="A38" s="1170"/>
      <c r="C38" s="1876"/>
      <c r="D38" s="739"/>
      <c r="E38" s="1904" t="s">
        <v>90</v>
      </c>
      <c r="F38" s="871" t="s">
        <v>622</v>
      </c>
      <c r="G38" s="1883" t="s">
        <v>1727</v>
      </c>
      <c r="H38" s="721"/>
      <c r="I38" s="721"/>
      <c r="J38" s="426" t="s">
        <v>623</v>
      </c>
      <c r="K38" s="707"/>
      <c r="L38" s="1876"/>
      <c r="M38" s="1876"/>
      <c r="R38" s="1876"/>
      <c r="U38" s="708"/>
      <c r="AA38" s="1872"/>
      <c r="AB38" s="1872"/>
      <c r="AC38" s="1872"/>
      <c r="AD38" s="1872"/>
      <c r="AE38" s="1872"/>
    </row>
    <row s="6539" customFormat="1" customHeight="1" ht="22.5">
      <c r="A39" s="1170"/>
      <c r="C39" s="1876"/>
      <c r="D39" s="739"/>
      <c r="E39" s="1904" t="s">
        <v>620</v>
      </c>
      <c r="F39" s="1137" t="s">
        <v>1810</v>
      </c>
      <c r="G39" s="1894" t="s">
        <v>1727</v>
      </c>
      <c r="H39" s="721"/>
      <c r="I39" s="721"/>
      <c r="J39" s="426" t="s">
        <v>1811</v>
      </c>
      <c r="K39" s="707"/>
      <c r="L39" s="1876"/>
      <c r="M39" s="1876"/>
      <c r="R39" s="1876"/>
      <c r="U39" s="708"/>
      <c r="AA39" s="1872"/>
      <c r="AB39" s="1872"/>
      <c r="AC39" s="1872"/>
      <c r="AD39" s="1872"/>
      <c r="AE39" s="1872"/>
    </row>
    <row s="6539" customFormat="1" customHeight="1" ht="22.5">
      <c r="A40" s="1170"/>
      <c r="C40" s="1876"/>
      <c r="D40" s="1878"/>
      <c r="E40" s="1904" t="s">
        <v>629</v>
      </c>
      <c r="F40" s="1890" t="s">
        <v>1812</v>
      </c>
      <c r="G40" s="1883" t="s">
        <v>1727</v>
      </c>
      <c r="H40" s="721"/>
      <c r="I40" s="721"/>
      <c r="J40" s="426" t="s">
        <v>632</v>
      </c>
      <c r="K40" s="707"/>
      <c r="L40" s="1876"/>
      <c r="M40" s="1876"/>
      <c r="R40" s="1876"/>
      <c r="U40" s="708"/>
      <c r="AA40" s="1872"/>
      <c r="AB40" s="1872"/>
      <c r="AC40" s="1872"/>
      <c r="AD40" s="1872"/>
      <c r="AE40" s="1872"/>
    </row>
    <row s="6539" customFormat="1" customHeight="1" ht="22.5">
      <c r="A41" s="1170"/>
      <c r="C41" s="1876"/>
      <c r="D41" s="1878"/>
      <c r="E41" s="1904" t="s">
        <v>635</v>
      </c>
      <c r="F41" s="1890" t="s">
        <v>1813</v>
      </c>
      <c r="G41" s="1883" t="s">
        <v>1727</v>
      </c>
      <c r="H41" s="721"/>
      <c r="I41" s="721"/>
      <c r="J41" s="426" t="s">
        <v>638</v>
      </c>
      <c r="K41" s="707"/>
      <c r="L41" s="1876"/>
      <c r="M41" s="1876"/>
      <c r="R41" s="1876"/>
      <c r="U41" s="708"/>
      <c r="AA41" s="1872"/>
      <c r="AB41" s="1872"/>
      <c r="AC41" s="1872"/>
      <c r="AD41" s="1872"/>
      <c r="AE41" s="1872"/>
    </row>
    <row s="6539" customFormat="1" customHeight="1" ht="22.5">
      <c r="A42" s="1170"/>
      <c r="C42" s="1876"/>
      <c r="D42" s="1878"/>
      <c r="E42" s="1904" t="s">
        <v>1814</v>
      </c>
      <c r="F42" s="1890" t="s">
        <v>1815</v>
      </c>
      <c r="G42" s="1883" t="s">
        <v>1727</v>
      </c>
      <c r="H42" s="721"/>
      <c r="I42" s="721"/>
      <c r="J42" s="426" t="s">
        <v>1816</v>
      </c>
      <c r="K42" s="707"/>
      <c r="L42" s="1876"/>
      <c r="M42" s="1876"/>
      <c r="R42" s="1876"/>
      <c r="U42" s="708"/>
      <c r="AA42" s="1872"/>
      <c r="AB42" s="1872"/>
      <c r="AC42" s="1872"/>
      <c r="AD42" s="1872"/>
      <c r="AE42" s="1872"/>
    </row>
    <row s="6539" customFormat="1" customHeight="1" ht="33.75">
      <c r="A43" s="1170"/>
      <c r="C43" s="1876" t="s">
        <v>1754</v>
      </c>
      <c r="D43" s="1878"/>
      <c r="E43" s="1904" t="s">
        <v>119</v>
      </c>
      <c r="F43" s="871" t="s">
        <v>645</v>
      </c>
      <c r="G43" s="1886" t="s">
        <v>1817</v>
      </c>
      <c r="H43" s="563"/>
      <c r="I43" s="563"/>
      <c r="J43" s="426" t="s">
        <v>1818</v>
      </c>
      <c r="K43" s="707"/>
      <c r="L43" s="1876"/>
      <c r="M43" s="1876"/>
      <c r="R43" s="1876"/>
      <c r="U43" s="708"/>
      <c r="AA43" s="1872"/>
      <c r="AB43" s="1872"/>
      <c r="AC43" s="1872"/>
      <c r="AD43" s="1872"/>
      <c r="AE43" s="1872"/>
    </row>
    <row s="6539" customFormat="1" customHeight="1" ht="22.5">
      <c r="A44" s="1170"/>
      <c r="C44" s="1876"/>
      <c r="D44" s="1878"/>
      <c r="E44" s="1904" t="s">
        <v>91</v>
      </c>
      <c r="F44" s="871" t="s">
        <v>1819</v>
      </c>
      <c r="G44" s="1883" t="s">
        <v>1820</v>
      </c>
      <c r="H44" s="709"/>
      <c r="I44" s="709"/>
      <c r="J44" s="426" t="s">
        <v>1821</v>
      </c>
      <c r="K44" s="707"/>
      <c r="L44" s="1876"/>
      <c r="M44" s="1876"/>
      <c r="R44" s="1876"/>
      <c r="U44" s="708"/>
      <c r="AA44" s="1872"/>
      <c r="AB44" s="1872"/>
      <c r="AC44" s="1872"/>
      <c r="AD44" s="1872"/>
      <c r="AE44" s="1872"/>
    </row>
    <row s="6539" customFormat="1" customHeight="1" ht="22.5">
      <c r="A45" s="1170"/>
      <c r="C45" s="1876"/>
      <c r="D45" s="1878"/>
      <c r="E45" s="1904" t="s">
        <v>92</v>
      </c>
      <c r="F45" s="871" t="s">
        <v>1822</v>
      </c>
      <c r="G45" s="1894" t="s">
        <v>1823</v>
      </c>
      <c r="H45" s="709"/>
      <c r="I45" s="709"/>
      <c r="J45" s="426" t="s">
        <v>1824</v>
      </c>
      <c r="K45" s="707"/>
      <c r="L45" s="1876"/>
      <c r="M45" s="1876"/>
      <c r="R45" s="1876"/>
      <c r="U45" s="708"/>
      <c r="AA45" s="1872"/>
      <c r="AB45" s="1872"/>
      <c r="AC45" s="1872"/>
      <c r="AD45" s="1872"/>
      <c r="AE45" s="1872"/>
    </row>
    <row s="6539" customFormat="1" customHeight="1" ht="18.75">
      <c r="A46" s="1170"/>
      <c r="C46" s="1876"/>
      <c r="D46" s="1878"/>
      <c r="E46" s="1904" t="s">
        <v>120</v>
      </c>
      <c r="F46" s="871" t="s">
        <v>1825</v>
      </c>
      <c r="G46" s="1883" t="s">
        <v>1756</v>
      </c>
      <c r="H46" s="741"/>
      <c r="I46" s="741"/>
      <c r="J46" s="426"/>
      <c r="K46" s="707"/>
      <c r="L46" s="1876"/>
      <c r="M46" s="1876"/>
      <c r="R46" s="1876"/>
      <c r="U46" s="708"/>
      <c r="AA46" s="1872"/>
      <c r="AB46" s="1872"/>
      <c r="AC46" s="1872"/>
      <c r="AD46" s="1872"/>
      <c r="AE46" s="1872"/>
    </row>
    <row customHeight="1" ht="11.25">
      <c r="D47" s="1878"/>
    </row>
    <row customHeight="1" ht="26.25">
      <c r="D48" s="1878"/>
      <c r="E48" s="1460"/>
      <c r="F48" s="2379"/>
      <c r="G48" s="2379"/>
      <c r="H48" s="2379"/>
      <c r="I48" s="2379"/>
      <c r="J48" s="2379"/>
    </row>
    <row s="7114" customFormat="1" customHeight="1" ht="37.5">
      <c r="A49" s="1170"/>
      <c r="B49" s="1876"/>
      <c r="C49" s="1876"/>
      <c r="D49" s="499"/>
      <c r="F49" s="2379"/>
      <c r="G49" s="2379"/>
      <c r="H49" s="2379"/>
      <c r="I49" s="2379"/>
      <c r="J49" s="2379"/>
      <c r="K49" s="1348"/>
      <c r="L49" s="1876"/>
      <c r="M49" s="1876"/>
      <c r="N49" s="1348"/>
      <c r="O49" s="1348"/>
      <c r="P49" s="1348"/>
      <c r="Q49" s="1348"/>
      <c r="R49" s="1876"/>
      <c r="S49" s="1348"/>
      <c r="T49" s="1348"/>
      <c r="U49" s="708"/>
      <c r="V49" s="1348"/>
      <c r="W49" s="1348"/>
      <c r="X49" s="1348"/>
      <c r="Y49" s="1348"/>
      <c r="Z49" s="1348"/>
      <c r="AA49" s="1872"/>
      <c r="AB49" s="730"/>
      <c r="AC49" s="730"/>
      <c r="AD49" s="730"/>
      <c r="AE49" s="730"/>
    </row>
    <row s="7114" customFormat="1" customHeight="1" ht="11.25">
      <c r="A50" s="1170"/>
      <c r="B50" s="1876"/>
      <c r="C50" s="1876"/>
      <c r="D50" s="499"/>
      <c r="K50" s="1348"/>
      <c r="L50" s="1876"/>
      <c r="M50" s="1876"/>
      <c r="N50" s="1348"/>
      <c r="O50" s="1348"/>
      <c r="P50" s="1348"/>
      <c r="Q50" s="1348"/>
      <c r="R50" s="1876"/>
      <c r="S50" s="1348"/>
      <c r="T50" s="1348"/>
      <c r="U50" s="708"/>
      <c r="V50" s="1348"/>
      <c r="W50" s="1348"/>
      <c r="X50" s="1348"/>
      <c r="Y50" s="1348"/>
      <c r="Z50" s="1348"/>
      <c r="AA50" s="1872"/>
      <c r="AB50" s="730"/>
      <c r="AC50" s="730"/>
      <c r="AD50" s="730"/>
      <c r="AE50" s="730"/>
    </row>
    <row s="7114" customFormat="1" customHeight="1" ht="11.25">
      <c r="A51" s="1170"/>
      <c r="B51" s="1876"/>
      <c r="C51" s="1876"/>
      <c r="D51" s="499"/>
      <c r="K51" s="1348"/>
      <c r="L51" s="1876"/>
      <c r="M51" s="1876"/>
      <c r="N51" s="1348"/>
      <c r="O51" s="1348"/>
      <c r="P51" s="1348"/>
      <c r="Q51" s="1348"/>
      <c r="R51" s="1876"/>
      <c r="S51" s="1348"/>
      <c r="T51" s="1348"/>
      <c r="U51" s="708"/>
      <c r="V51" s="1348"/>
      <c r="W51" s="1348"/>
      <c r="X51" s="1348"/>
      <c r="Y51" s="1348"/>
      <c r="Z51" s="1348"/>
      <c r="AA51" s="1872"/>
      <c r="AB51" s="730"/>
      <c r="AC51" s="730"/>
      <c r="AD51" s="730"/>
      <c r="AE51" s="730"/>
    </row>
    <row s="7114" customFormat="1" customHeight="1" ht="11.25">
      <c r="A52" s="1170"/>
      <c r="B52" s="1876"/>
      <c r="C52" s="1876"/>
      <c r="D52" s="499"/>
      <c r="H52" s="730"/>
      <c r="I52" s="730"/>
      <c r="K52" s="1348"/>
      <c r="L52" s="1876"/>
      <c r="M52" s="1876"/>
      <c r="N52" s="1348"/>
      <c r="O52" s="1348"/>
      <c r="P52" s="1348"/>
      <c r="Q52" s="1348"/>
      <c r="R52" s="1876"/>
      <c r="S52" s="1348"/>
      <c r="T52" s="1348"/>
      <c r="U52" s="708"/>
      <c r="V52" s="1348"/>
      <c r="W52" s="1348"/>
      <c r="X52" s="1348"/>
      <c r="Y52" s="1348"/>
      <c r="Z52" s="1348"/>
      <c r="AA52" s="1872"/>
      <c r="AB52" s="730"/>
      <c r="AC52" s="730"/>
      <c r="AD52" s="730"/>
      <c r="AE52" s="730"/>
    </row>
    <row s="7114" customFormat="1" customHeight="1" ht="11.25">
      <c r="A53" s="1170"/>
      <c r="B53" s="1876"/>
      <c r="C53" s="1876"/>
      <c r="D53" s="499"/>
      <c r="K53" s="1348"/>
      <c r="L53" s="1876"/>
      <c r="M53" s="1876"/>
      <c r="N53" s="1348"/>
      <c r="O53" s="1348"/>
      <c r="P53" s="1348"/>
      <c r="Q53" s="1348"/>
      <c r="R53" s="1876"/>
      <c r="S53" s="1348"/>
      <c r="T53" s="1348"/>
      <c r="U53" s="708"/>
      <c r="V53" s="1348"/>
      <c r="W53" s="1348"/>
      <c r="X53" s="1348"/>
      <c r="Y53" s="1348"/>
      <c r="Z53" s="1348"/>
      <c r="AA53" s="1872"/>
      <c r="AB53" s="730"/>
      <c r="AC53" s="730"/>
      <c r="AD53" s="730"/>
      <c r="AE53" s="730"/>
    </row>
    <row s="7114" customFormat="1" customHeight="1" ht="11.25">
      <c r="A54" s="1170"/>
      <c r="B54" s="1876"/>
      <c r="C54" s="1876"/>
      <c r="D54" s="499"/>
      <c r="K54" s="1348"/>
      <c r="L54" s="1876"/>
      <c r="M54" s="1876"/>
      <c r="N54" s="1348"/>
      <c r="O54" s="1348"/>
      <c r="P54" s="1348"/>
      <c r="Q54" s="1348"/>
      <c r="R54" s="1876"/>
      <c r="S54" s="1348"/>
      <c r="T54" s="1348"/>
      <c r="U54" s="708"/>
      <c r="V54" s="1348"/>
      <c r="W54" s="1348"/>
      <c r="X54" s="1348"/>
      <c r="Y54" s="1348"/>
      <c r="Z54" s="1348"/>
      <c r="AA54" s="1872"/>
      <c r="AB54" s="730"/>
      <c r="AC54" s="730"/>
      <c r="AD54" s="730"/>
      <c r="AE54" s="730"/>
    </row>
    <row s="7114" customFormat="1" customHeight="1" ht="11.25">
      <c r="A55" s="1170"/>
      <c r="B55" s="1876"/>
      <c r="C55" s="1876"/>
      <c r="D55" s="499"/>
      <c r="K55" s="1348"/>
      <c r="L55" s="1876"/>
      <c r="M55" s="1876"/>
      <c r="N55" s="1348"/>
      <c r="O55" s="1348"/>
      <c r="P55" s="1348"/>
      <c r="Q55" s="1348"/>
      <c r="R55" s="1876"/>
      <c r="S55" s="1348"/>
      <c r="T55" s="1348"/>
      <c r="U55" s="708"/>
      <c r="V55" s="1348"/>
      <c r="W55" s="1348"/>
      <c r="X55" s="1348"/>
      <c r="Y55" s="1348"/>
      <c r="Z55" s="1348"/>
      <c r="AA55" s="1872"/>
      <c r="AB55" s="730"/>
      <c r="AC55" s="730"/>
      <c r="AD55" s="730"/>
      <c r="AE55" s="730"/>
    </row>
    <row s="7114" customFormat="1" customHeight="1" ht="11.25">
      <c r="A56" s="1170"/>
      <c r="B56" s="1876"/>
      <c r="C56" s="1876"/>
      <c r="D56" s="499"/>
      <c r="K56" s="1348"/>
      <c r="L56" s="1876"/>
      <c r="M56" s="1876"/>
      <c r="N56" s="1348"/>
      <c r="O56" s="1348"/>
      <c r="P56" s="1348"/>
      <c r="Q56" s="1348"/>
      <c r="R56" s="1876"/>
      <c r="S56" s="1348"/>
      <c r="T56" s="1348"/>
      <c r="U56" s="708"/>
      <c r="V56" s="1348"/>
      <c r="W56" s="1348"/>
      <c r="X56" s="1348"/>
      <c r="Y56" s="1348"/>
      <c r="Z56" s="1348"/>
      <c r="AA56" s="1872"/>
      <c r="AB56" s="730"/>
      <c r="AC56" s="730"/>
      <c r="AD56" s="730"/>
      <c r="AE56" s="730"/>
    </row>
    <row s="7114" customFormat="1" customHeight="1" ht="11.25">
      <c r="A57" s="1170"/>
      <c r="B57" s="1876"/>
      <c r="C57" s="1876"/>
      <c r="D57" s="499"/>
      <c r="K57" s="1348"/>
      <c r="L57" s="1876"/>
      <c r="M57" s="1876"/>
      <c r="N57" s="1348"/>
      <c r="O57" s="1348"/>
      <c r="P57" s="1348"/>
      <c r="Q57" s="1348"/>
      <c r="R57" s="1876"/>
      <c r="S57" s="1348"/>
      <c r="T57" s="1348"/>
      <c r="U57" s="708"/>
      <c r="V57" s="1348"/>
      <c r="W57" s="1348"/>
      <c r="X57" s="1348"/>
      <c r="Y57" s="1348"/>
      <c r="Z57" s="1348"/>
      <c r="AA57" s="1872"/>
      <c r="AB57" s="730"/>
      <c r="AC57" s="730"/>
      <c r="AD57" s="730"/>
      <c r="AE57" s="730"/>
    </row>
    <row s="7114" customFormat="1" customHeight="1" ht="11.25">
      <c r="A58" s="1170"/>
      <c r="B58" s="1876"/>
      <c r="C58" s="1876"/>
      <c r="D58" s="499"/>
      <c r="K58" s="1348"/>
      <c r="L58" s="1876"/>
      <c r="M58" s="1876"/>
      <c r="N58" s="1348"/>
      <c r="O58" s="1348"/>
      <c r="P58" s="1348"/>
      <c r="Q58" s="1348"/>
      <c r="R58" s="1876"/>
      <c r="S58" s="1348"/>
      <c r="T58" s="1348"/>
      <c r="U58" s="708"/>
      <c r="V58" s="1348"/>
      <c r="W58" s="1348"/>
      <c r="X58" s="1348"/>
      <c r="Y58" s="1348"/>
      <c r="Z58" s="1348"/>
      <c r="AA58" s="1872"/>
      <c r="AB58" s="730"/>
      <c r="AC58" s="730"/>
      <c r="AD58" s="730"/>
      <c r="AE58" s="730"/>
    </row>
    <row s="7114" customFormat="1" customHeight="1" ht="11.25">
      <c r="A59" s="1170"/>
      <c r="B59" s="1876"/>
      <c r="C59" s="1876"/>
      <c r="D59" s="499"/>
      <c r="K59" s="1348"/>
      <c r="L59" s="1876"/>
      <c r="M59" s="1876"/>
      <c r="N59" s="1348"/>
      <c r="O59" s="1348"/>
      <c r="P59" s="1348"/>
      <c r="Q59" s="1348"/>
      <c r="R59" s="1876"/>
      <c r="S59" s="1348"/>
      <c r="T59" s="1348"/>
      <c r="U59" s="708"/>
      <c r="V59" s="1348"/>
      <c r="W59" s="1348"/>
      <c r="X59" s="1348"/>
      <c r="Y59" s="1348"/>
      <c r="Z59" s="1348"/>
      <c r="AA59" s="1872"/>
      <c r="AB59" s="730"/>
      <c r="AC59" s="730"/>
      <c r="AD59" s="730"/>
      <c r="AE59" s="730"/>
    </row>
    <row s="7114" customFormat="1" customHeight="1" ht="11.25">
      <c r="A60" s="1170"/>
      <c r="B60" s="1876"/>
      <c r="C60" s="1876"/>
      <c r="D60" s="499"/>
      <c r="K60" s="1348"/>
      <c r="L60" s="1876"/>
      <c r="M60" s="1876"/>
      <c r="N60" s="1348"/>
      <c r="O60" s="1348"/>
      <c r="P60" s="1348"/>
      <c r="Q60" s="1348"/>
      <c r="R60" s="1876"/>
      <c r="S60" s="1348"/>
      <c r="T60" s="1348"/>
      <c r="U60" s="708"/>
      <c r="V60" s="1348"/>
      <c r="W60" s="1348"/>
      <c r="X60" s="1348"/>
      <c r="Y60" s="1348"/>
      <c r="Z60" s="1348"/>
      <c r="AA60" s="1872"/>
      <c r="AB60" s="730"/>
      <c r="AC60" s="730"/>
      <c r="AD60" s="730"/>
      <c r="AE60" s="730"/>
    </row>
    <row s="7114" customFormat="1" customHeight="1" ht="11.25">
      <c r="A61" s="1170"/>
      <c r="B61" s="1876"/>
      <c r="C61" s="1876"/>
      <c r="D61" s="499"/>
      <c r="K61" s="1348"/>
      <c r="L61" s="1876"/>
      <c r="M61" s="1876"/>
      <c r="N61" s="1348"/>
      <c r="O61" s="1348"/>
      <c r="P61" s="1348"/>
      <c r="Q61" s="1348"/>
      <c r="R61" s="1876"/>
      <c r="S61" s="1348"/>
      <c r="T61" s="1348"/>
      <c r="U61" s="708"/>
      <c r="V61" s="1348"/>
      <c r="W61" s="1348"/>
      <c r="X61" s="1348"/>
      <c r="Y61" s="1348"/>
      <c r="Z61" s="1348"/>
      <c r="AA61" s="1872"/>
      <c r="AB61" s="730"/>
      <c r="AC61" s="730"/>
      <c r="AD61" s="730"/>
      <c r="AE61" s="730"/>
    </row>
    <row s="7114" customFormat="1" customHeight="1" ht="11.25">
      <c r="A62" s="1170"/>
      <c r="B62" s="1876"/>
      <c r="C62" s="1876"/>
      <c r="D62" s="499"/>
      <c r="K62" s="1348"/>
      <c r="L62" s="1876"/>
      <c r="M62" s="1876"/>
      <c r="N62" s="1348"/>
      <c r="O62" s="1348"/>
      <c r="P62" s="1348"/>
      <c r="Q62" s="1348"/>
      <c r="R62" s="1876"/>
      <c r="S62" s="1348"/>
      <c r="T62" s="1348"/>
      <c r="U62" s="708"/>
      <c r="V62" s="1348"/>
      <c r="W62" s="1348"/>
      <c r="X62" s="1348"/>
      <c r="Y62" s="1348"/>
      <c r="Z62" s="1348"/>
      <c r="AA62" s="1872"/>
      <c r="AB62" s="730"/>
      <c r="AC62" s="730"/>
      <c r="AD62" s="730"/>
      <c r="AE62" s="730"/>
    </row>
    <row s="7114" customFormat="1" customHeight="1" ht="11.25">
      <c r="A63" s="1170"/>
      <c r="B63" s="1876"/>
      <c r="C63" s="1876"/>
      <c r="D63" s="499"/>
      <c r="K63" s="1348"/>
      <c r="L63" s="1876"/>
      <c r="M63" s="1876"/>
      <c r="N63" s="1348"/>
      <c r="O63" s="1348"/>
      <c r="P63" s="1348"/>
      <c r="Q63" s="1348"/>
      <c r="R63" s="1876"/>
      <c r="S63" s="1348"/>
      <c r="T63" s="1348"/>
      <c r="U63" s="708"/>
      <c r="V63" s="1348"/>
      <c r="W63" s="1348"/>
      <c r="X63" s="1348"/>
      <c r="Y63" s="1348"/>
      <c r="Z63" s="1348"/>
      <c r="AA63" s="1872"/>
      <c r="AB63" s="730"/>
      <c r="AC63" s="730"/>
      <c r="AD63" s="730"/>
      <c r="AE63" s="730"/>
    </row>
    <row s="7114" customFormat="1" customHeight="1" ht="11.25">
      <c r="A64" s="1170"/>
      <c r="B64" s="1876"/>
      <c r="C64" s="1876"/>
      <c r="D64" s="499"/>
      <c r="K64" s="1348"/>
      <c r="L64" s="1876"/>
      <c r="M64" s="1876"/>
      <c r="N64" s="1348"/>
      <c r="O64" s="1348"/>
      <c r="P64" s="1348"/>
      <c r="Q64" s="1348"/>
      <c r="R64" s="1876"/>
      <c r="S64" s="1348"/>
      <c r="T64" s="1348"/>
      <c r="U64" s="708"/>
      <c r="V64" s="1348"/>
      <c r="W64" s="1348"/>
      <c r="X64" s="1348"/>
      <c r="Y64" s="1348"/>
      <c r="Z64" s="1348"/>
      <c r="AA64" s="1872"/>
      <c r="AB64" s="730"/>
      <c r="AC64" s="730"/>
      <c r="AD64" s="730"/>
      <c r="AE64" s="730"/>
    </row>
    <row s="7114" customFormat="1" customHeight="1" ht="11.25">
      <c r="A65" s="1170"/>
      <c r="B65" s="1876"/>
      <c r="C65" s="1876"/>
      <c r="D65" s="499"/>
      <c r="K65" s="1348"/>
      <c r="L65" s="1876"/>
      <c r="M65" s="1876"/>
      <c r="N65" s="1348"/>
      <c r="O65" s="1348"/>
      <c r="P65" s="1348"/>
      <c r="Q65" s="1348"/>
      <c r="R65" s="1876"/>
      <c r="S65" s="1348"/>
      <c r="T65" s="1348"/>
      <c r="U65" s="708"/>
      <c r="V65" s="1348"/>
      <c r="W65" s="1348"/>
      <c r="X65" s="1348"/>
      <c r="Y65" s="1348"/>
      <c r="Z65" s="1348"/>
      <c r="AA65" s="1872"/>
      <c r="AB65" s="730"/>
      <c r="AC65" s="730"/>
      <c r="AD65" s="730"/>
      <c r="AE65" s="730"/>
    </row>
    <row s="7114" customFormat="1" customHeight="1" ht="11.25">
      <c r="A66" s="1170"/>
      <c r="B66" s="1876"/>
      <c r="C66" s="1876"/>
      <c r="D66" s="499"/>
      <c r="K66" s="1348"/>
      <c r="L66" s="1876"/>
      <c r="M66" s="1876"/>
      <c r="N66" s="1348"/>
      <c r="O66" s="1348"/>
      <c r="P66" s="1348"/>
      <c r="Q66" s="1348"/>
      <c r="R66" s="1876"/>
      <c r="S66" s="1348"/>
      <c r="T66" s="1348"/>
      <c r="U66" s="708"/>
      <c r="V66" s="1348"/>
      <c r="W66" s="1348"/>
      <c r="X66" s="1348"/>
      <c r="Y66" s="1348"/>
      <c r="Z66" s="1348"/>
      <c r="AA66" s="1872"/>
      <c r="AB66" s="730"/>
      <c r="AC66" s="730"/>
      <c r="AD66" s="730"/>
      <c r="AE66" s="730"/>
    </row>
    <row s="7114" customFormat="1" customHeight="1" ht="11.25">
      <c r="A67" s="1170"/>
      <c r="B67" s="1876"/>
      <c r="C67" s="1876"/>
      <c r="D67" s="499"/>
      <c r="K67" s="1348"/>
      <c r="L67" s="1876"/>
      <c r="M67" s="1876"/>
      <c r="N67" s="1348"/>
      <c r="O67" s="1348"/>
      <c r="P67" s="1348"/>
      <c r="Q67" s="1348"/>
      <c r="R67" s="1876"/>
      <c r="S67" s="1348"/>
      <c r="T67" s="1348"/>
      <c r="U67" s="708"/>
      <c r="V67" s="1348"/>
      <c r="W67" s="1348"/>
      <c r="X67" s="1348"/>
      <c r="Y67" s="1348"/>
      <c r="Z67" s="1348"/>
      <c r="AA67" s="1872"/>
      <c r="AB67" s="730"/>
      <c r="AC67" s="730"/>
      <c r="AD67" s="730"/>
      <c r="AE67" s="730"/>
    </row>
    <row s="7114" customFormat="1" customHeight="1" ht="11.25">
      <c r="A68" s="1170"/>
      <c r="B68" s="1876"/>
      <c r="C68" s="1876"/>
      <c r="D68" s="499"/>
      <c r="K68" s="1348"/>
      <c r="L68" s="1876"/>
      <c r="M68" s="1876"/>
      <c r="N68" s="1348"/>
      <c r="O68" s="1348"/>
      <c r="P68" s="1348"/>
      <c r="Q68" s="1348"/>
      <c r="R68" s="1876"/>
      <c r="S68" s="1348"/>
      <c r="T68" s="1348"/>
      <c r="U68" s="708"/>
      <c r="V68" s="1348"/>
      <c r="W68" s="1348"/>
      <c r="X68" s="1348"/>
      <c r="Y68" s="1348"/>
      <c r="Z68" s="1348"/>
      <c r="AA68" s="1872"/>
      <c r="AB68" s="730"/>
      <c r="AC68" s="730"/>
      <c r="AD68" s="730"/>
      <c r="AE68" s="730"/>
    </row>
    <row s="7114" customFormat="1" customHeight="1" ht="11.25">
      <c r="A69" s="1170"/>
      <c r="B69" s="1876"/>
      <c r="C69" s="1876"/>
      <c r="D69" s="499"/>
      <c r="K69" s="1348"/>
      <c r="L69" s="1876"/>
      <c r="M69" s="1876"/>
      <c r="N69" s="1348"/>
      <c r="O69" s="1348"/>
      <c r="P69" s="1348"/>
      <c r="Q69" s="1348"/>
      <c r="R69" s="1876"/>
      <c r="S69" s="1348"/>
      <c r="T69" s="1348"/>
      <c r="U69" s="708"/>
      <c r="V69" s="1348"/>
      <c r="W69" s="1348"/>
      <c r="X69" s="1348"/>
      <c r="Y69" s="1348"/>
      <c r="Z69" s="1348"/>
      <c r="AA69" s="1872"/>
      <c r="AB69" s="730"/>
      <c r="AC69" s="730"/>
      <c r="AD69" s="730"/>
      <c r="AE69" s="730"/>
    </row>
    <row s="7114" customFormat="1" customHeight="1" ht="11.25">
      <c r="A70" s="1170"/>
      <c r="B70" s="1876"/>
      <c r="C70" s="1876"/>
      <c r="D70" s="499"/>
      <c r="K70" s="1348"/>
      <c r="L70" s="1876"/>
      <c r="M70" s="1876"/>
      <c r="N70" s="1348"/>
      <c r="O70" s="1348"/>
      <c r="P70" s="1348"/>
      <c r="Q70" s="1348"/>
      <c r="R70" s="1876"/>
      <c r="S70" s="1348"/>
      <c r="T70" s="1348"/>
      <c r="U70" s="708"/>
      <c r="V70" s="1348"/>
      <c r="W70" s="1348"/>
      <c r="X70" s="1348"/>
      <c r="Y70" s="1348"/>
      <c r="Z70" s="1348"/>
      <c r="AA70" s="1872"/>
      <c r="AB70" s="730"/>
      <c r="AC70" s="730"/>
      <c r="AD70" s="730"/>
      <c r="AE70" s="730"/>
    </row>
    <row s="7114" customFormat="1" customHeight="1" ht="11.25">
      <c r="A71" s="1170"/>
      <c r="B71" s="1876"/>
      <c r="C71" s="1876"/>
      <c r="D71" s="499"/>
      <c r="K71" s="1348"/>
      <c r="L71" s="1876"/>
      <c r="M71" s="1876"/>
      <c r="N71" s="1348"/>
      <c r="O71" s="1348"/>
      <c r="P71" s="1348"/>
      <c r="Q71" s="1348"/>
      <c r="R71" s="1876"/>
      <c r="S71" s="1348"/>
      <c r="T71" s="1348"/>
      <c r="U71" s="708"/>
      <c r="V71" s="1348"/>
      <c r="W71" s="1348"/>
      <c r="X71" s="1348"/>
      <c r="Y71" s="1348"/>
      <c r="Z71" s="1348"/>
      <c r="AA71" s="1872"/>
      <c r="AB71" s="730"/>
      <c r="AC71" s="730"/>
      <c r="AD71" s="730"/>
      <c r="AE71" s="730"/>
    </row>
    <row s="7114" customFormat="1" customHeight="1" ht="11.25">
      <c r="A72" s="1170"/>
      <c r="B72" s="1876"/>
      <c r="C72" s="1876"/>
      <c r="D72" s="499"/>
      <c r="K72" s="1348"/>
      <c r="L72" s="1876"/>
      <c r="M72" s="1876"/>
      <c r="N72" s="1348"/>
      <c r="O72" s="1348"/>
      <c r="P72" s="1348"/>
      <c r="Q72" s="1348"/>
      <c r="R72" s="1876"/>
      <c r="S72" s="1348"/>
      <c r="T72" s="1348"/>
      <c r="U72" s="708"/>
      <c r="V72" s="1348"/>
      <c r="W72" s="1348"/>
      <c r="X72" s="1348"/>
      <c r="Y72" s="1348"/>
      <c r="Z72" s="1348"/>
      <c r="AA72" s="1872"/>
      <c r="AB72" s="730"/>
      <c r="AC72" s="730"/>
      <c r="AD72" s="730"/>
      <c r="AE72" s="730"/>
    </row>
    <row s="7114" customFormat="1" customHeight="1" ht="11.25">
      <c r="A73" s="1170"/>
      <c r="B73" s="1876"/>
      <c r="C73" s="1876"/>
      <c r="D73" s="499"/>
      <c r="K73" s="1348"/>
      <c r="L73" s="1876"/>
      <c r="M73" s="1876"/>
      <c r="N73" s="1348"/>
      <c r="O73" s="1348"/>
      <c r="P73" s="1348"/>
      <c r="Q73" s="1348"/>
      <c r="R73" s="1876"/>
      <c r="S73" s="1348"/>
      <c r="T73" s="1348"/>
      <c r="U73" s="708"/>
      <c r="V73" s="1348"/>
      <c r="W73" s="1348"/>
      <c r="X73" s="1348"/>
      <c r="Y73" s="1348"/>
      <c r="Z73" s="1348"/>
      <c r="AA73" s="1872"/>
      <c r="AB73" s="730"/>
      <c r="AC73" s="730"/>
      <c r="AD73" s="730"/>
      <c r="AE73" s="730"/>
    </row>
    <row s="7114" customFormat="1" customHeight="1" ht="11.25">
      <c r="A74" s="1170"/>
      <c r="B74" s="1876"/>
      <c r="C74" s="1876"/>
      <c r="D74" s="499"/>
      <c r="K74" s="1348"/>
      <c r="L74" s="1876"/>
      <c r="M74" s="1876"/>
      <c r="N74" s="1348"/>
      <c r="O74" s="1348"/>
      <c r="P74" s="1348"/>
      <c r="Q74" s="1348"/>
      <c r="R74" s="1876"/>
      <c r="S74" s="1348"/>
      <c r="T74" s="1348"/>
      <c r="U74" s="708"/>
      <c r="V74" s="1348"/>
      <c r="W74" s="1348"/>
      <c r="X74" s="1348"/>
      <c r="Y74" s="1348"/>
      <c r="Z74" s="1348"/>
      <c r="AA74" s="1872"/>
      <c r="AB74" s="730"/>
      <c r="AC74" s="730"/>
      <c r="AD74" s="730"/>
      <c r="AE74" s="730"/>
    </row>
    <row s="7114" customFormat="1" customHeight="1" ht="11.25">
      <c r="A75" s="1170"/>
      <c r="B75" s="1876"/>
      <c r="C75" s="1876"/>
      <c r="D75" s="499"/>
      <c r="K75" s="1348"/>
      <c r="L75" s="1876"/>
      <c r="M75" s="1876"/>
      <c r="N75" s="1348"/>
      <c r="O75" s="1348"/>
      <c r="P75" s="1348"/>
      <c r="Q75" s="1348"/>
      <c r="R75" s="1876"/>
      <c r="S75" s="1348"/>
      <c r="T75" s="1348"/>
      <c r="U75" s="708"/>
      <c r="V75" s="1348"/>
      <c r="W75" s="1348"/>
      <c r="X75" s="1348"/>
      <c r="Y75" s="1348"/>
      <c r="Z75" s="1348"/>
      <c r="AA75" s="1872"/>
      <c r="AB75" s="730"/>
      <c r="AC75" s="730"/>
      <c r="AD75" s="730"/>
      <c r="AE75" s="730"/>
    </row>
    <row s="7114" customFormat="1" customHeight="1" ht="11.25">
      <c r="A76" s="1170"/>
      <c r="B76" s="1876"/>
      <c r="C76" s="1876"/>
      <c r="D76" s="499"/>
      <c r="K76" s="1348"/>
      <c r="L76" s="1876"/>
      <c r="M76" s="1876"/>
      <c r="N76" s="1348"/>
      <c r="O76" s="1348"/>
      <c r="P76" s="1348"/>
      <c r="Q76" s="1348"/>
      <c r="R76" s="1876"/>
      <c r="S76" s="1348"/>
      <c r="T76" s="1348"/>
      <c r="U76" s="708"/>
      <c r="V76" s="1348"/>
      <c r="W76" s="1348"/>
      <c r="X76" s="1348"/>
      <c r="Y76" s="1348"/>
      <c r="Z76" s="1348"/>
      <c r="AA76" s="1872"/>
      <c r="AB76" s="730"/>
      <c r="AC76" s="730"/>
      <c r="AD76" s="730"/>
      <c r="AE76" s="730"/>
    </row>
    <row s="7114" customFormat="1" customHeight="1" ht="11.25">
      <c r="A77" s="1170"/>
      <c r="B77" s="1876"/>
      <c r="C77" s="1876"/>
      <c r="D77" s="499"/>
      <c r="K77" s="1348"/>
      <c r="L77" s="1876"/>
      <c r="M77" s="1876"/>
      <c r="N77" s="1348"/>
      <c r="O77" s="1348"/>
      <c r="P77" s="1348"/>
      <c r="Q77" s="1348"/>
      <c r="R77" s="1876"/>
      <c r="S77" s="1348"/>
      <c r="T77" s="1348"/>
      <c r="U77" s="708"/>
      <c r="V77" s="1348"/>
      <c r="W77" s="1348"/>
      <c r="X77" s="1348"/>
      <c r="Y77" s="1348"/>
      <c r="Z77" s="1348"/>
      <c r="AA77" s="1872"/>
      <c r="AB77" s="730"/>
      <c r="AC77" s="730"/>
      <c r="AD77" s="730"/>
      <c r="AE77" s="730"/>
    </row>
    <row s="7114" customFormat="1" customHeight="1" ht="11.25">
      <c r="A78" s="1170"/>
      <c r="B78" s="1876"/>
      <c r="C78" s="1876"/>
      <c r="D78" s="499"/>
      <c r="K78" s="1348"/>
      <c r="L78" s="1876"/>
      <c r="M78" s="1876"/>
      <c r="N78" s="1348"/>
      <c r="O78" s="1348"/>
      <c r="P78" s="1348"/>
      <c r="Q78" s="1348"/>
      <c r="R78" s="1876"/>
      <c r="S78" s="1348"/>
      <c r="T78" s="1348"/>
      <c r="U78" s="708"/>
      <c r="V78" s="1348"/>
      <c r="W78" s="1348"/>
      <c r="X78" s="1348"/>
      <c r="Y78" s="1348"/>
      <c r="Z78" s="1348"/>
      <c r="AA78" s="1872"/>
      <c r="AB78" s="730"/>
      <c r="AC78" s="730"/>
      <c r="AD78" s="730"/>
      <c r="AE78" s="730"/>
    </row>
    <row s="7114" customFormat="1" customHeight="1" ht="11.25">
      <c r="A79" s="1170"/>
      <c r="B79" s="1876"/>
      <c r="C79" s="1876"/>
      <c r="D79" s="499"/>
      <c r="K79" s="1348"/>
      <c r="L79" s="1876"/>
      <c r="M79" s="1876"/>
      <c r="N79" s="1348"/>
      <c r="O79" s="1348"/>
      <c r="P79" s="1348"/>
      <c r="Q79" s="1348"/>
      <c r="R79" s="1876"/>
      <c r="S79" s="1348"/>
      <c r="T79" s="1348"/>
      <c r="U79" s="708"/>
      <c r="V79" s="1348"/>
      <c r="W79" s="1348"/>
      <c r="X79" s="1348"/>
      <c r="Y79" s="1348"/>
      <c r="Z79" s="1348"/>
      <c r="AA79" s="1872"/>
      <c r="AB79" s="730"/>
      <c r="AC79" s="730"/>
      <c r="AD79" s="730"/>
      <c r="AE79" s="730"/>
    </row>
    <row s="7114" customFormat="1" customHeight="1" ht="11.25">
      <c r="A80" s="1170"/>
      <c r="B80" s="1876"/>
      <c r="C80" s="1876"/>
      <c r="D80" s="499"/>
      <c r="K80" s="1348"/>
      <c r="L80" s="1876"/>
      <c r="M80" s="1876"/>
      <c r="N80" s="1348"/>
      <c r="O80" s="1348"/>
      <c r="P80" s="1348"/>
      <c r="Q80" s="1348"/>
      <c r="R80" s="1876"/>
      <c r="S80" s="1348"/>
      <c r="T80" s="1348"/>
      <c r="U80" s="708"/>
      <c r="V80" s="1348"/>
      <c r="W80" s="1348"/>
      <c r="X80" s="1348"/>
      <c r="Y80" s="1348"/>
      <c r="Z80" s="1348"/>
      <c r="AA80" s="1872"/>
      <c r="AB80" s="730"/>
      <c r="AC80" s="730"/>
      <c r="AD80" s="730"/>
      <c r="AE80" s="730"/>
    </row>
    <row s="7114" customFormat="1" customHeight="1" ht="11.25">
      <c r="A81" s="1170"/>
      <c r="B81" s="1876"/>
      <c r="C81" s="1876"/>
      <c r="D81" s="499"/>
      <c r="K81" s="1348"/>
      <c r="L81" s="1876"/>
      <c r="M81" s="1876"/>
      <c r="N81" s="1348"/>
      <c r="O81" s="1348"/>
      <c r="P81" s="1348"/>
      <c r="Q81" s="1348"/>
      <c r="R81" s="1876"/>
      <c r="S81" s="1348"/>
      <c r="T81" s="1348"/>
      <c r="U81" s="708"/>
      <c r="V81" s="1348"/>
      <c r="W81" s="1348"/>
      <c r="X81" s="1348"/>
      <c r="Y81" s="1348"/>
      <c r="Z81" s="1348"/>
      <c r="AA81" s="1872"/>
      <c r="AB81" s="730"/>
      <c r="AC81" s="730"/>
      <c r="AD81" s="730"/>
      <c r="AE81" s="730"/>
    </row>
    <row s="7114" customFormat="1" customHeight="1" ht="11.25">
      <c r="A82" s="1170"/>
      <c r="B82" s="1876"/>
      <c r="C82" s="1876"/>
      <c r="D82" s="499"/>
      <c r="K82" s="1348"/>
      <c r="L82" s="1876"/>
      <c r="M82" s="1876"/>
      <c r="N82" s="1348"/>
      <c r="O82" s="1348"/>
      <c r="P82" s="1348"/>
      <c r="Q82" s="1348"/>
      <c r="R82" s="1876"/>
      <c r="S82" s="1348"/>
      <c r="T82" s="1348"/>
      <c r="U82" s="708"/>
      <c r="V82" s="1348"/>
      <c r="W82" s="1348"/>
      <c r="X82" s="1348"/>
      <c r="Y82" s="1348"/>
      <c r="Z82" s="1348"/>
      <c r="AA82" s="1872"/>
      <c r="AB82" s="730"/>
      <c r="AC82" s="730"/>
      <c r="AD82" s="730"/>
      <c r="AE82" s="730"/>
    </row>
    <row s="7114" customFormat="1" customHeight="1" ht="11.25">
      <c r="A83" s="1170"/>
      <c r="B83" s="1876"/>
      <c r="C83" s="1876"/>
      <c r="D83" s="499"/>
      <c r="K83" s="1348"/>
      <c r="L83" s="1876"/>
      <c r="M83" s="1876"/>
      <c r="N83" s="1348"/>
      <c r="O83" s="1348"/>
      <c r="P83" s="1348"/>
      <c r="Q83" s="1348"/>
      <c r="R83" s="1876"/>
      <c r="S83" s="1348"/>
      <c r="T83" s="1348"/>
      <c r="U83" s="708"/>
      <c r="V83" s="1348"/>
      <c r="W83" s="1348"/>
      <c r="X83" s="1348"/>
      <c r="Y83" s="1348"/>
      <c r="Z83" s="1348"/>
      <c r="AA83" s="1872"/>
      <c r="AB83" s="730"/>
      <c r="AC83" s="730"/>
      <c r="AD83" s="730"/>
      <c r="AE83" s="730"/>
    </row>
    <row s="7114" customFormat="1" customHeight="1" ht="11.25">
      <c r="A84" s="1170"/>
      <c r="B84" s="1876"/>
      <c r="C84" s="1876"/>
      <c r="D84" s="499"/>
      <c r="K84" s="1348"/>
      <c r="L84" s="1876"/>
      <c r="M84" s="1876"/>
      <c r="N84" s="1348"/>
      <c r="O84" s="1348"/>
      <c r="P84" s="1348"/>
      <c r="Q84" s="1348"/>
      <c r="R84" s="1876"/>
      <c r="S84" s="1348"/>
      <c r="T84" s="1348"/>
      <c r="U84" s="708"/>
      <c r="V84" s="1348"/>
      <c r="W84" s="1348"/>
      <c r="X84" s="1348"/>
      <c r="Y84" s="1348"/>
      <c r="Z84" s="1348"/>
      <c r="AA84" s="1872"/>
      <c r="AB84" s="730"/>
      <c r="AC84" s="730"/>
      <c r="AD84" s="730"/>
      <c r="AE84" s="730"/>
    </row>
    <row s="7114" customFormat="1" customHeight="1" ht="11.25">
      <c r="A85" s="1170"/>
      <c r="B85" s="1876"/>
      <c r="C85" s="1876"/>
      <c r="D85" s="499"/>
      <c r="K85" s="1348"/>
      <c r="L85" s="1876"/>
      <c r="M85" s="1876"/>
      <c r="N85" s="1348"/>
      <c r="O85" s="1348"/>
      <c r="P85" s="1348"/>
      <c r="Q85" s="1348"/>
      <c r="R85" s="1876"/>
      <c r="S85" s="1348"/>
      <c r="T85" s="1348"/>
      <c r="U85" s="708"/>
      <c r="V85" s="1348"/>
      <c r="W85" s="1348"/>
      <c r="X85" s="1348"/>
      <c r="Y85" s="1348"/>
      <c r="Z85" s="1348"/>
      <c r="AA85" s="1872"/>
      <c r="AB85" s="730"/>
      <c r="AC85" s="730"/>
      <c r="AD85" s="730"/>
      <c r="AE85" s="730"/>
    </row>
    <row s="7114" customFormat="1" customHeight="1" ht="11.25">
      <c r="A86" s="1170"/>
      <c r="B86" s="1876"/>
      <c r="C86" s="1876"/>
      <c r="D86" s="499"/>
      <c r="K86" s="1348"/>
      <c r="L86" s="1876"/>
      <c r="M86" s="1876"/>
      <c r="N86" s="1348"/>
      <c r="O86" s="1348"/>
      <c r="P86" s="1348"/>
      <c r="Q86" s="1348"/>
      <c r="R86" s="1876"/>
      <c r="S86" s="1348"/>
      <c r="T86" s="1348"/>
      <c r="U86" s="708"/>
      <c r="V86" s="1348"/>
      <c r="W86" s="1348"/>
      <c r="X86" s="1348"/>
      <c r="Y86" s="1348"/>
      <c r="Z86" s="1348"/>
      <c r="AA86" s="1872"/>
      <c r="AB86" s="730"/>
      <c r="AC86" s="730"/>
      <c r="AD86" s="730"/>
      <c r="AE86" s="730"/>
    </row>
    <row s="7114" customFormat="1" customHeight="1" ht="11.25">
      <c r="A87" s="1170"/>
      <c r="B87" s="1876"/>
      <c r="C87" s="1876"/>
      <c r="D87" s="499"/>
      <c r="K87" s="1348"/>
      <c r="L87" s="1876"/>
      <c r="M87" s="1876"/>
      <c r="N87" s="1348"/>
      <c r="O87" s="1348"/>
      <c r="P87" s="1348"/>
      <c r="Q87" s="1348"/>
      <c r="R87" s="1876"/>
      <c r="S87" s="1348"/>
      <c r="T87" s="1348"/>
      <c r="U87" s="708"/>
      <c r="V87" s="1348"/>
      <c r="W87" s="1348"/>
      <c r="X87" s="1348"/>
      <c r="Y87" s="1348"/>
      <c r="Z87" s="1348"/>
      <c r="AA87" s="1872"/>
      <c r="AB87" s="730"/>
      <c r="AC87" s="730"/>
      <c r="AD87" s="730"/>
      <c r="AE87" s="730"/>
    </row>
    <row s="7114" customFormat="1" customHeight="1" ht="11.25">
      <c r="A88" s="1170"/>
      <c r="B88" s="1876"/>
      <c r="C88" s="1876"/>
      <c r="D88" s="499"/>
      <c r="K88" s="1348"/>
      <c r="L88" s="1876"/>
      <c r="M88" s="1876"/>
      <c r="N88" s="1348"/>
      <c r="O88" s="1348"/>
      <c r="P88" s="1348"/>
      <c r="Q88" s="1348"/>
      <c r="R88" s="1876"/>
      <c r="S88" s="1348"/>
      <c r="T88" s="1348"/>
      <c r="U88" s="708"/>
      <c r="V88" s="1348"/>
      <c r="W88" s="1348"/>
      <c r="X88" s="1348"/>
      <c r="Y88" s="1348"/>
      <c r="Z88" s="1348"/>
      <c r="AA88" s="1872"/>
      <c r="AB88" s="730"/>
      <c r="AC88" s="730"/>
      <c r="AD88" s="730"/>
      <c r="AE88" s="730"/>
    </row>
    <row s="7114" customFormat="1" customHeight="1" ht="11.25">
      <c r="A89" s="1170"/>
      <c r="B89" s="1876"/>
      <c r="C89" s="1876"/>
      <c r="D89" s="499"/>
      <c r="K89" s="1348"/>
      <c r="L89" s="1876"/>
      <c r="M89" s="1876"/>
      <c r="N89" s="1348"/>
      <c r="O89" s="1348"/>
      <c r="P89" s="1348"/>
      <c r="Q89" s="1348"/>
      <c r="R89" s="1876"/>
      <c r="S89" s="1348"/>
      <c r="T89" s="1348"/>
      <c r="U89" s="708"/>
      <c r="V89" s="1348"/>
      <c r="W89" s="1348"/>
      <c r="X89" s="1348"/>
      <c r="Y89" s="1348"/>
      <c r="Z89" s="1348"/>
      <c r="AA89" s="1872"/>
      <c r="AB89" s="730"/>
      <c r="AC89" s="730"/>
      <c r="AD89" s="730"/>
      <c r="AE89" s="730"/>
    </row>
    <row s="7114" customFormat="1" customHeight="1" ht="11.25">
      <c r="A90" s="1170"/>
      <c r="B90" s="1876"/>
      <c r="C90" s="1876"/>
      <c r="D90" s="499"/>
      <c r="K90" s="1348"/>
      <c r="L90" s="1876"/>
      <c r="M90" s="1876"/>
      <c r="N90" s="1348"/>
      <c r="O90" s="1348"/>
      <c r="P90" s="1348"/>
      <c r="Q90" s="1348"/>
      <c r="R90" s="1876"/>
      <c r="S90" s="1348"/>
      <c r="T90" s="1348"/>
      <c r="U90" s="708"/>
      <c r="V90" s="1348"/>
      <c r="W90" s="1348"/>
      <c r="X90" s="1348"/>
      <c r="Y90" s="1348"/>
      <c r="Z90" s="1348"/>
      <c r="AA90" s="1872"/>
      <c r="AB90" s="730"/>
      <c r="AC90" s="730"/>
      <c r="AD90" s="730"/>
      <c r="AE90" s="730"/>
    </row>
    <row s="7114" customFormat="1" customHeight="1" ht="11.25">
      <c r="A91" s="1170"/>
      <c r="B91" s="1876"/>
      <c r="C91" s="1876"/>
      <c r="D91" s="499"/>
      <c r="K91" s="1348"/>
      <c r="L91" s="1876"/>
      <c r="M91" s="1876"/>
      <c r="N91" s="1348"/>
      <c r="O91" s="1348"/>
      <c r="P91" s="1348"/>
      <c r="Q91" s="1348"/>
      <c r="R91" s="1876"/>
      <c r="S91" s="1348"/>
      <c r="T91" s="1348"/>
      <c r="U91" s="708"/>
      <c r="V91" s="1348"/>
      <c r="W91" s="1348"/>
      <c r="X91" s="1348"/>
      <c r="Y91" s="1348"/>
      <c r="Z91" s="1348"/>
      <c r="AA91" s="1872"/>
      <c r="AB91" s="730"/>
      <c r="AC91" s="730"/>
      <c r="AD91" s="730"/>
      <c r="AE91" s="730"/>
    </row>
    <row s="7114" customFormat="1" customHeight="1" ht="11.25">
      <c r="A92" s="1170"/>
      <c r="B92" s="1876"/>
      <c r="C92" s="1876"/>
      <c r="D92" s="499"/>
      <c r="K92" s="1348"/>
      <c r="L92" s="1876"/>
      <c r="M92" s="1876"/>
      <c r="N92" s="1348"/>
      <c r="O92" s="1348"/>
      <c r="P92" s="1348"/>
      <c r="Q92" s="1348"/>
      <c r="R92" s="1876"/>
      <c r="S92" s="1348"/>
      <c r="T92" s="1348"/>
      <c r="U92" s="708"/>
      <c r="V92" s="1348"/>
      <c r="W92" s="1348"/>
      <c r="X92" s="1348"/>
      <c r="Y92" s="1348"/>
      <c r="Z92" s="1348"/>
      <c r="AA92" s="1872"/>
      <c r="AB92" s="730"/>
      <c r="AC92" s="730"/>
      <c r="AD92" s="730"/>
      <c r="AE92" s="730"/>
    </row>
    <row s="7114" customFormat="1" customHeight="1" ht="11.25">
      <c r="A93" s="1170"/>
      <c r="B93" s="1876"/>
      <c r="C93" s="1876"/>
      <c r="D93" s="499"/>
      <c r="K93" s="1348"/>
      <c r="L93" s="1876"/>
      <c r="M93" s="1876"/>
      <c r="N93" s="1348"/>
      <c r="O93" s="1348"/>
      <c r="P93" s="1348"/>
      <c r="Q93" s="1348"/>
      <c r="R93" s="1876"/>
      <c r="S93" s="1348"/>
      <c r="T93" s="1348"/>
      <c r="U93" s="708"/>
      <c r="V93" s="1348"/>
      <c r="W93" s="1348"/>
      <c r="X93" s="1348"/>
      <c r="Y93" s="1348"/>
      <c r="Z93" s="1348"/>
      <c r="AA93" s="1872"/>
      <c r="AB93" s="730"/>
      <c r="AC93" s="730"/>
      <c r="AD93" s="730"/>
      <c r="AE93" s="730"/>
    </row>
    <row s="7114" customFormat="1" customHeight="1" ht="11.25">
      <c r="A94" s="1170"/>
      <c r="B94" s="1876"/>
      <c r="C94" s="1876"/>
      <c r="D94" s="499"/>
      <c r="K94" s="1348"/>
      <c r="L94" s="1876"/>
      <c r="M94" s="1876"/>
      <c r="N94" s="1348"/>
      <c r="O94" s="1348"/>
      <c r="P94" s="1348"/>
      <c r="Q94" s="1348"/>
      <c r="R94" s="1876"/>
      <c r="S94" s="1348"/>
      <c r="T94" s="1348"/>
      <c r="U94" s="708"/>
      <c r="V94" s="1348"/>
      <c r="W94" s="1348"/>
      <c r="X94" s="1348"/>
      <c r="Y94" s="1348"/>
      <c r="Z94" s="1348"/>
      <c r="AA94" s="1872"/>
      <c r="AB94" s="730"/>
      <c r="AC94" s="730"/>
      <c r="AD94" s="730"/>
      <c r="AE94" s="730"/>
    </row>
    <row s="7114" customFormat="1" customHeight="1" ht="11.25">
      <c r="A95" s="1170"/>
      <c r="B95" s="1876"/>
      <c r="C95" s="1876"/>
      <c r="D95" s="499"/>
      <c r="K95" s="1348"/>
      <c r="L95" s="1876"/>
      <c r="M95" s="1876"/>
      <c r="N95" s="1348"/>
      <c r="O95" s="1348"/>
      <c r="P95" s="1348"/>
      <c r="Q95" s="1348"/>
      <c r="R95" s="1876"/>
      <c r="S95" s="1348"/>
      <c r="T95" s="1348"/>
      <c r="U95" s="708"/>
      <c r="V95" s="1348"/>
      <c r="W95" s="1348"/>
      <c r="X95" s="1348"/>
      <c r="Y95" s="1348"/>
      <c r="Z95" s="1348"/>
      <c r="AA95" s="1872"/>
      <c r="AB95" s="730"/>
      <c r="AC95" s="730"/>
      <c r="AD95" s="730"/>
      <c r="AE95" s="730"/>
    </row>
    <row s="7114" customFormat="1" customHeight="1" ht="11.25">
      <c r="A96" s="1170"/>
      <c r="B96" s="1876"/>
      <c r="C96" s="1876"/>
      <c r="D96" s="499"/>
      <c r="K96" s="1348"/>
      <c r="L96" s="1876"/>
      <c r="M96" s="1876"/>
      <c r="N96" s="1348"/>
      <c r="O96" s="1348"/>
      <c r="P96" s="1348"/>
      <c r="Q96" s="1348"/>
      <c r="R96" s="1876"/>
      <c r="S96" s="1348"/>
      <c r="T96" s="1348"/>
      <c r="U96" s="708"/>
      <c r="V96" s="1348"/>
      <c r="W96" s="1348"/>
      <c r="X96" s="1348"/>
      <c r="Y96" s="1348"/>
      <c r="Z96" s="1348"/>
      <c r="AA96" s="1872"/>
      <c r="AB96" s="730"/>
      <c r="AC96" s="730"/>
      <c r="AD96" s="730"/>
      <c r="AE96" s="730"/>
    </row>
    <row s="7114" customFormat="1" customHeight="1" ht="11.25">
      <c r="A97" s="1170"/>
      <c r="B97" s="1876"/>
      <c r="C97" s="1876"/>
      <c r="D97" s="499"/>
      <c r="K97" s="1348"/>
      <c r="L97" s="1876"/>
      <c r="M97" s="1876"/>
      <c r="N97" s="1348"/>
      <c r="O97" s="1348"/>
      <c r="P97" s="1348"/>
      <c r="Q97" s="1348"/>
      <c r="R97" s="1876"/>
      <c r="S97" s="1348"/>
      <c r="T97" s="1348"/>
      <c r="U97" s="708"/>
      <c r="V97" s="1348"/>
      <c r="W97" s="1348"/>
      <c r="X97" s="1348"/>
      <c r="Y97" s="1348"/>
      <c r="Z97" s="1348"/>
      <c r="AA97" s="1872"/>
      <c r="AB97" s="730"/>
      <c r="AC97" s="730"/>
      <c r="AD97" s="730"/>
      <c r="AE97" s="730"/>
    </row>
    <row s="7114" customFormat="1" customHeight="1" ht="11.25">
      <c r="A98" s="1170"/>
      <c r="B98" s="1876"/>
      <c r="C98" s="1876"/>
      <c r="D98" s="499"/>
      <c r="K98" s="1348"/>
      <c r="L98" s="1876"/>
      <c r="M98" s="1876"/>
      <c r="N98" s="1348"/>
      <c r="O98" s="1348"/>
      <c r="P98" s="1348"/>
      <c r="Q98" s="1348"/>
      <c r="R98" s="1876"/>
      <c r="S98" s="1348"/>
      <c r="T98" s="1348"/>
      <c r="U98" s="708"/>
      <c r="V98" s="1348"/>
      <c r="W98" s="1348"/>
      <c r="X98" s="1348"/>
      <c r="Y98" s="1348"/>
      <c r="Z98" s="1348"/>
      <c r="AA98" s="1872"/>
      <c r="AB98" s="730"/>
      <c r="AC98" s="730"/>
      <c r="AD98" s="730"/>
      <c r="AE98" s="730"/>
    </row>
    <row s="7114" customFormat="1" customHeight="1" ht="11.25">
      <c r="A99" s="1170"/>
      <c r="B99" s="1876"/>
      <c r="C99" s="1876"/>
      <c r="D99" s="499"/>
      <c r="K99" s="1348"/>
      <c r="L99" s="1876"/>
      <c r="M99" s="1876"/>
      <c r="N99" s="1348"/>
      <c r="O99" s="1348"/>
      <c r="P99" s="1348"/>
      <c r="Q99" s="1348"/>
      <c r="R99" s="1876"/>
      <c r="S99" s="1348"/>
      <c r="T99" s="1348"/>
      <c r="U99" s="708"/>
      <c r="V99" s="1348"/>
      <c r="W99" s="1348"/>
      <c r="X99" s="1348"/>
      <c r="Y99" s="1348"/>
      <c r="Z99" s="1348"/>
      <c r="AA99" s="1872"/>
      <c r="AB99" s="730"/>
      <c r="AC99" s="730"/>
      <c r="AD99" s="730"/>
      <c r="AE99" s="730"/>
    </row>
    <row s="7114" customFormat="1" customHeight="1" ht="11.25">
      <c r="A100" s="1170"/>
      <c r="B100" s="1876"/>
      <c r="C100" s="1876"/>
      <c r="D100" s="499"/>
      <c r="K100" s="1348"/>
      <c r="L100" s="1876"/>
      <c r="M100" s="1876"/>
      <c r="N100" s="1348"/>
      <c r="O100" s="1348"/>
      <c r="P100" s="1348"/>
      <c r="Q100" s="1348"/>
      <c r="R100" s="1876"/>
      <c r="S100" s="1348"/>
      <c r="T100" s="1348"/>
      <c r="U100" s="708"/>
      <c r="V100" s="1348"/>
      <c r="W100" s="1348"/>
      <c r="X100" s="1348"/>
      <c r="Y100" s="1348"/>
      <c r="Z100" s="1348"/>
      <c r="AA100" s="1872"/>
      <c r="AB100" s="730"/>
      <c r="AC100" s="730"/>
      <c r="AD100" s="730"/>
      <c r="AE100" s="730"/>
    </row>
    <row s="7114" customFormat="1" customHeight="1" ht="11.25">
      <c r="A101" s="1170"/>
      <c r="B101" s="1876"/>
      <c r="C101" s="1876"/>
      <c r="D101" s="499"/>
      <c r="K101" s="1348"/>
      <c r="L101" s="1876"/>
      <c r="M101" s="1876"/>
      <c r="N101" s="1348"/>
      <c r="O101" s="1348"/>
      <c r="P101" s="1348"/>
      <c r="Q101" s="1348"/>
      <c r="R101" s="1876"/>
      <c r="S101" s="1348"/>
      <c r="T101" s="1348"/>
      <c r="U101" s="708"/>
      <c r="V101" s="1348"/>
      <c r="W101" s="1348"/>
      <c r="X101" s="1348"/>
      <c r="Y101" s="1348"/>
      <c r="Z101" s="1348"/>
      <c r="AA101" s="1872"/>
      <c r="AB101" s="730"/>
      <c r="AC101" s="730"/>
      <c r="AD101" s="730"/>
      <c r="AE101" s="730"/>
    </row>
    <row s="7114" customFormat="1" customHeight="1" ht="11.25">
      <c r="A102" s="1170"/>
      <c r="B102" s="1876"/>
      <c r="C102" s="1876"/>
      <c r="D102" s="499"/>
      <c r="K102" s="1348"/>
      <c r="L102" s="1876"/>
      <c r="M102" s="1876"/>
      <c r="N102" s="1348"/>
      <c r="O102" s="1348"/>
      <c r="P102" s="1348"/>
      <c r="Q102" s="1348"/>
      <c r="R102" s="1876"/>
      <c r="S102" s="1348"/>
      <c r="T102" s="1348"/>
      <c r="U102" s="708"/>
      <c r="V102" s="1348"/>
      <c r="W102" s="1348"/>
      <c r="X102" s="1348"/>
      <c r="Y102" s="1348"/>
      <c r="Z102" s="1348"/>
      <c r="AA102" s="1872"/>
      <c r="AB102" s="730"/>
      <c r="AC102" s="730"/>
      <c r="AD102" s="730"/>
      <c r="AE102" s="730"/>
    </row>
    <row s="7114" customFormat="1" customHeight="1" ht="11.25">
      <c r="A103" s="1170"/>
      <c r="B103" s="1876"/>
      <c r="C103" s="1876"/>
      <c r="D103" s="499"/>
      <c r="K103" s="1348"/>
      <c r="L103" s="1876"/>
      <c r="M103" s="1876"/>
      <c r="N103" s="1348"/>
      <c r="O103" s="1348"/>
      <c r="P103" s="1348"/>
      <c r="Q103" s="1348"/>
      <c r="R103" s="1876"/>
      <c r="S103" s="1348"/>
      <c r="T103" s="1348"/>
      <c r="U103" s="708"/>
      <c r="V103" s="1348"/>
      <c r="W103" s="1348"/>
      <c r="X103" s="1348"/>
      <c r="Y103" s="1348"/>
      <c r="Z103" s="1348"/>
      <c r="AA103" s="1872"/>
      <c r="AB103" s="730"/>
      <c r="AC103" s="730"/>
      <c r="AD103" s="730"/>
      <c r="AE103" s="730"/>
    </row>
    <row s="7114" customFormat="1" customHeight="1" ht="11.25">
      <c r="A104" s="1170"/>
      <c r="B104" s="1876"/>
      <c r="C104" s="1876"/>
      <c r="D104" s="499"/>
      <c r="K104" s="1348"/>
      <c r="L104" s="1876"/>
      <c r="M104" s="1876"/>
      <c r="N104" s="1348"/>
      <c r="O104" s="1348"/>
      <c r="P104" s="1348"/>
      <c r="Q104" s="1348"/>
      <c r="R104" s="1876"/>
      <c r="S104" s="1348"/>
      <c r="T104" s="1348"/>
      <c r="U104" s="708"/>
      <c r="V104" s="1348"/>
      <c r="W104" s="1348"/>
      <c r="X104" s="1348"/>
      <c r="Y104" s="1348"/>
      <c r="Z104" s="1348"/>
      <c r="AA104" s="1872"/>
      <c r="AB104" s="730"/>
      <c r="AC104" s="730"/>
      <c r="AD104" s="730"/>
      <c r="AE104" s="730"/>
    </row>
    <row s="7114" customFormat="1" customHeight="1" ht="11.25">
      <c r="A105" s="1170"/>
      <c r="B105" s="1876"/>
      <c r="C105" s="1876"/>
      <c r="D105" s="499"/>
      <c r="K105" s="1348"/>
      <c r="L105" s="1876"/>
      <c r="M105" s="1876"/>
      <c r="N105" s="1348"/>
      <c r="O105" s="1348"/>
      <c r="P105" s="1348"/>
      <c r="Q105" s="1348"/>
      <c r="R105" s="1876"/>
      <c r="S105" s="1348"/>
      <c r="T105" s="1348"/>
      <c r="U105" s="708"/>
      <c r="V105" s="1348"/>
      <c r="W105" s="1348"/>
      <c r="X105" s="1348"/>
      <c r="Y105" s="1348"/>
      <c r="Z105" s="1348"/>
      <c r="AA105" s="1872"/>
      <c r="AB105" s="730"/>
      <c r="AC105" s="730"/>
      <c r="AD105" s="730"/>
      <c r="AE105" s="730"/>
    </row>
    <row s="7114" customFormat="1" customHeight="1" ht="11.25">
      <c r="A106" s="1170"/>
      <c r="B106" s="1876"/>
      <c r="C106" s="1876"/>
      <c r="D106" s="499"/>
      <c r="K106" s="1348"/>
      <c r="L106" s="1876"/>
      <c r="M106" s="1876"/>
      <c r="N106" s="1348"/>
      <c r="O106" s="1348"/>
      <c r="P106" s="1348"/>
      <c r="Q106" s="1348"/>
      <c r="R106" s="1876"/>
      <c r="S106" s="1348"/>
      <c r="T106" s="1348"/>
      <c r="U106" s="708"/>
      <c r="V106" s="1348"/>
      <c r="W106" s="1348"/>
      <c r="X106" s="1348"/>
      <c r="Y106" s="1348"/>
      <c r="Z106" s="1348"/>
      <c r="AA106" s="1872"/>
      <c r="AB106" s="730"/>
      <c r="AC106" s="730"/>
      <c r="AD106" s="730"/>
      <c r="AE106" s="730"/>
    </row>
    <row s="7114" customFormat="1" customHeight="1" ht="11.25">
      <c r="A107" s="1170"/>
      <c r="B107" s="1876"/>
      <c r="C107" s="1876"/>
      <c r="D107" s="499"/>
      <c r="K107" s="1348"/>
      <c r="L107" s="1876"/>
      <c r="M107" s="1876"/>
      <c r="N107" s="1348"/>
      <c r="O107" s="1348"/>
      <c r="P107" s="1348"/>
      <c r="Q107" s="1348"/>
      <c r="R107" s="1876"/>
      <c r="S107" s="1348"/>
      <c r="T107" s="1348"/>
      <c r="U107" s="708"/>
      <c r="V107" s="1348"/>
      <c r="W107" s="1348"/>
      <c r="X107" s="1348"/>
      <c r="Y107" s="1348"/>
      <c r="Z107" s="1348"/>
      <c r="AA107" s="1872"/>
      <c r="AB107" s="730"/>
      <c r="AC107" s="730"/>
      <c r="AD107" s="730"/>
      <c r="AE107" s="730"/>
    </row>
    <row s="7114" customFormat="1" customHeight="1" ht="11.25">
      <c r="A108" s="1170"/>
      <c r="B108" s="1876"/>
      <c r="C108" s="1876"/>
      <c r="D108" s="499"/>
      <c r="K108" s="1348"/>
      <c r="L108" s="1876"/>
      <c r="M108" s="1876"/>
      <c r="N108" s="1348"/>
      <c r="O108" s="1348"/>
      <c r="P108" s="1348"/>
      <c r="Q108" s="1348"/>
      <c r="R108" s="1876"/>
      <c r="S108" s="1348"/>
      <c r="T108" s="1348"/>
      <c r="U108" s="708"/>
      <c r="V108" s="1348"/>
      <c r="W108" s="1348"/>
      <c r="X108" s="1348"/>
      <c r="Y108" s="1348"/>
      <c r="Z108" s="1348"/>
      <c r="AA108" s="1872"/>
      <c r="AB108" s="730"/>
      <c r="AC108" s="730"/>
      <c r="AD108" s="730"/>
      <c r="AE108" s="730"/>
    </row>
    <row s="7114" customFormat="1" customHeight="1" ht="11.25">
      <c r="A109" s="1170"/>
      <c r="B109" s="1876"/>
      <c r="C109" s="1876"/>
      <c r="D109" s="499"/>
      <c r="K109" s="1348"/>
      <c r="L109" s="1876"/>
      <c r="M109" s="1876"/>
      <c r="N109" s="1348"/>
      <c r="O109" s="1348"/>
      <c r="P109" s="1348"/>
      <c r="Q109" s="1348"/>
      <c r="R109" s="1876"/>
      <c r="S109" s="1348"/>
      <c r="T109" s="1348"/>
      <c r="U109" s="708"/>
      <c r="V109" s="1348"/>
      <c r="W109" s="1348"/>
      <c r="X109" s="1348"/>
      <c r="Y109" s="1348"/>
      <c r="Z109" s="1348"/>
      <c r="AA109" s="1872"/>
      <c r="AB109" s="730"/>
      <c r="AC109" s="730"/>
      <c r="AD109" s="730"/>
      <c r="AE109" s="730"/>
    </row>
    <row s="7114" customFormat="1" customHeight="1" ht="11.25">
      <c r="A110" s="1170"/>
      <c r="B110" s="1876"/>
      <c r="C110" s="1876"/>
      <c r="D110" s="499"/>
      <c r="K110" s="1348"/>
      <c r="L110" s="1876"/>
      <c r="M110" s="1876"/>
      <c r="N110" s="1348"/>
      <c r="O110" s="1348"/>
      <c r="P110" s="1348"/>
      <c r="Q110" s="1348"/>
      <c r="R110" s="1876"/>
      <c r="S110" s="1348"/>
      <c r="T110" s="1348"/>
      <c r="U110" s="708"/>
      <c r="V110" s="1348"/>
      <c r="W110" s="1348"/>
      <c r="X110" s="1348"/>
      <c r="Y110" s="1348"/>
      <c r="Z110" s="1348"/>
      <c r="AA110" s="1872"/>
      <c r="AB110" s="730"/>
      <c r="AC110" s="730"/>
      <c r="AD110" s="730"/>
      <c r="AE110" s="730"/>
    </row>
    <row s="7114" customFormat="1" customHeight="1" ht="11.25">
      <c r="A111" s="1170"/>
      <c r="B111" s="1876"/>
      <c r="C111" s="1876"/>
      <c r="D111" s="499"/>
      <c r="K111" s="1348"/>
      <c r="L111" s="1876"/>
      <c r="M111" s="1876"/>
      <c r="N111" s="1348"/>
      <c r="O111" s="1348"/>
      <c r="P111" s="1348"/>
      <c r="Q111" s="1348"/>
      <c r="R111" s="1876"/>
      <c r="S111" s="1348"/>
      <c r="T111" s="1348"/>
      <c r="U111" s="708"/>
      <c r="V111" s="1348"/>
      <c r="W111" s="1348"/>
      <c r="X111" s="1348"/>
      <c r="Y111" s="1348"/>
      <c r="Z111" s="1348"/>
      <c r="AA111" s="1872"/>
      <c r="AB111" s="730"/>
      <c r="AC111" s="730"/>
      <c r="AD111" s="730"/>
      <c r="AE111" s="730"/>
    </row>
    <row s="7114" customFormat="1" customHeight="1" ht="11.25">
      <c r="A112" s="1170"/>
      <c r="B112" s="1876"/>
      <c r="C112" s="1876"/>
      <c r="D112" s="499"/>
      <c r="K112" s="1348"/>
      <c r="L112" s="1876"/>
      <c r="M112" s="1876"/>
      <c r="N112" s="1348"/>
      <c r="O112" s="1348"/>
      <c r="P112" s="1348"/>
      <c r="Q112" s="1348"/>
      <c r="R112" s="1876"/>
      <c r="S112" s="1348"/>
      <c r="T112" s="1348"/>
      <c r="U112" s="708"/>
      <c r="V112" s="1348"/>
      <c r="W112" s="1348"/>
      <c r="X112" s="1348"/>
      <c r="Y112" s="1348"/>
      <c r="Z112" s="1348"/>
      <c r="AA112" s="1872"/>
      <c r="AB112" s="730"/>
      <c r="AC112" s="730"/>
      <c r="AD112" s="730"/>
      <c r="AE112" s="730"/>
    </row>
    <row s="7114" customFormat="1" customHeight="1" ht="11.25">
      <c r="A113" s="1170"/>
      <c r="B113" s="1876"/>
      <c r="C113" s="1876"/>
      <c r="D113" s="499"/>
      <c r="K113" s="1348"/>
      <c r="L113" s="1876"/>
      <c r="M113" s="1876"/>
      <c r="N113" s="1348"/>
      <c r="O113" s="1348"/>
      <c r="P113" s="1348"/>
      <c r="Q113" s="1348"/>
      <c r="R113" s="1876"/>
      <c r="S113" s="1348"/>
      <c r="T113" s="1348"/>
      <c r="U113" s="708"/>
      <c r="V113" s="1348"/>
      <c r="W113" s="1348"/>
      <c r="X113" s="1348"/>
      <c r="Y113" s="1348"/>
      <c r="Z113" s="1348"/>
      <c r="AA113" s="1872"/>
      <c r="AB113" s="730"/>
      <c r="AC113" s="730"/>
      <c r="AD113" s="730"/>
      <c r="AE113" s="730"/>
    </row>
    <row s="7114" customFormat="1" customHeight="1" ht="11.25">
      <c r="A114" s="1170"/>
      <c r="B114" s="1876"/>
      <c r="C114" s="1876"/>
      <c r="D114" s="499"/>
      <c r="K114" s="1348"/>
      <c r="L114" s="1876"/>
      <c r="M114" s="1876"/>
      <c r="N114" s="1348"/>
      <c r="O114" s="1348"/>
      <c r="P114" s="1348"/>
      <c r="Q114" s="1348"/>
      <c r="R114" s="1876"/>
      <c r="S114" s="1348"/>
      <c r="T114" s="1348"/>
      <c r="U114" s="708"/>
      <c r="V114" s="1348"/>
      <c r="W114" s="1348"/>
      <c r="X114" s="1348"/>
      <c r="Y114" s="1348"/>
      <c r="Z114" s="1348"/>
      <c r="AA114" s="1872"/>
      <c r="AB114" s="730"/>
      <c r="AC114" s="730"/>
      <c r="AD114" s="730"/>
      <c r="AE114" s="730"/>
    </row>
    <row s="7114" customFormat="1" customHeight="1" ht="11.25">
      <c r="A115" s="1170"/>
      <c r="B115" s="1876"/>
      <c r="C115" s="1876"/>
      <c r="D115" s="499"/>
      <c r="K115" s="1348"/>
      <c r="L115" s="1876"/>
      <c r="M115" s="1876"/>
      <c r="N115" s="1348"/>
      <c r="O115" s="1348"/>
      <c r="P115" s="1348"/>
      <c r="Q115" s="1348"/>
      <c r="R115" s="1876"/>
      <c r="S115" s="1348"/>
      <c r="T115" s="1348"/>
      <c r="U115" s="708"/>
      <c r="V115" s="1348"/>
      <c r="W115" s="1348"/>
      <c r="X115" s="1348"/>
      <c r="Y115" s="1348"/>
      <c r="Z115" s="1348"/>
      <c r="AA115" s="1872"/>
      <c r="AB115" s="730"/>
      <c r="AC115" s="730"/>
      <c r="AD115" s="730"/>
      <c r="AE115" s="730"/>
    </row>
    <row s="7114" customFormat="1" customHeight="1" ht="11.25">
      <c r="A116" s="1170"/>
      <c r="B116" s="1876"/>
      <c r="C116" s="1876"/>
      <c r="D116" s="499"/>
      <c r="K116" s="1348"/>
      <c r="L116" s="1876"/>
      <c r="M116" s="1876"/>
      <c r="N116" s="1348"/>
      <c r="O116" s="1348"/>
      <c r="P116" s="1348"/>
      <c r="Q116" s="1348"/>
      <c r="R116" s="1876"/>
      <c r="S116" s="1348"/>
      <c r="T116" s="1348"/>
      <c r="U116" s="708"/>
      <c r="V116" s="1348"/>
      <c r="W116" s="1348"/>
      <c r="X116" s="1348"/>
      <c r="Y116" s="1348"/>
      <c r="Z116" s="1348"/>
      <c r="AA116" s="1872"/>
      <c r="AB116" s="730"/>
      <c r="AC116" s="730"/>
      <c r="AD116" s="730"/>
      <c r="AE116" s="730"/>
    </row>
    <row s="7114" customFormat="1" customHeight="1" ht="11.25">
      <c r="A117" s="1170"/>
      <c r="B117" s="1876"/>
      <c r="C117" s="1876"/>
      <c r="D117" s="499"/>
      <c r="K117" s="1348"/>
      <c r="L117" s="1876"/>
      <c r="M117" s="1876"/>
      <c r="N117" s="1348"/>
      <c r="O117" s="1348"/>
      <c r="P117" s="1348"/>
      <c r="Q117" s="1348"/>
      <c r="R117" s="1876"/>
      <c r="S117" s="1348"/>
      <c r="T117" s="1348"/>
      <c r="U117" s="708"/>
      <c r="V117" s="1348"/>
      <c r="W117" s="1348"/>
      <c r="X117" s="1348"/>
      <c r="Y117" s="1348"/>
      <c r="Z117" s="1348"/>
      <c r="AA117" s="1872"/>
      <c r="AB117" s="730"/>
      <c r="AC117" s="730"/>
      <c r="AD117" s="730"/>
      <c r="AE117" s="730"/>
    </row>
    <row s="7114" customFormat="1" customHeight="1" ht="11.25">
      <c r="A118" s="1170"/>
      <c r="B118" s="1876"/>
      <c r="C118" s="1876"/>
      <c r="D118" s="499"/>
      <c r="K118" s="1348"/>
      <c r="L118" s="1876"/>
      <c r="M118" s="1876"/>
      <c r="N118" s="1348"/>
      <c r="O118" s="1348"/>
      <c r="P118" s="1348"/>
      <c r="Q118" s="1348"/>
      <c r="R118" s="1876"/>
      <c r="S118" s="1348"/>
      <c r="T118" s="1348"/>
      <c r="U118" s="708"/>
      <c r="V118" s="1348"/>
      <c r="W118" s="1348"/>
      <c r="X118" s="1348"/>
      <c r="Y118" s="1348"/>
      <c r="Z118" s="1348"/>
      <c r="AA118" s="1872"/>
      <c r="AB118" s="730"/>
      <c r="AC118" s="730"/>
      <c r="AD118" s="730"/>
      <c r="AE118" s="730"/>
    </row>
    <row s="7114" customFormat="1" customHeight="1" ht="11.25">
      <c r="A119" s="1170"/>
      <c r="B119" s="1876"/>
      <c r="C119" s="1876"/>
      <c r="D119" s="499"/>
      <c r="K119" s="1348"/>
      <c r="L119" s="1876"/>
      <c r="M119" s="1876"/>
      <c r="N119" s="1348"/>
      <c r="O119" s="1348"/>
      <c r="P119" s="1348"/>
      <c r="Q119" s="1348"/>
      <c r="R119" s="1876"/>
      <c r="S119" s="1348"/>
      <c r="T119" s="1348"/>
      <c r="U119" s="708"/>
      <c r="V119" s="1348"/>
      <c r="W119" s="1348"/>
      <c r="X119" s="1348"/>
      <c r="Y119" s="1348"/>
      <c r="Z119" s="1348"/>
      <c r="AA119" s="1872"/>
      <c r="AB119" s="730"/>
      <c r="AC119" s="730"/>
      <c r="AD119" s="730"/>
      <c r="AE119" s="730"/>
    </row>
    <row s="7114" customFormat="1" customHeight="1" ht="11.25">
      <c r="A120" s="1170"/>
      <c r="B120" s="1876"/>
      <c r="C120" s="1876"/>
      <c r="D120" s="499"/>
      <c r="K120" s="1348"/>
      <c r="L120" s="1876"/>
      <c r="M120" s="1876"/>
      <c r="N120" s="1348"/>
      <c r="O120" s="1348"/>
      <c r="P120" s="1348"/>
      <c r="Q120" s="1348"/>
      <c r="R120" s="1876"/>
      <c r="S120" s="1348"/>
      <c r="T120" s="1348"/>
      <c r="U120" s="708"/>
      <c r="V120" s="1348"/>
      <c r="W120" s="1348"/>
      <c r="X120" s="1348"/>
      <c r="Y120" s="1348"/>
      <c r="Z120" s="1348"/>
      <c r="AA120" s="1872"/>
      <c r="AB120" s="730"/>
      <c r="AC120" s="730"/>
      <c r="AD120" s="730"/>
      <c r="AE120" s="730"/>
    </row>
    <row s="7114" customFormat="1" customHeight="1" ht="11.25">
      <c r="A121" s="1170"/>
      <c r="B121" s="1876"/>
      <c r="C121" s="1876"/>
      <c r="D121" s="499"/>
      <c r="K121" s="1348"/>
      <c r="L121" s="1876"/>
      <c r="M121" s="1876"/>
      <c r="N121" s="1348"/>
      <c r="O121" s="1348"/>
      <c r="P121" s="1348"/>
      <c r="Q121" s="1348"/>
      <c r="R121" s="1876"/>
      <c r="S121" s="1348"/>
      <c r="T121" s="1348"/>
      <c r="U121" s="708"/>
      <c r="V121" s="1348"/>
      <c r="W121" s="1348"/>
      <c r="X121" s="1348"/>
      <c r="Y121" s="1348"/>
      <c r="Z121" s="1348"/>
      <c r="AA121" s="1872"/>
      <c r="AB121" s="730"/>
      <c r="AC121" s="730"/>
      <c r="AD121" s="730"/>
      <c r="AE121" s="730"/>
    </row>
    <row s="7114" customFormat="1" customHeight="1" ht="11.25">
      <c r="A122" s="1170"/>
      <c r="B122" s="1876"/>
      <c r="C122" s="1876"/>
      <c r="D122" s="499"/>
      <c r="K122" s="1348"/>
      <c r="L122" s="1876"/>
      <c r="M122" s="1876"/>
      <c r="N122" s="1348"/>
      <c r="O122" s="1348"/>
      <c r="P122" s="1348"/>
      <c r="Q122" s="1348"/>
      <c r="R122" s="1876"/>
      <c r="S122" s="1348"/>
      <c r="T122" s="1348"/>
      <c r="U122" s="708"/>
      <c r="V122" s="1348"/>
      <c r="W122" s="1348"/>
      <c r="X122" s="1348"/>
      <c r="Y122" s="1348"/>
      <c r="Z122" s="1348"/>
      <c r="AA122" s="1872"/>
      <c r="AB122" s="730"/>
      <c r="AC122" s="730"/>
      <c r="AD122" s="730"/>
      <c r="AE122" s="730"/>
    </row>
    <row s="7114" customFormat="1" customHeight="1" ht="11.25">
      <c r="A123" s="1170"/>
      <c r="B123" s="1876"/>
      <c r="C123" s="1876"/>
      <c r="D123" s="499"/>
      <c r="K123" s="1348"/>
      <c r="L123" s="1876"/>
      <c r="M123" s="1876"/>
      <c r="N123" s="1348"/>
      <c r="O123" s="1348"/>
      <c r="P123" s="1348"/>
      <c r="Q123" s="1348"/>
      <c r="R123" s="1876"/>
      <c r="S123" s="1348"/>
      <c r="T123" s="1348"/>
      <c r="U123" s="708"/>
      <c r="V123" s="1348"/>
      <c r="W123" s="1348"/>
      <c r="X123" s="1348"/>
      <c r="Y123" s="1348"/>
      <c r="Z123" s="1348"/>
      <c r="AA123" s="1872"/>
      <c r="AB123" s="730"/>
      <c r="AC123" s="730"/>
      <c r="AD123" s="730"/>
      <c r="AE123" s="730"/>
    </row>
    <row s="7114" customFormat="1" customHeight="1" ht="11.25">
      <c r="A124" s="1170"/>
      <c r="B124" s="1876"/>
      <c r="C124" s="1876"/>
      <c r="D124" s="499"/>
      <c r="K124" s="1348"/>
      <c r="L124" s="1876"/>
      <c r="M124" s="1876"/>
      <c r="N124" s="1348"/>
      <c r="O124" s="1348"/>
      <c r="P124" s="1348"/>
      <c r="Q124" s="1348"/>
      <c r="R124" s="1876"/>
      <c r="S124" s="1348"/>
      <c r="T124" s="1348"/>
      <c r="U124" s="708"/>
      <c r="V124" s="1348"/>
      <c r="W124" s="1348"/>
      <c r="X124" s="1348"/>
      <c r="Y124" s="1348"/>
      <c r="Z124" s="1348"/>
      <c r="AA124" s="1872"/>
      <c r="AB124" s="730"/>
      <c r="AC124" s="730"/>
      <c r="AD124" s="730"/>
      <c r="AE124" s="730"/>
    </row>
    <row s="7114" customFormat="1" customHeight="1" ht="11.25">
      <c r="A125" s="1170"/>
      <c r="B125" s="1876"/>
      <c r="C125" s="1876"/>
      <c r="D125" s="499"/>
      <c r="K125" s="1348"/>
      <c r="L125" s="1876"/>
      <c r="M125" s="1876"/>
      <c r="N125" s="1348"/>
      <c r="O125" s="1348"/>
      <c r="P125" s="1348"/>
      <c r="Q125" s="1348"/>
      <c r="R125" s="1876"/>
      <c r="S125" s="1348"/>
      <c r="T125" s="1348"/>
      <c r="U125" s="708"/>
      <c r="V125" s="1348"/>
      <c r="W125" s="1348"/>
      <c r="X125" s="1348"/>
      <c r="Y125" s="1348"/>
      <c r="Z125" s="1348"/>
      <c r="AA125" s="1872"/>
      <c r="AB125" s="730"/>
      <c r="AC125" s="730"/>
      <c r="AD125" s="730"/>
      <c r="AE125" s="730"/>
    </row>
    <row s="7114" customFormat="1" customHeight="1" ht="11.25">
      <c r="A126" s="1170"/>
      <c r="B126" s="1876"/>
      <c r="C126" s="1876"/>
      <c r="D126" s="499"/>
      <c r="K126" s="1348"/>
      <c r="L126" s="1876"/>
      <c r="M126" s="1876"/>
      <c r="N126" s="1348"/>
      <c r="O126" s="1348"/>
      <c r="P126" s="1348"/>
      <c r="Q126" s="1348"/>
      <c r="R126" s="1876"/>
      <c r="S126" s="1348"/>
      <c r="T126" s="1348"/>
      <c r="U126" s="708"/>
      <c r="V126" s="1348"/>
      <c r="W126" s="1348"/>
      <c r="X126" s="1348"/>
      <c r="Y126" s="1348"/>
      <c r="Z126" s="1348"/>
      <c r="AA126" s="1872"/>
      <c r="AB126" s="730"/>
      <c r="AC126" s="730"/>
      <c r="AD126" s="730"/>
      <c r="AE126" s="730"/>
    </row>
    <row s="7114" customFormat="1" customHeight="1" ht="11.25">
      <c r="A127" s="1170"/>
      <c r="B127" s="1876"/>
      <c r="C127" s="1876"/>
      <c r="D127" s="499"/>
      <c r="K127" s="1348"/>
      <c r="L127" s="1876"/>
      <c r="M127" s="1876"/>
      <c r="N127" s="1348"/>
      <c r="O127" s="1348"/>
      <c r="P127" s="1348"/>
      <c r="Q127" s="1348"/>
      <c r="R127" s="1876"/>
      <c r="S127" s="1348"/>
      <c r="T127" s="1348"/>
      <c r="U127" s="708"/>
      <c r="V127" s="1348"/>
      <c r="W127" s="1348"/>
      <c r="X127" s="1348"/>
      <c r="Y127" s="1348"/>
      <c r="Z127" s="1348"/>
      <c r="AA127" s="1872"/>
      <c r="AB127" s="730"/>
      <c r="AC127" s="730"/>
      <c r="AD127" s="730"/>
      <c r="AE127" s="730"/>
    </row>
    <row s="7114" customFormat="1" customHeight="1" ht="11.25">
      <c r="A128" s="1170"/>
      <c r="B128" s="1876"/>
      <c r="C128" s="1876"/>
      <c r="D128" s="499"/>
      <c r="K128" s="1348"/>
      <c r="L128" s="1876"/>
      <c r="M128" s="1876"/>
      <c r="N128" s="1348"/>
      <c r="O128" s="1348"/>
      <c r="P128" s="1348"/>
      <c r="Q128" s="1348"/>
      <c r="R128" s="1876"/>
      <c r="S128" s="1348"/>
      <c r="T128" s="1348"/>
      <c r="U128" s="708"/>
      <c r="V128" s="1348"/>
      <c r="W128" s="1348"/>
      <c r="X128" s="1348"/>
      <c r="Y128" s="1348"/>
      <c r="Z128" s="1348"/>
      <c r="AA128" s="1872"/>
      <c r="AB128" s="730"/>
      <c r="AC128" s="730"/>
      <c r="AD128" s="730"/>
      <c r="AE128" s="730"/>
    </row>
    <row s="7114" customFormat="1" customHeight="1" ht="11.25">
      <c r="A129" s="1170"/>
      <c r="B129" s="1876"/>
      <c r="C129" s="1876"/>
      <c r="D129" s="499"/>
      <c r="K129" s="1348"/>
      <c r="L129" s="1876"/>
      <c r="M129" s="1876"/>
      <c r="N129" s="1348"/>
      <c r="O129" s="1348"/>
      <c r="P129" s="1348"/>
      <c r="Q129" s="1348"/>
      <c r="R129" s="1876"/>
      <c r="S129" s="1348"/>
      <c r="T129" s="1348"/>
      <c r="U129" s="708"/>
      <c r="V129" s="1348"/>
      <c r="W129" s="1348"/>
      <c r="X129" s="1348"/>
      <c r="Y129" s="1348"/>
      <c r="Z129" s="1348"/>
      <c r="AA129" s="1872"/>
      <c r="AB129" s="730"/>
      <c r="AC129" s="730"/>
      <c r="AD129" s="730"/>
      <c r="AE129" s="730"/>
    </row>
    <row s="7114" customFormat="1" customHeight="1" ht="11.25">
      <c r="A130" s="1170"/>
      <c r="B130" s="1876"/>
      <c r="C130" s="1876"/>
      <c r="D130" s="499"/>
      <c r="K130" s="1348"/>
      <c r="L130" s="1876"/>
      <c r="M130" s="1876"/>
      <c r="N130" s="1348"/>
      <c r="O130" s="1348"/>
      <c r="P130" s="1348"/>
      <c r="Q130" s="1348"/>
      <c r="R130" s="1876"/>
      <c r="S130" s="1348"/>
      <c r="T130" s="1348"/>
      <c r="U130" s="708"/>
      <c r="V130" s="1348"/>
      <c r="W130" s="1348"/>
      <c r="X130" s="1348"/>
      <c r="Y130" s="1348"/>
      <c r="Z130" s="1348"/>
      <c r="AA130" s="1872"/>
      <c r="AB130" s="730"/>
      <c r="AC130" s="730"/>
      <c r="AD130" s="730"/>
      <c r="AE130" s="730"/>
    </row>
    <row s="7114" customFormat="1" customHeight="1" ht="11.25">
      <c r="A131" s="1170"/>
      <c r="B131" s="1876"/>
      <c r="C131" s="1876"/>
      <c r="D131" s="499"/>
      <c r="K131" s="1348"/>
      <c r="L131" s="1876"/>
      <c r="M131" s="1876"/>
      <c r="N131" s="1348"/>
      <c r="O131" s="1348"/>
      <c r="P131" s="1348"/>
      <c r="Q131" s="1348"/>
      <c r="R131" s="1876"/>
      <c r="S131" s="1348"/>
      <c r="T131" s="1348"/>
      <c r="U131" s="708"/>
      <c r="V131" s="1348"/>
      <c r="W131" s="1348"/>
      <c r="X131" s="1348"/>
      <c r="Y131" s="1348"/>
      <c r="Z131" s="1348"/>
      <c r="AA131" s="1872"/>
      <c r="AB131" s="730"/>
      <c r="AC131" s="730"/>
      <c r="AD131" s="730"/>
      <c r="AE131" s="730"/>
    </row>
    <row s="7114" customFormat="1" customHeight="1" ht="11.25">
      <c r="A132" s="1170"/>
      <c r="B132" s="1876"/>
      <c r="C132" s="1876"/>
      <c r="D132" s="499"/>
      <c r="K132" s="1348"/>
      <c r="L132" s="1876"/>
      <c r="M132" s="1876"/>
      <c r="N132" s="1348"/>
      <c r="O132" s="1348"/>
      <c r="P132" s="1348"/>
      <c r="Q132" s="1348"/>
      <c r="R132" s="1876"/>
      <c r="S132" s="1348"/>
      <c r="T132" s="1348"/>
      <c r="U132" s="708"/>
      <c r="V132" s="1348"/>
      <c r="W132" s="1348"/>
      <c r="X132" s="1348"/>
      <c r="Y132" s="1348"/>
      <c r="Z132" s="1348"/>
      <c r="AA132" s="1872"/>
      <c r="AB132" s="730"/>
      <c r="AC132" s="730"/>
      <c r="AD132" s="730"/>
      <c r="AE132" s="730"/>
    </row>
    <row s="7114" customFormat="1" customHeight="1" ht="11.25">
      <c r="A133" s="1170"/>
      <c r="B133" s="1876"/>
      <c r="C133" s="1876"/>
      <c r="D133" s="499"/>
      <c r="K133" s="1348"/>
      <c r="L133" s="1876"/>
      <c r="M133" s="1876"/>
      <c r="N133" s="1348"/>
      <c r="O133" s="1348"/>
      <c r="P133" s="1348"/>
      <c r="Q133" s="1348"/>
      <c r="R133" s="1876"/>
      <c r="S133" s="1348"/>
      <c r="T133" s="1348"/>
      <c r="U133" s="708"/>
      <c r="V133" s="1348"/>
      <c r="W133" s="1348"/>
      <c r="X133" s="1348"/>
      <c r="Y133" s="1348"/>
      <c r="Z133" s="1348"/>
      <c r="AA133" s="1872"/>
      <c r="AB133" s="730"/>
      <c r="AC133" s="730"/>
      <c r="AD133" s="730"/>
      <c r="AE133" s="730"/>
    </row>
    <row s="7114" customFormat="1" customHeight="1" ht="11.25">
      <c r="A134" s="1170"/>
      <c r="B134" s="1876"/>
      <c r="C134" s="1876"/>
      <c r="D134" s="499"/>
      <c r="K134" s="1348"/>
      <c r="L134" s="1876"/>
      <c r="M134" s="1876"/>
      <c r="N134" s="1348"/>
      <c r="O134" s="1348"/>
      <c r="P134" s="1348"/>
      <c r="Q134" s="1348"/>
      <c r="R134" s="1876"/>
      <c r="S134" s="1348"/>
      <c r="T134" s="1348"/>
      <c r="U134" s="708"/>
      <c r="V134" s="1348"/>
      <c r="W134" s="1348"/>
      <c r="X134" s="1348"/>
      <c r="Y134" s="1348"/>
      <c r="Z134" s="1348"/>
      <c r="AA134" s="1872"/>
      <c r="AB134" s="730"/>
      <c r="AC134" s="730"/>
      <c r="AD134" s="730"/>
      <c r="AE134" s="730"/>
    </row>
    <row s="7114" customFormat="1" customHeight="1" ht="11.25">
      <c r="A135" s="1170"/>
      <c r="B135" s="1876"/>
      <c r="C135" s="1876"/>
      <c r="D135" s="499"/>
      <c r="K135" s="1348"/>
      <c r="L135" s="1876"/>
      <c r="M135" s="1876"/>
      <c r="N135" s="1348"/>
      <c r="O135" s="1348"/>
      <c r="P135" s="1348"/>
      <c r="Q135" s="1348"/>
      <c r="R135" s="1876"/>
      <c r="S135" s="1348"/>
      <c r="T135" s="1348"/>
      <c r="U135" s="708"/>
      <c r="V135" s="1348"/>
      <c r="W135" s="1348"/>
      <c r="X135" s="1348"/>
      <c r="Y135" s="1348"/>
      <c r="Z135" s="1348"/>
      <c r="AA135" s="1872"/>
      <c r="AB135" s="730"/>
      <c r="AC135" s="730"/>
      <c r="AD135" s="730"/>
      <c r="AE135" s="730"/>
    </row>
    <row s="7114" customFormat="1" customHeight="1" ht="11.25">
      <c r="A136" s="1170"/>
      <c r="B136" s="1876"/>
      <c r="C136" s="1876"/>
      <c r="D136" s="499"/>
      <c r="K136" s="1348"/>
      <c r="L136" s="1876"/>
      <c r="M136" s="1876"/>
      <c r="N136" s="1348"/>
      <c r="O136" s="1348"/>
      <c r="P136" s="1348"/>
      <c r="Q136" s="1348"/>
      <c r="R136" s="1876"/>
      <c r="S136" s="1348"/>
      <c r="T136" s="1348"/>
      <c r="U136" s="708"/>
      <c r="V136" s="1348"/>
      <c r="W136" s="1348"/>
      <c r="X136" s="1348"/>
      <c r="Y136" s="1348"/>
      <c r="Z136" s="1348"/>
      <c r="AA136" s="1872"/>
      <c r="AB136" s="730"/>
      <c r="AC136" s="730"/>
      <c r="AD136" s="730"/>
      <c r="AE136" s="730"/>
    </row>
    <row s="7114" customFormat="1" customHeight="1" ht="11.25">
      <c r="A137" s="1170"/>
      <c r="B137" s="1876"/>
      <c r="C137" s="1876"/>
      <c r="D137" s="499"/>
      <c r="K137" s="1348"/>
      <c r="L137" s="1876"/>
      <c r="M137" s="1876"/>
      <c r="N137" s="1348"/>
      <c r="O137" s="1348"/>
      <c r="P137" s="1348"/>
      <c r="Q137" s="1348"/>
      <c r="R137" s="1876"/>
      <c r="S137" s="1348"/>
      <c r="T137" s="1348"/>
      <c r="U137" s="708"/>
      <c r="V137" s="1348"/>
      <c r="W137" s="1348"/>
      <c r="X137" s="1348"/>
      <c r="Y137" s="1348"/>
      <c r="Z137" s="1348"/>
      <c r="AA137" s="1872"/>
      <c r="AB137" s="730"/>
      <c r="AC137" s="730"/>
      <c r="AD137" s="730"/>
      <c r="AE137" s="730"/>
    </row>
    <row s="7114" customFormat="1" customHeight="1" ht="11.25">
      <c r="A138" s="1170"/>
      <c r="B138" s="1876"/>
      <c r="C138" s="1876"/>
      <c r="D138" s="499"/>
      <c r="K138" s="1348"/>
      <c r="L138" s="1876"/>
      <c r="M138" s="1876"/>
      <c r="N138" s="1348"/>
      <c r="O138" s="1348"/>
      <c r="P138" s="1348"/>
      <c r="Q138" s="1348"/>
      <c r="R138" s="1876"/>
      <c r="S138" s="1348"/>
      <c r="T138" s="1348"/>
      <c r="U138" s="708"/>
      <c r="V138" s="1348"/>
      <c r="W138" s="1348"/>
      <c r="X138" s="1348"/>
      <c r="Y138" s="1348"/>
      <c r="Z138" s="1348"/>
      <c r="AA138" s="1872"/>
      <c r="AB138" s="730"/>
      <c r="AC138" s="730"/>
      <c r="AD138" s="730"/>
      <c r="AE138" s="730"/>
    </row>
    <row s="7114" customFormat="1" customHeight="1" ht="11.25">
      <c r="A139" s="1170"/>
      <c r="B139" s="1876"/>
      <c r="C139" s="1876"/>
      <c r="D139" s="499"/>
      <c r="K139" s="1348"/>
      <c r="L139" s="1876"/>
      <c r="M139" s="1876"/>
      <c r="N139" s="1348"/>
      <c r="O139" s="1348"/>
      <c r="P139" s="1348"/>
      <c r="Q139" s="1348"/>
      <c r="R139" s="1876"/>
      <c r="S139" s="1348"/>
      <c r="T139" s="1348"/>
      <c r="U139" s="708"/>
      <c r="V139" s="1348"/>
      <c r="W139" s="1348"/>
      <c r="X139" s="1348"/>
      <c r="Y139" s="1348"/>
      <c r="Z139" s="1348"/>
      <c r="AA139" s="1872"/>
      <c r="AB139" s="730"/>
      <c r="AC139" s="730"/>
      <c r="AD139" s="730"/>
      <c r="AE139" s="730"/>
    </row>
    <row s="7114" customFormat="1" customHeight="1" ht="11.25">
      <c r="A140" s="1170"/>
      <c r="B140" s="1876"/>
      <c r="C140" s="1876"/>
      <c r="D140" s="499"/>
      <c r="K140" s="1348"/>
      <c r="L140" s="1876"/>
      <c r="M140" s="1876"/>
      <c r="N140" s="1348"/>
      <c r="O140" s="1348"/>
      <c r="P140" s="1348"/>
      <c r="Q140" s="1348"/>
      <c r="R140" s="1876"/>
      <c r="S140" s="1348"/>
      <c r="T140" s="1348"/>
      <c r="U140" s="708"/>
      <c r="V140" s="1348"/>
      <c r="W140" s="1348"/>
      <c r="X140" s="1348"/>
      <c r="Y140" s="1348"/>
      <c r="Z140" s="1348"/>
      <c r="AA140" s="1872"/>
      <c r="AB140" s="730"/>
      <c r="AC140" s="730"/>
      <c r="AD140" s="730"/>
      <c r="AE140" s="730"/>
    </row>
    <row s="7114" customFormat="1" customHeight="1" ht="11.25">
      <c r="A141" s="1170"/>
      <c r="B141" s="1876"/>
      <c r="C141" s="1876"/>
      <c r="D141" s="499"/>
      <c r="K141" s="1348"/>
      <c r="L141" s="1876"/>
      <c r="M141" s="1876"/>
      <c r="N141" s="1348"/>
      <c r="O141" s="1348"/>
      <c r="P141" s="1348"/>
      <c r="Q141" s="1348"/>
      <c r="R141" s="1876"/>
      <c r="S141" s="1348"/>
      <c r="T141" s="1348"/>
      <c r="U141" s="708"/>
      <c r="V141" s="1348"/>
      <c r="W141" s="1348"/>
      <c r="X141" s="1348"/>
      <c r="Y141" s="1348"/>
      <c r="Z141" s="1348"/>
      <c r="AA141" s="1872"/>
      <c r="AB141" s="730"/>
      <c r="AC141" s="730"/>
      <c r="AD141" s="730"/>
      <c r="AE141" s="730"/>
    </row>
    <row s="7114" customFormat="1" customHeight="1" ht="11.25">
      <c r="A142" s="1170"/>
      <c r="B142" s="1876"/>
      <c r="C142" s="1876"/>
      <c r="D142" s="499"/>
      <c r="K142" s="1348"/>
      <c r="L142" s="1876"/>
      <c r="M142" s="1876"/>
      <c r="N142" s="1348"/>
      <c r="O142" s="1348"/>
      <c r="P142" s="1348"/>
      <c r="Q142" s="1348"/>
      <c r="R142" s="1876"/>
      <c r="S142" s="1348"/>
      <c r="T142" s="1348"/>
      <c r="U142" s="708"/>
      <c r="V142" s="1348"/>
      <c r="W142" s="1348"/>
      <c r="X142" s="1348"/>
      <c r="Y142" s="1348"/>
      <c r="Z142" s="1348"/>
      <c r="AA142" s="1872"/>
      <c r="AB142" s="730"/>
      <c r="AC142" s="730"/>
      <c r="AD142" s="730"/>
      <c r="AE142" s="730"/>
    </row>
    <row s="7114" customFormat="1" customHeight="1" ht="11.25">
      <c r="A143" s="1170"/>
      <c r="B143" s="1876"/>
      <c r="C143" s="1876"/>
      <c r="D143" s="499"/>
      <c r="K143" s="1348"/>
      <c r="L143" s="1876"/>
      <c r="M143" s="1876"/>
      <c r="N143" s="1348"/>
      <c r="O143" s="1348"/>
      <c r="P143" s="1348"/>
      <c r="Q143" s="1348"/>
      <c r="R143" s="1876"/>
      <c r="S143" s="1348"/>
      <c r="T143" s="1348"/>
      <c r="U143" s="708"/>
      <c r="V143" s="1348"/>
      <c r="W143" s="1348"/>
      <c r="X143" s="1348"/>
      <c r="Y143" s="1348"/>
      <c r="Z143" s="1348"/>
      <c r="AA143" s="1872"/>
      <c r="AB143" s="730"/>
      <c r="AC143" s="730"/>
      <c r="AD143" s="730"/>
      <c r="AE143" s="730"/>
    </row>
    <row s="7114" customFormat="1" customHeight="1" ht="11.25">
      <c r="A144" s="1170"/>
      <c r="B144" s="1876"/>
      <c r="C144" s="1876"/>
      <c r="D144" s="499"/>
      <c r="K144" s="1348"/>
      <c r="L144" s="1876"/>
      <c r="M144" s="1876"/>
      <c r="N144" s="1348"/>
      <c r="O144" s="1348"/>
      <c r="P144" s="1348"/>
      <c r="Q144" s="1348"/>
      <c r="R144" s="1876"/>
      <c r="S144" s="1348"/>
      <c r="T144" s="1348"/>
      <c r="U144" s="708"/>
      <c r="V144" s="1348"/>
      <c r="W144" s="1348"/>
      <c r="X144" s="1348"/>
      <c r="Y144" s="1348"/>
      <c r="Z144" s="1348"/>
      <c r="AA144" s="1872"/>
      <c r="AB144" s="730"/>
      <c r="AC144" s="730"/>
      <c r="AD144" s="730"/>
      <c r="AE144" s="730"/>
    </row>
    <row s="7114" customFormat="1" customHeight="1" ht="11.25">
      <c r="A145" s="1170"/>
      <c r="B145" s="1876"/>
      <c r="C145" s="1876"/>
      <c r="D145" s="499"/>
      <c r="K145" s="1348"/>
      <c r="L145" s="1876"/>
      <c r="M145" s="1876"/>
      <c r="N145" s="1348"/>
      <c r="O145" s="1348"/>
      <c r="P145" s="1348"/>
      <c r="Q145" s="1348"/>
      <c r="R145" s="1876"/>
      <c r="S145" s="1348"/>
      <c r="T145" s="1348"/>
      <c r="U145" s="708"/>
      <c r="V145" s="1348"/>
      <c r="W145" s="1348"/>
      <c r="X145" s="1348"/>
      <c r="Y145" s="1348"/>
      <c r="Z145" s="1348"/>
      <c r="AA145" s="1872"/>
      <c r="AB145" s="730"/>
      <c r="AC145" s="730"/>
      <c r="AD145" s="730"/>
      <c r="AE145" s="730"/>
    </row>
    <row s="7114" customFormat="1" customHeight="1" ht="11.25">
      <c r="A146" s="1170"/>
      <c r="B146" s="1876"/>
      <c r="C146" s="1876"/>
      <c r="D146" s="499"/>
      <c r="K146" s="1348"/>
      <c r="L146" s="1876"/>
      <c r="M146" s="1876"/>
      <c r="N146" s="1348"/>
      <c r="O146" s="1348"/>
      <c r="P146" s="1348"/>
      <c r="Q146" s="1348"/>
      <c r="R146" s="1876"/>
      <c r="S146" s="1348"/>
      <c r="T146" s="1348"/>
      <c r="U146" s="708"/>
      <c r="V146" s="1348"/>
      <c r="W146" s="1348"/>
      <c r="X146" s="1348"/>
      <c r="Y146" s="1348"/>
      <c r="Z146" s="1348"/>
      <c r="AA146" s="1872"/>
      <c r="AB146" s="730"/>
      <c r="AC146" s="730"/>
      <c r="AD146" s="730"/>
      <c r="AE146" s="730"/>
    </row>
    <row s="7114" customFormat="1" customHeight="1" ht="11.25">
      <c r="A147" s="1170"/>
      <c r="B147" s="1876"/>
      <c r="C147" s="1876"/>
      <c r="D147" s="499"/>
      <c r="K147" s="1348"/>
      <c r="L147" s="1876"/>
      <c r="M147" s="1876"/>
      <c r="N147" s="1348"/>
      <c r="O147" s="1348"/>
      <c r="P147" s="1348"/>
      <c r="Q147" s="1348"/>
      <c r="R147" s="1876"/>
      <c r="S147" s="1348"/>
      <c r="T147" s="1348"/>
      <c r="U147" s="708"/>
      <c r="V147" s="1348"/>
      <c r="W147" s="1348"/>
      <c r="X147" s="1348"/>
      <c r="Y147" s="1348"/>
      <c r="Z147" s="1348"/>
      <c r="AA147" s="1872"/>
      <c r="AB147" s="730"/>
      <c r="AC147" s="730"/>
      <c r="AD147" s="730"/>
      <c r="AE147" s="730"/>
    </row>
    <row s="7114" customFormat="1" customHeight="1" ht="11.25">
      <c r="A148" s="1170"/>
      <c r="B148" s="1876"/>
      <c r="C148" s="1876"/>
      <c r="D148" s="499"/>
      <c r="K148" s="1348"/>
      <c r="L148" s="1876"/>
      <c r="M148" s="1876"/>
      <c r="N148" s="1348"/>
      <c r="O148" s="1348"/>
      <c r="P148" s="1348"/>
      <c r="Q148" s="1348"/>
      <c r="R148" s="1876"/>
      <c r="S148" s="1348"/>
      <c r="T148" s="1348"/>
      <c r="U148" s="708"/>
      <c r="V148" s="1348"/>
      <c r="W148" s="1348"/>
      <c r="X148" s="1348"/>
      <c r="Y148" s="1348"/>
      <c r="Z148" s="1348"/>
      <c r="AA148" s="1872"/>
      <c r="AB148" s="730"/>
      <c r="AC148" s="730"/>
      <c r="AD148" s="730"/>
      <c r="AE148" s="730"/>
    </row>
    <row s="7114" customFormat="1" customHeight="1" ht="11.25">
      <c r="A149" s="1170"/>
      <c r="B149" s="1876"/>
      <c r="C149" s="1876"/>
      <c r="D149" s="499"/>
      <c r="K149" s="1348"/>
      <c r="L149" s="1876"/>
      <c r="M149" s="1876"/>
      <c r="N149" s="1348"/>
      <c r="O149" s="1348"/>
      <c r="P149" s="1348"/>
      <c r="Q149" s="1348"/>
      <c r="R149" s="1876"/>
      <c r="S149" s="1348"/>
      <c r="T149" s="1348"/>
      <c r="U149" s="708"/>
      <c r="V149" s="1348"/>
      <c r="W149" s="1348"/>
      <c r="X149" s="1348"/>
      <c r="Y149" s="1348"/>
      <c r="Z149" s="1348"/>
      <c r="AA149" s="1872"/>
      <c r="AB149" s="730"/>
      <c r="AC149" s="730"/>
      <c r="AD149" s="730"/>
      <c r="AE149" s="730"/>
    </row>
    <row s="7114" customFormat="1" customHeight="1" ht="11.25">
      <c r="A150" s="1170"/>
      <c r="B150" s="1876"/>
      <c r="C150" s="1876"/>
      <c r="D150" s="499"/>
      <c r="K150" s="1348"/>
      <c r="L150" s="1876"/>
      <c r="M150" s="1876"/>
      <c r="N150" s="1348"/>
      <c r="O150" s="1348"/>
      <c r="P150" s="1348"/>
      <c r="Q150" s="1348"/>
      <c r="R150" s="1876"/>
      <c r="S150" s="1348"/>
      <c r="T150" s="1348"/>
      <c r="U150" s="708"/>
      <c r="V150" s="1348"/>
      <c r="W150" s="1348"/>
      <c r="X150" s="1348"/>
      <c r="Y150" s="1348"/>
      <c r="Z150" s="1348"/>
      <c r="AA150" s="1872"/>
      <c r="AB150" s="730"/>
      <c r="AC150" s="730"/>
      <c r="AD150" s="730"/>
      <c r="AE150" s="730"/>
    </row>
    <row s="7114" customFormat="1" customHeight="1" ht="11.25">
      <c r="A151" s="1170"/>
      <c r="B151" s="1876"/>
      <c r="C151" s="1876"/>
      <c r="D151" s="499"/>
      <c r="K151" s="1348"/>
      <c r="L151" s="1876"/>
      <c r="M151" s="1876"/>
      <c r="N151" s="1348"/>
      <c r="O151" s="1348"/>
      <c r="P151" s="1348"/>
      <c r="Q151" s="1348"/>
      <c r="R151" s="1876"/>
      <c r="S151" s="1348"/>
      <c r="T151" s="1348"/>
      <c r="U151" s="708"/>
      <c r="V151" s="1348"/>
      <c r="W151" s="1348"/>
      <c r="X151" s="1348"/>
      <c r="Y151" s="1348"/>
      <c r="Z151" s="1348"/>
      <c r="AA151" s="1872"/>
      <c r="AB151" s="730"/>
      <c r="AC151" s="730"/>
      <c r="AD151" s="730"/>
      <c r="AE151" s="730"/>
    </row>
    <row s="7114" customFormat="1" customHeight="1" ht="11.25">
      <c r="A152" s="1170"/>
      <c r="B152" s="1876"/>
      <c r="C152" s="1876"/>
      <c r="D152" s="499"/>
      <c r="K152" s="1348"/>
      <c r="L152" s="1876"/>
      <c r="M152" s="1876"/>
      <c r="N152" s="1348"/>
      <c r="O152" s="1348"/>
      <c r="P152" s="1348"/>
      <c r="Q152" s="1348"/>
      <c r="R152" s="1876"/>
      <c r="S152" s="1348"/>
      <c r="T152" s="1348"/>
      <c r="U152" s="708"/>
      <c r="V152" s="1348"/>
      <c r="W152" s="1348"/>
      <c r="X152" s="1348"/>
      <c r="Y152" s="1348"/>
      <c r="Z152" s="1348"/>
      <c r="AA152" s="1872"/>
      <c r="AB152" s="730"/>
      <c r="AC152" s="730"/>
      <c r="AD152" s="730"/>
      <c r="AE152" s="730"/>
    </row>
    <row s="7114" customFormat="1" customHeight="1" ht="11.25">
      <c r="A153" s="1170"/>
      <c r="B153" s="1876"/>
      <c r="C153" s="1876"/>
      <c r="D153" s="499"/>
      <c r="K153" s="1348"/>
      <c r="L153" s="1876"/>
      <c r="M153" s="1876"/>
      <c r="N153" s="1348"/>
      <c r="O153" s="1348"/>
      <c r="P153" s="1348"/>
      <c r="Q153" s="1348"/>
      <c r="R153" s="1876"/>
      <c r="S153" s="1348"/>
      <c r="T153" s="1348"/>
      <c r="U153" s="708"/>
      <c r="V153" s="1348"/>
      <c r="W153" s="1348"/>
      <c r="X153" s="1348"/>
      <c r="Y153" s="1348"/>
      <c r="Z153" s="1348"/>
      <c r="AA153" s="1872"/>
      <c r="AB153" s="730"/>
      <c r="AC153" s="730"/>
      <c r="AD153" s="730"/>
      <c r="AE153" s="730"/>
    </row>
    <row s="7114" customFormat="1" customHeight="1" ht="11.25">
      <c r="A154" s="1170"/>
      <c r="B154" s="1876"/>
      <c r="C154" s="1876"/>
      <c r="D154" s="499"/>
      <c r="K154" s="1348"/>
      <c r="L154" s="1876"/>
      <c r="M154" s="1876"/>
      <c r="N154" s="1348"/>
      <c r="O154" s="1348"/>
      <c r="P154" s="1348"/>
      <c r="Q154" s="1348"/>
      <c r="R154" s="1876"/>
      <c r="S154" s="1348"/>
      <c r="T154" s="1348"/>
      <c r="U154" s="708"/>
      <c r="V154" s="1348"/>
      <c r="W154" s="1348"/>
      <c r="X154" s="1348"/>
      <c r="Y154" s="1348"/>
      <c r="Z154" s="1348"/>
      <c r="AA154" s="1872"/>
      <c r="AB154" s="730"/>
      <c r="AC154" s="730"/>
      <c r="AD154" s="730"/>
      <c r="AE154" s="730"/>
    </row>
    <row s="7114" customFormat="1" customHeight="1" ht="11.25">
      <c r="A155" s="1170"/>
      <c r="B155" s="1876"/>
      <c r="C155" s="1876"/>
      <c r="D155" s="499"/>
      <c r="K155" s="1348"/>
      <c r="L155" s="1876"/>
      <c r="M155" s="1876"/>
      <c r="N155" s="1348"/>
      <c r="O155" s="1348"/>
      <c r="P155" s="1348"/>
      <c r="Q155" s="1348"/>
      <c r="R155" s="1876"/>
      <c r="S155" s="1348"/>
      <c r="T155" s="1348"/>
      <c r="U155" s="708"/>
      <c r="V155" s="1348"/>
      <c r="W155" s="1348"/>
      <c r="X155" s="1348"/>
      <c r="Y155" s="1348"/>
      <c r="Z155" s="1348"/>
      <c r="AA155" s="1872"/>
      <c r="AB155" s="730"/>
      <c r="AC155" s="730"/>
      <c r="AD155" s="730"/>
      <c r="AE155" s="730"/>
    </row>
    <row s="7114" customFormat="1" customHeight="1" ht="11.25">
      <c r="A156" s="1170"/>
      <c r="B156" s="1876"/>
      <c r="C156" s="1876"/>
      <c r="D156" s="499"/>
      <c r="K156" s="1348"/>
      <c r="L156" s="1876"/>
      <c r="M156" s="1876"/>
      <c r="N156" s="1348"/>
      <c r="O156" s="1348"/>
      <c r="P156" s="1348"/>
      <c r="Q156" s="1348"/>
      <c r="R156" s="1876"/>
      <c r="S156" s="1348"/>
      <c r="T156" s="1348"/>
      <c r="U156" s="708"/>
      <c r="V156" s="1348"/>
      <c r="W156" s="1348"/>
      <c r="X156" s="1348"/>
      <c r="Y156" s="1348"/>
      <c r="Z156" s="1348"/>
      <c r="AA156" s="1872"/>
      <c r="AB156" s="730"/>
      <c r="AC156" s="730"/>
      <c r="AD156" s="730"/>
      <c r="AE156" s="730"/>
    </row>
    <row s="7114" customFormat="1" customHeight="1" ht="11.25">
      <c r="A157" s="1170"/>
      <c r="B157" s="1876"/>
      <c r="C157" s="1876"/>
      <c r="D157" s="499"/>
      <c r="K157" s="1348"/>
      <c r="L157" s="1876"/>
      <c r="M157" s="1876"/>
      <c r="N157" s="1348"/>
      <c r="O157" s="1348"/>
      <c r="P157" s="1348"/>
      <c r="Q157" s="1348"/>
      <c r="R157" s="1876"/>
      <c r="S157" s="1348"/>
      <c r="T157" s="1348"/>
      <c r="U157" s="708"/>
      <c r="V157" s="1348"/>
      <c r="W157" s="1348"/>
      <c r="X157" s="1348"/>
      <c r="Y157" s="1348"/>
      <c r="Z157" s="1348"/>
      <c r="AA157" s="1872"/>
      <c r="AB157" s="730"/>
      <c r="AC157" s="730"/>
      <c r="AD157" s="730"/>
      <c r="AE157" s="730"/>
    </row>
    <row s="7114" customFormat="1" customHeight="1" ht="11.25">
      <c r="A158" s="1170"/>
      <c r="B158" s="1876"/>
      <c r="C158" s="1876"/>
      <c r="D158" s="499"/>
      <c r="K158" s="1348"/>
      <c r="L158" s="1876"/>
      <c r="M158" s="1876"/>
      <c r="N158" s="1348"/>
      <c r="O158" s="1348"/>
      <c r="P158" s="1348"/>
      <c r="Q158" s="1348"/>
      <c r="R158" s="1876"/>
      <c r="S158" s="1348"/>
      <c r="T158" s="1348"/>
      <c r="U158" s="708"/>
      <c r="V158" s="1348"/>
      <c r="W158" s="1348"/>
      <c r="X158" s="1348"/>
      <c r="Y158" s="1348"/>
      <c r="Z158" s="1348"/>
      <c r="AA158" s="1872"/>
      <c r="AB158" s="730"/>
      <c r="AC158" s="730"/>
      <c r="AD158" s="730"/>
      <c r="AE158" s="730"/>
    </row>
    <row s="7114" customFormat="1" customHeight="1" ht="11.25">
      <c r="A159" s="1170"/>
      <c r="B159" s="1876"/>
      <c r="C159" s="1876"/>
      <c r="D159" s="499"/>
      <c r="K159" s="1348"/>
      <c r="L159" s="1876"/>
      <c r="M159" s="1876"/>
      <c r="N159" s="1348"/>
      <c r="O159" s="1348"/>
      <c r="P159" s="1348"/>
      <c r="Q159" s="1348"/>
      <c r="R159" s="1876"/>
      <c r="S159" s="1348"/>
      <c r="T159" s="1348"/>
      <c r="U159" s="708"/>
      <c r="V159" s="1348"/>
      <c r="W159" s="1348"/>
      <c r="X159" s="1348"/>
      <c r="Y159" s="1348"/>
      <c r="Z159" s="1348"/>
      <c r="AA159" s="1872"/>
      <c r="AB159" s="730"/>
      <c r="AC159" s="730"/>
      <c r="AD159" s="730"/>
      <c r="AE159" s="730"/>
    </row>
    <row s="7114" customFormat="1" customHeight="1" ht="11.25">
      <c r="A160" s="1170"/>
      <c r="B160" s="1876"/>
      <c r="C160" s="1876"/>
      <c r="D160" s="499"/>
      <c r="K160" s="1348"/>
      <c r="L160" s="1876"/>
      <c r="M160" s="1876"/>
      <c r="N160" s="1348"/>
      <c r="O160" s="1348"/>
      <c r="P160" s="1348"/>
      <c r="Q160" s="1348"/>
      <c r="R160" s="1876"/>
      <c r="S160" s="1348"/>
      <c r="T160" s="1348"/>
      <c r="U160" s="708"/>
      <c r="V160" s="1348"/>
      <c r="W160" s="1348"/>
      <c r="X160" s="1348"/>
      <c r="Y160" s="1348"/>
      <c r="Z160" s="1348"/>
      <c r="AA160" s="1872"/>
      <c r="AB160" s="730"/>
      <c r="AC160" s="730"/>
      <c r="AD160" s="730"/>
      <c r="AE160" s="730"/>
    </row>
    <row s="7114" customFormat="1" customHeight="1" ht="11.25">
      <c r="A161" s="1170"/>
      <c r="B161" s="1876"/>
      <c r="C161" s="1876"/>
      <c r="D161" s="499"/>
      <c r="K161" s="1348"/>
      <c r="L161" s="1876"/>
      <c r="M161" s="1876"/>
      <c r="N161" s="1348"/>
      <c r="O161" s="1348"/>
      <c r="P161" s="1348"/>
      <c r="Q161" s="1348"/>
      <c r="R161" s="1876"/>
      <c r="S161" s="1348"/>
      <c r="T161" s="1348"/>
      <c r="U161" s="708"/>
      <c r="V161" s="1348"/>
      <c r="W161" s="1348"/>
      <c r="X161" s="1348"/>
      <c r="Y161" s="1348"/>
      <c r="Z161" s="1348"/>
      <c r="AA161" s="1872"/>
      <c r="AB161" s="730"/>
      <c r="AC161" s="730"/>
      <c r="AD161" s="730"/>
      <c r="AE161" s="730"/>
    </row>
    <row s="7114" customFormat="1" customHeight="1" ht="11.25">
      <c r="A162" s="1170"/>
      <c r="B162" s="1876"/>
      <c r="C162" s="1876"/>
      <c r="D162" s="499"/>
      <c r="K162" s="1348"/>
      <c r="L162" s="1876"/>
      <c r="M162" s="1876"/>
      <c r="N162" s="1348"/>
      <c r="O162" s="1348"/>
      <c r="P162" s="1348"/>
      <c r="Q162" s="1348"/>
      <c r="R162" s="1876"/>
      <c r="S162" s="1348"/>
      <c r="T162" s="1348"/>
      <c r="U162" s="708"/>
      <c r="V162" s="1348"/>
      <c r="W162" s="1348"/>
      <c r="X162" s="1348"/>
      <c r="Y162" s="1348"/>
      <c r="Z162" s="1348"/>
      <c r="AA162" s="1872"/>
      <c r="AB162" s="730"/>
      <c r="AC162" s="730"/>
      <c r="AD162" s="730"/>
      <c r="AE162" s="730"/>
    </row>
    <row s="7114" customFormat="1" customHeight="1" ht="11.25">
      <c r="A163" s="1170"/>
      <c r="B163" s="1876"/>
      <c r="C163" s="1876"/>
      <c r="D163" s="499"/>
      <c r="K163" s="1348"/>
      <c r="L163" s="1876"/>
      <c r="M163" s="1876"/>
      <c r="N163" s="1348"/>
      <c r="O163" s="1348"/>
      <c r="P163" s="1348"/>
      <c r="Q163" s="1348"/>
      <c r="R163" s="1876"/>
      <c r="S163" s="1348"/>
      <c r="T163" s="1348"/>
      <c r="U163" s="708"/>
      <c r="V163" s="1348"/>
      <c r="W163" s="1348"/>
      <c r="X163" s="1348"/>
      <c r="Y163" s="1348"/>
      <c r="Z163" s="1348"/>
      <c r="AA163" s="1872"/>
      <c r="AB163" s="730"/>
      <c r="AC163" s="730"/>
      <c r="AD163" s="730"/>
      <c r="AE163" s="730"/>
    </row>
    <row s="7114" customFormat="1" customHeight="1" ht="11.25">
      <c r="A164" s="1170"/>
      <c r="B164" s="1876"/>
      <c r="C164" s="1876"/>
      <c r="D164" s="499"/>
      <c r="K164" s="1348"/>
      <c r="L164" s="1876"/>
      <c r="M164" s="1876"/>
      <c r="N164" s="1348"/>
      <c r="O164" s="1348"/>
      <c r="P164" s="1348"/>
      <c r="Q164" s="1348"/>
      <c r="R164" s="1876"/>
      <c r="S164" s="1348"/>
      <c r="T164" s="1348"/>
      <c r="U164" s="708"/>
      <c r="V164" s="1348"/>
      <c r="W164" s="1348"/>
      <c r="X164" s="1348"/>
      <c r="Y164" s="1348"/>
      <c r="Z164" s="1348"/>
      <c r="AA164" s="1872"/>
      <c r="AB164" s="730"/>
      <c r="AC164" s="730"/>
      <c r="AD164" s="730"/>
      <c r="AE164" s="730"/>
    </row>
    <row s="7114" customFormat="1" customHeight="1" ht="11.25">
      <c r="A165" s="1170"/>
      <c r="B165" s="1876"/>
      <c r="C165" s="1876"/>
      <c r="D165" s="499"/>
      <c r="K165" s="1348"/>
      <c r="L165" s="1876"/>
      <c r="M165" s="1876"/>
      <c r="N165" s="1348"/>
      <c r="O165" s="1348"/>
      <c r="P165" s="1348"/>
      <c r="Q165" s="1348"/>
      <c r="R165" s="1876"/>
      <c r="S165" s="1348"/>
      <c r="T165" s="1348"/>
      <c r="U165" s="708"/>
      <c r="V165" s="1348"/>
      <c r="W165" s="1348"/>
      <c r="X165" s="1348"/>
      <c r="Y165" s="1348"/>
      <c r="Z165" s="1348"/>
      <c r="AA165" s="1872"/>
      <c r="AB165" s="730"/>
      <c r="AC165" s="730"/>
      <c r="AD165" s="730"/>
      <c r="AE165" s="730"/>
    </row>
    <row s="7114" customFormat="1" customHeight="1" ht="11.25">
      <c r="A166" s="1170"/>
      <c r="B166" s="1876"/>
      <c r="C166" s="1876"/>
      <c r="D166" s="499"/>
      <c r="K166" s="1348"/>
      <c r="L166" s="1876"/>
      <c r="M166" s="1876"/>
      <c r="N166" s="1348"/>
      <c r="O166" s="1348"/>
      <c r="P166" s="1348"/>
      <c r="Q166" s="1348"/>
      <c r="R166" s="1876"/>
      <c r="S166" s="1348"/>
      <c r="T166" s="1348"/>
      <c r="U166" s="708"/>
      <c r="V166" s="1348"/>
      <c r="W166" s="1348"/>
      <c r="X166" s="1348"/>
      <c r="Y166" s="1348"/>
      <c r="Z166" s="1348"/>
      <c r="AA166" s="1872"/>
      <c r="AB166" s="730"/>
      <c r="AC166" s="730"/>
      <c r="AD166" s="730"/>
      <c r="AE166" s="730"/>
    </row>
    <row s="7114" customFormat="1" customHeight="1" ht="11.25">
      <c r="A167" s="1170"/>
      <c r="B167" s="1876"/>
      <c r="C167" s="1876"/>
      <c r="D167" s="499"/>
      <c r="K167" s="1348"/>
      <c r="L167" s="1876"/>
      <c r="M167" s="1876"/>
      <c r="N167" s="1348"/>
      <c r="O167" s="1348"/>
      <c r="P167" s="1348"/>
      <c r="Q167" s="1348"/>
      <c r="R167" s="1876"/>
      <c r="S167" s="1348"/>
      <c r="T167" s="1348"/>
      <c r="U167" s="708"/>
      <c r="V167" s="1348"/>
      <c r="W167" s="1348"/>
      <c r="X167" s="1348"/>
      <c r="Y167" s="1348"/>
      <c r="Z167" s="1348"/>
      <c r="AA167" s="1872"/>
      <c r="AB167" s="730"/>
      <c r="AC167" s="730"/>
      <c r="AD167" s="730"/>
      <c r="AE167" s="730"/>
    </row>
    <row s="7114" customFormat="1" customHeight="1" ht="11.25">
      <c r="A168" s="1170"/>
      <c r="B168" s="1876"/>
      <c r="C168" s="1876"/>
      <c r="D168" s="499"/>
      <c r="K168" s="1348"/>
      <c r="L168" s="1876"/>
      <c r="M168" s="1876"/>
      <c r="N168" s="1348"/>
      <c r="O168" s="1348"/>
      <c r="P168" s="1348"/>
      <c r="Q168" s="1348"/>
      <c r="R168" s="1876"/>
      <c r="S168" s="1348"/>
      <c r="T168" s="1348"/>
      <c r="U168" s="708"/>
      <c r="V168" s="1348"/>
      <c r="W168" s="1348"/>
      <c r="X168" s="1348"/>
      <c r="Y168" s="1348"/>
      <c r="Z168" s="1348"/>
      <c r="AA168" s="1872"/>
      <c r="AB168" s="730"/>
      <c r="AC168" s="730"/>
      <c r="AD168" s="730"/>
      <c r="AE168" s="730"/>
    </row>
    <row s="7114" customFormat="1" customHeight="1" ht="11.25">
      <c r="A169" s="1170"/>
      <c r="B169" s="1876"/>
      <c r="C169" s="1876"/>
      <c r="D169" s="499"/>
      <c r="K169" s="1348"/>
      <c r="L169" s="1876"/>
      <c r="M169" s="1876"/>
      <c r="N169" s="1348"/>
      <c r="O169" s="1348"/>
      <c r="P169" s="1348"/>
      <c r="Q169" s="1348"/>
      <c r="R169" s="1876"/>
      <c r="S169" s="1348"/>
      <c r="T169" s="1348"/>
      <c r="U169" s="708"/>
      <c r="V169" s="1348"/>
      <c r="W169" s="1348"/>
      <c r="X169" s="1348"/>
      <c r="Y169" s="1348"/>
      <c r="Z169" s="1348"/>
      <c r="AA169" s="1872"/>
      <c r="AB169" s="730"/>
      <c r="AC169" s="730"/>
      <c r="AD169" s="730"/>
      <c r="AE169" s="730"/>
    </row>
    <row s="7114" customFormat="1" customHeight="1" ht="11.25">
      <c r="A170" s="1170"/>
      <c r="B170" s="1876"/>
      <c r="C170" s="1876"/>
      <c r="D170" s="499"/>
      <c r="K170" s="1348"/>
      <c r="L170" s="1876"/>
      <c r="M170" s="1876"/>
      <c r="N170" s="1348"/>
      <c r="O170" s="1348"/>
      <c r="P170" s="1348"/>
      <c r="Q170" s="1348"/>
      <c r="R170" s="1876"/>
      <c r="S170" s="1348"/>
      <c r="T170" s="1348"/>
      <c r="U170" s="708"/>
      <c r="V170" s="1348"/>
      <c r="W170" s="1348"/>
      <c r="X170" s="1348"/>
      <c r="Y170" s="1348"/>
      <c r="Z170" s="1348"/>
      <c r="AA170" s="1872"/>
      <c r="AB170" s="730"/>
      <c r="AC170" s="730"/>
      <c r="AD170" s="730"/>
      <c r="AE170" s="730"/>
    </row>
    <row s="7114" customFormat="1" customHeight="1" ht="11.25">
      <c r="A171" s="1170"/>
      <c r="B171" s="1876"/>
      <c r="C171" s="1876"/>
      <c r="D171" s="499"/>
      <c r="K171" s="1348"/>
      <c r="L171" s="1876"/>
      <c r="M171" s="1876"/>
      <c r="N171" s="1348"/>
      <c r="O171" s="1348"/>
      <c r="P171" s="1348"/>
      <c r="Q171" s="1348"/>
      <c r="R171" s="1876"/>
      <c r="S171" s="1348"/>
      <c r="T171" s="1348"/>
      <c r="U171" s="708"/>
      <c r="V171" s="1348"/>
      <c r="W171" s="1348"/>
      <c r="X171" s="1348"/>
      <c r="Y171" s="1348"/>
      <c r="Z171" s="1348"/>
      <c r="AA171" s="1872"/>
      <c r="AB171" s="730"/>
      <c r="AC171" s="730"/>
      <c r="AD171" s="730"/>
      <c r="AE171" s="730"/>
    </row>
    <row s="7114" customFormat="1" customHeight="1" ht="11.25">
      <c r="A172" s="1170"/>
      <c r="B172" s="1876"/>
      <c r="C172" s="1876"/>
      <c r="D172" s="499"/>
      <c r="K172" s="1348"/>
      <c r="L172" s="1876"/>
      <c r="M172" s="1876"/>
      <c r="N172" s="1348"/>
      <c r="O172" s="1348"/>
      <c r="P172" s="1348"/>
      <c r="Q172" s="1348"/>
      <c r="R172" s="1876"/>
      <c r="S172" s="1348"/>
      <c r="T172" s="1348"/>
      <c r="U172" s="708"/>
      <c r="V172" s="1348"/>
      <c r="W172" s="1348"/>
      <c r="X172" s="1348"/>
      <c r="Y172" s="1348"/>
      <c r="Z172" s="1348"/>
      <c r="AA172" s="1872"/>
      <c r="AB172" s="730"/>
      <c r="AC172" s="730"/>
      <c r="AD172" s="730"/>
      <c r="AE172" s="730"/>
    </row>
    <row s="7114" customFormat="1" customHeight="1" ht="11.25">
      <c r="A173" s="1170"/>
      <c r="B173" s="1876"/>
      <c r="C173" s="1876"/>
      <c r="D173" s="499"/>
      <c r="K173" s="1348"/>
      <c r="L173" s="1876"/>
      <c r="M173" s="1876"/>
      <c r="N173" s="1348"/>
      <c r="O173" s="1348"/>
      <c r="P173" s="1348"/>
      <c r="Q173" s="1348"/>
      <c r="R173" s="1876"/>
      <c r="S173" s="1348"/>
      <c r="T173" s="1348"/>
      <c r="U173" s="708"/>
      <c r="V173" s="1348"/>
      <c r="W173" s="1348"/>
      <c r="X173" s="1348"/>
      <c r="Y173" s="1348"/>
      <c r="Z173" s="1348"/>
      <c r="AA173" s="1872"/>
      <c r="AB173" s="730"/>
      <c r="AC173" s="730"/>
      <c r="AD173" s="730"/>
      <c r="AE173" s="730"/>
    </row>
    <row s="7114" customFormat="1" customHeight="1" ht="11.25">
      <c r="A174" s="1170"/>
      <c r="B174" s="1876"/>
      <c r="C174" s="1876"/>
      <c r="D174" s="499"/>
      <c r="K174" s="1348"/>
      <c r="L174" s="1876"/>
      <c r="M174" s="1876"/>
      <c r="N174" s="1348"/>
      <c r="O174" s="1348"/>
      <c r="P174" s="1348"/>
      <c r="Q174" s="1348"/>
      <c r="R174" s="1876"/>
      <c r="S174" s="1348"/>
      <c r="T174" s="1348"/>
      <c r="U174" s="708"/>
      <c r="V174" s="1348"/>
      <c r="W174" s="1348"/>
      <c r="X174" s="1348"/>
      <c r="Y174" s="1348"/>
      <c r="Z174" s="1348"/>
      <c r="AA174" s="1872"/>
      <c r="AB174" s="730"/>
      <c r="AC174" s="730"/>
      <c r="AD174" s="730"/>
      <c r="AE174" s="730"/>
    </row>
    <row s="7114" customFormat="1" customHeight="1" ht="11.25">
      <c r="A175" s="1170"/>
      <c r="B175" s="1876"/>
      <c r="C175" s="1876"/>
      <c r="D175" s="499"/>
      <c r="K175" s="1348"/>
      <c r="L175" s="1876"/>
      <c r="M175" s="1876"/>
      <c r="N175" s="1348"/>
      <c r="O175" s="1348"/>
      <c r="P175" s="1348"/>
      <c r="Q175" s="1348"/>
      <c r="R175" s="1876"/>
      <c r="S175" s="1348"/>
      <c r="T175" s="1348"/>
      <c r="U175" s="708"/>
      <c r="V175" s="1348"/>
      <c r="W175" s="1348"/>
      <c r="X175" s="1348"/>
      <c r="Y175" s="1348"/>
      <c r="Z175" s="1348"/>
      <c r="AA175" s="1872"/>
      <c r="AB175" s="730"/>
      <c r="AC175" s="730"/>
      <c r="AD175" s="730"/>
      <c r="AE175" s="730"/>
    </row>
    <row s="7114" customFormat="1" customHeight="1" ht="11.25">
      <c r="A176" s="1170"/>
      <c r="B176" s="1876"/>
      <c r="C176" s="1876"/>
      <c r="D176" s="499"/>
      <c r="K176" s="1348"/>
      <c r="L176" s="1876"/>
      <c r="M176" s="1876"/>
      <c r="N176" s="1348"/>
      <c r="O176" s="1348"/>
      <c r="P176" s="1348"/>
      <c r="Q176" s="1348"/>
      <c r="R176" s="1876"/>
      <c r="S176" s="1348"/>
      <c r="T176" s="1348"/>
      <c r="U176" s="708"/>
      <c r="V176" s="1348"/>
      <c r="W176" s="1348"/>
      <c r="X176" s="1348"/>
      <c r="Y176" s="1348"/>
      <c r="Z176" s="1348"/>
      <c r="AA176" s="1872"/>
      <c r="AB176" s="730"/>
      <c r="AC176" s="730"/>
      <c r="AD176" s="730"/>
      <c r="AE176" s="730"/>
    </row>
    <row s="7114" customFormat="1" customHeight="1" ht="11.25">
      <c r="A177" s="1170"/>
      <c r="B177" s="1876"/>
      <c r="C177" s="1876"/>
      <c r="D177" s="499"/>
      <c r="K177" s="1348"/>
      <c r="L177" s="1876"/>
      <c r="M177" s="1876"/>
      <c r="N177" s="1348"/>
      <c r="O177" s="1348"/>
      <c r="P177" s="1348"/>
      <c r="Q177" s="1348"/>
      <c r="R177" s="1876"/>
      <c r="S177" s="1348"/>
      <c r="T177" s="1348"/>
      <c r="U177" s="708"/>
      <c r="V177" s="1348"/>
      <c r="W177" s="1348"/>
      <c r="X177" s="1348"/>
      <c r="Y177" s="1348"/>
      <c r="Z177" s="1348"/>
      <c r="AA177" s="1872"/>
      <c r="AB177" s="730"/>
      <c r="AC177" s="730"/>
      <c r="AD177" s="730"/>
      <c r="AE177" s="730"/>
    </row>
    <row s="7114" customFormat="1" customHeight="1" ht="11.25">
      <c r="A178" s="1170"/>
      <c r="B178" s="1876"/>
      <c r="C178" s="1876"/>
      <c r="D178" s="499"/>
      <c r="K178" s="1348"/>
      <c r="L178" s="1876"/>
      <c r="M178" s="1876"/>
      <c r="N178" s="1348"/>
      <c r="O178" s="1348"/>
      <c r="P178" s="1348"/>
      <c r="Q178" s="1348"/>
      <c r="R178" s="1876"/>
      <c r="S178" s="1348"/>
      <c r="T178" s="1348"/>
      <c r="U178" s="708"/>
      <c r="V178" s="1348"/>
      <c r="W178" s="1348"/>
      <c r="X178" s="1348"/>
      <c r="Y178" s="1348"/>
      <c r="Z178" s="1348"/>
      <c r="AA178" s="1872"/>
      <c r="AB178" s="730"/>
      <c r="AC178" s="730"/>
      <c r="AD178" s="730"/>
      <c r="AE178" s="730"/>
    </row>
    <row s="7114" customFormat="1" customHeight="1" ht="11.25">
      <c r="A179" s="1170"/>
      <c r="B179" s="1876"/>
      <c r="C179" s="1876"/>
      <c r="D179" s="499"/>
      <c r="K179" s="1348"/>
      <c r="L179" s="1876"/>
      <c r="M179" s="1876"/>
      <c r="N179" s="1348"/>
      <c r="O179" s="1348"/>
      <c r="P179" s="1348"/>
      <c r="Q179" s="1348"/>
      <c r="R179" s="1876"/>
      <c r="S179" s="1348"/>
      <c r="T179" s="1348"/>
      <c r="U179" s="708"/>
      <c r="V179" s="1348"/>
      <c r="W179" s="1348"/>
      <c r="X179" s="1348"/>
      <c r="Y179" s="1348"/>
      <c r="Z179" s="1348"/>
      <c r="AA179" s="1872"/>
      <c r="AB179" s="730"/>
      <c r="AC179" s="730"/>
      <c r="AD179" s="730"/>
      <c r="AE179" s="730"/>
    </row>
    <row s="7114" customFormat="1" customHeight="1" ht="11.25">
      <c r="A180" s="1170"/>
      <c r="B180" s="1876"/>
      <c r="C180" s="1876"/>
      <c r="D180" s="499"/>
      <c r="K180" s="1348"/>
      <c r="L180" s="1876"/>
      <c r="M180" s="1876"/>
      <c r="N180" s="1348"/>
      <c r="O180" s="1348"/>
      <c r="P180" s="1348"/>
      <c r="Q180" s="1348"/>
      <c r="R180" s="1876"/>
      <c r="S180" s="1348"/>
      <c r="T180" s="1348"/>
      <c r="U180" s="708"/>
      <c r="V180" s="1348"/>
      <c r="W180" s="1348"/>
      <c r="X180" s="1348"/>
      <c r="Y180" s="1348"/>
      <c r="Z180" s="1348"/>
      <c r="AA180" s="1872"/>
      <c r="AB180" s="730"/>
      <c r="AC180" s="730"/>
      <c r="AD180" s="730"/>
      <c r="AE180" s="730"/>
    </row>
    <row s="7114" customFormat="1" customHeight="1" ht="11.25">
      <c r="A181" s="1170"/>
      <c r="B181" s="1876"/>
      <c r="C181" s="1876"/>
      <c r="D181" s="499"/>
      <c r="K181" s="1348"/>
      <c r="L181" s="1876"/>
      <c r="M181" s="1876"/>
      <c r="N181" s="1348"/>
      <c r="O181" s="1348"/>
      <c r="P181" s="1348"/>
      <c r="Q181" s="1348"/>
      <c r="R181" s="1876"/>
      <c r="S181" s="1348"/>
      <c r="T181" s="1348"/>
      <c r="U181" s="708"/>
      <c r="V181" s="1348"/>
      <c r="W181" s="1348"/>
      <c r="X181" s="1348"/>
      <c r="Y181" s="1348"/>
      <c r="Z181" s="1348"/>
      <c r="AA181" s="1872"/>
      <c r="AB181" s="730"/>
      <c r="AC181" s="730"/>
      <c r="AD181" s="730"/>
      <c r="AE181" s="730"/>
    </row>
    <row s="7114" customFormat="1" customHeight="1" ht="11.25">
      <c r="A182" s="1170"/>
      <c r="B182" s="1876"/>
      <c r="C182" s="1876"/>
      <c r="D182" s="499"/>
      <c r="K182" s="1348"/>
      <c r="L182" s="1876"/>
      <c r="M182" s="1876"/>
      <c r="N182" s="1348"/>
      <c r="O182" s="1348"/>
      <c r="P182" s="1348"/>
      <c r="Q182" s="1348"/>
      <c r="R182" s="1876"/>
      <c r="S182" s="1348"/>
      <c r="T182" s="1348"/>
      <c r="U182" s="708"/>
      <c r="V182" s="1348"/>
      <c r="W182" s="1348"/>
      <c r="X182" s="1348"/>
      <c r="Y182" s="1348"/>
      <c r="Z182" s="1348"/>
      <c r="AA182" s="1872"/>
      <c r="AB182" s="730"/>
      <c r="AC182" s="730"/>
      <c r="AD182" s="730"/>
      <c r="AE182" s="730"/>
    </row>
    <row s="7114" customFormat="1" customHeight="1" ht="11.25">
      <c r="A183" s="1170"/>
      <c r="B183" s="1876"/>
      <c r="C183" s="1876"/>
      <c r="D183" s="499"/>
      <c r="K183" s="1348"/>
      <c r="L183" s="1876"/>
      <c r="M183" s="1876"/>
      <c r="N183" s="1348"/>
      <c r="O183" s="1348"/>
      <c r="P183" s="1348"/>
      <c r="Q183" s="1348"/>
      <c r="R183" s="1876"/>
      <c r="S183" s="1348"/>
      <c r="T183" s="1348"/>
      <c r="U183" s="708"/>
      <c r="V183" s="1348"/>
      <c r="W183" s="1348"/>
      <c r="X183" s="1348"/>
      <c r="Y183" s="1348"/>
      <c r="Z183" s="1348"/>
      <c r="AA183" s="1872"/>
      <c r="AB183" s="730"/>
      <c r="AC183" s="730"/>
      <c r="AD183" s="730"/>
      <c r="AE183" s="730"/>
    </row>
    <row s="7114" customFormat="1" customHeight="1" ht="11.25">
      <c r="A184" s="1170"/>
      <c r="B184" s="1876"/>
      <c r="C184" s="1876"/>
      <c r="D184" s="499"/>
      <c r="K184" s="1348"/>
      <c r="L184" s="1876"/>
      <c r="M184" s="1876"/>
      <c r="N184" s="1348"/>
      <c r="O184" s="1348"/>
      <c r="P184" s="1348"/>
      <c r="Q184" s="1348"/>
      <c r="R184" s="1876"/>
      <c r="S184" s="1348"/>
      <c r="T184" s="1348"/>
      <c r="U184" s="708"/>
      <c r="V184" s="1348"/>
      <c r="W184" s="1348"/>
      <c r="X184" s="1348"/>
      <c r="Y184" s="1348"/>
      <c r="Z184" s="1348"/>
      <c r="AA184" s="1872"/>
      <c r="AB184" s="730"/>
      <c r="AC184" s="730"/>
      <c r="AD184" s="730"/>
      <c r="AE184" s="730"/>
    </row>
    <row s="7114" customFormat="1" customHeight="1" ht="11.25">
      <c r="A185" s="1170"/>
      <c r="B185" s="1876"/>
      <c r="C185" s="1876"/>
      <c r="D185" s="499"/>
      <c r="K185" s="1348"/>
      <c r="L185" s="1876"/>
      <c r="M185" s="1876"/>
      <c r="N185" s="1348"/>
      <c r="O185" s="1348"/>
      <c r="P185" s="1348"/>
      <c r="Q185" s="1348"/>
      <c r="R185" s="1876"/>
      <c r="S185" s="1348"/>
      <c r="T185" s="1348"/>
      <c r="U185" s="708"/>
      <c r="V185" s="1348"/>
      <c r="W185" s="1348"/>
      <c r="X185" s="1348"/>
      <c r="Y185" s="1348"/>
      <c r="Z185" s="1348"/>
      <c r="AA185" s="1872"/>
      <c r="AB185" s="730"/>
      <c r="AC185" s="730"/>
      <c r="AD185" s="730"/>
      <c r="AE185" s="730"/>
    </row>
    <row s="7114" customFormat="1" customHeight="1" ht="11.25">
      <c r="A186" s="1170"/>
      <c r="B186" s="1876"/>
      <c r="C186" s="1876"/>
      <c r="D186" s="499"/>
      <c r="K186" s="1348"/>
      <c r="L186" s="1876"/>
      <c r="M186" s="1876"/>
      <c r="N186" s="1348"/>
      <c r="O186" s="1348"/>
      <c r="P186" s="1348"/>
      <c r="Q186" s="1348"/>
      <c r="R186" s="1876"/>
      <c r="S186" s="1348"/>
      <c r="T186" s="1348"/>
      <c r="U186" s="708"/>
      <c r="V186" s="1348"/>
      <c r="W186" s="1348"/>
      <c r="X186" s="1348"/>
      <c r="Y186" s="1348"/>
      <c r="Z186" s="1348"/>
      <c r="AA186" s="1872"/>
      <c r="AB186" s="730"/>
      <c r="AC186" s="730"/>
      <c r="AD186" s="730"/>
      <c r="AE186" s="730"/>
    </row>
    <row s="7114" customFormat="1" customHeight="1" ht="11.25">
      <c r="A187" s="1170"/>
      <c r="B187" s="1876"/>
      <c r="C187" s="1876"/>
      <c r="D187" s="499"/>
      <c r="K187" s="1348"/>
      <c r="L187" s="1876"/>
      <c r="M187" s="1876"/>
      <c r="N187" s="1348"/>
      <c r="O187" s="1348"/>
      <c r="P187" s="1348"/>
      <c r="Q187" s="1348"/>
      <c r="R187" s="1876"/>
      <c r="S187" s="1348"/>
      <c r="T187" s="1348"/>
      <c r="U187" s="708"/>
      <c r="V187" s="1348"/>
      <c r="W187" s="1348"/>
      <c r="X187" s="1348"/>
      <c r="Y187" s="1348"/>
      <c r="Z187" s="1348"/>
      <c r="AA187" s="1872"/>
      <c r="AB187" s="730"/>
      <c r="AC187" s="730"/>
      <c r="AD187" s="730"/>
      <c r="AE187" s="730"/>
    </row>
    <row s="7114" customFormat="1" customHeight="1" ht="11.25">
      <c r="A188" s="1170"/>
      <c r="B188" s="1876"/>
      <c r="C188" s="1876"/>
      <c r="D188" s="499"/>
      <c r="K188" s="1348"/>
      <c r="L188" s="1876"/>
      <c r="M188" s="1876"/>
      <c r="N188" s="1348"/>
      <c r="O188" s="1348"/>
      <c r="P188" s="1348"/>
      <c r="Q188" s="1348"/>
      <c r="R188" s="1876"/>
      <c r="S188" s="1348"/>
      <c r="T188" s="1348"/>
      <c r="U188" s="708"/>
      <c r="V188" s="1348"/>
      <c r="W188" s="1348"/>
      <c r="X188" s="1348"/>
      <c r="Y188" s="1348"/>
      <c r="Z188" s="1348"/>
      <c r="AA188" s="1872"/>
      <c r="AB188" s="730"/>
      <c r="AC188" s="730"/>
      <c r="AD188" s="730"/>
      <c r="AE188" s="730"/>
    </row>
    <row s="7114" customFormat="1" customHeight="1" ht="11.25">
      <c r="A189" s="1170"/>
      <c r="B189" s="1876"/>
      <c r="C189" s="1876"/>
      <c r="D189" s="499"/>
      <c r="K189" s="1348"/>
      <c r="L189" s="1876"/>
      <c r="M189" s="1876"/>
      <c r="N189" s="1348"/>
      <c r="O189" s="1348"/>
      <c r="P189" s="1348"/>
      <c r="Q189" s="1348"/>
      <c r="R189" s="1876"/>
      <c r="S189" s="1348"/>
      <c r="T189" s="1348"/>
      <c r="U189" s="708"/>
      <c r="V189" s="1348"/>
      <c r="W189" s="1348"/>
      <c r="X189" s="1348"/>
      <c r="Y189" s="1348"/>
      <c r="Z189" s="1348"/>
      <c r="AA189" s="1872"/>
      <c r="AB189" s="730"/>
      <c r="AC189" s="730"/>
      <c r="AD189" s="730"/>
      <c r="AE189" s="730"/>
    </row>
    <row s="7114" customFormat="1" customHeight="1" ht="11.25">
      <c r="A190" s="1170"/>
      <c r="B190" s="1876"/>
      <c r="C190" s="1876"/>
      <c r="D190" s="499"/>
      <c r="K190" s="1348"/>
      <c r="L190" s="1876"/>
      <c r="M190" s="1876"/>
      <c r="N190" s="1348"/>
      <c r="O190" s="1348"/>
      <c r="P190" s="1348"/>
      <c r="Q190" s="1348"/>
      <c r="R190" s="1876"/>
      <c r="S190" s="1348"/>
      <c r="T190" s="1348"/>
      <c r="U190" s="708"/>
      <c r="V190" s="1348"/>
      <c r="W190" s="1348"/>
      <c r="X190" s="1348"/>
      <c r="Y190" s="1348"/>
      <c r="Z190" s="1348"/>
      <c r="AA190" s="1872"/>
      <c r="AB190" s="730"/>
      <c r="AC190" s="730"/>
      <c r="AD190" s="730"/>
      <c r="AE190" s="730"/>
    </row>
    <row s="7114" customFormat="1" customHeight="1" ht="11.25">
      <c r="A191" s="1170"/>
      <c r="B191" s="1876"/>
      <c r="C191" s="1876"/>
      <c r="D191" s="499"/>
      <c r="K191" s="1348"/>
      <c r="L191" s="1876"/>
      <c r="M191" s="1876"/>
      <c r="N191" s="1348"/>
      <c r="O191" s="1348"/>
      <c r="P191" s="1348"/>
      <c r="Q191" s="1348"/>
      <c r="R191" s="1876"/>
      <c r="S191" s="1348"/>
      <c r="T191" s="1348"/>
      <c r="U191" s="708"/>
      <c r="V191" s="1348"/>
      <c r="W191" s="1348"/>
      <c r="X191" s="1348"/>
      <c r="Y191" s="1348"/>
      <c r="Z191" s="1348"/>
      <c r="AA191" s="1872"/>
      <c r="AB191" s="730"/>
      <c r="AC191" s="730"/>
      <c r="AD191" s="730"/>
      <c r="AE191" s="730"/>
    </row>
    <row s="7114" customFormat="1" customHeight="1" ht="11.25">
      <c r="A192" s="1170"/>
      <c r="B192" s="1876"/>
      <c r="C192" s="1876"/>
      <c r="D192" s="499"/>
      <c r="K192" s="1348"/>
      <c r="L192" s="1876"/>
      <c r="M192" s="1876"/>
      <c r="N192" s="1348"/>
      <c r="O192" s="1348"/>
      <c r="P192" s="1348"/>
      <c r="Q192" s="1348"/>
      <c r="R192" s="1876"/>
      <c r="S192" s="1348"/>
      <c r="T192" s="1348"/>
      <c r="U192" s="708"/>
      <c r="V192" s="1348"/>
      <c r="W192" s="1348"/>
      <c r="X192" s="1348"/>
      <c r="Y192" s="1348"/>
      <c r="Z192" s="1348"/>
      <c r="AA192" s="1872"/>
      <c r="AB192" s="730"/>
      <c r="AC192" s="730"/>
      <c r="AD192" s="730"/>
      <c r="AE192" s="730"/>
    </row>
    <row s="7114" customFormat="1" customHeight="1" ht="11.25">
      <c r="A193" s="1170"/>
      <c r="B193" s="1876"/>
      <c r="C193" s="1876"/>
      <c r="D193" s="499"/>
      <c r="K193" s="1348"/>
      <c r="L193" s="1876"/>
      <c r="M193" s="1876"/>
      <c r="N193" s="1348"/>
      <c r="O193" s="1348"/>
      <c r="P193" s="1348"/>
      <c r="Q193" s="1348"/>
      <c r="R193" s="1876"/>
      <c r="S193" s="1348"/>
      <c r="T193" s="1348"/>
      <c r="U193" s="708"/>
      <c r="V193" s="1348"/>
      <c r="W193" s="1348"/>
      <c r="X193" s="1348"/>
      <c r="Y193" s="1348"/>
      <c r="Z193" s="1348"/>
      <c r="AA193" s="1872"/>
      <c r="AB193" s="730"/>
      <c r="AC193" s="730"/>
      <c r="AD193" s="730"/>
      <c r="AE193" s="730"/>
    </row>
    <row s="7114" customFormat="1" customHeight="1" ht="11.25">
      <c r="A194" s="1170"/>
      <c r="B194" s="1876"/>
      <c r="C194" s="1876"/>
      <c r="D194" s="499"/>
      <c r="K194" s="1348"/>
      <c r="L194" s="1876"/>
      <c r="M194" s="1876"/>
      <c r="N194" s="1348"/>
      <c r="O194" s="1348"/>
      <c r="P194" s="1348"/>
      <c r="Q194" s="1348"/>
      <c r="R194" s="1876"/>
      <c r="S194" s="1348"/>
      <c r="T194" s="1348"/>
      <c r="U194" s="708"/>
      <c r="V194" s="1348"/>
      <c r="W194" s="1348"/>
      <c r="X194" s="1348"/>
      <c r="Y194" s="1348"/>
      <c r="Z194" s="1348"/>
      <c r="AA194" s="1872"/>
      <c r="AB194" s="730"/>
      <c r="AC194" s="730"/>
      <c r="AD194" s="730"/>
      <c r="AE194" s="730"/>
    </row>
    <row s="7114" customFormat="1" customHeight="1" ht="11.25">
      <c r="A195" s="1170"/>
      <c r="B195" s="1876"/>
      <c r="C195" s="1876"/>
      <c r="D195" s="499"/>
      <c r="K195" s="1348"/>
      <c r="L195" s="1876"/>
      <c r="M195" s="1876"/>
      <c r="N195" s="1348"/>
      <c r="O195" s="1348"/>
      <c r="P195" s="1348"/>
      <c r="Q195" s="1348"/>
      <c r="R195" s="1876"/>
      <c r="S195" s="1348"/>
      <c r="T195" s="1348"/>
      <c r="U195" s="708"/>
      <c r="V195" s="1348"/>
      <c r="W195" s="1348"/>
      <c r="X195" s="1348"/>
      <c r="Y195" s="1348"/>
      <c r="Z195" s="1348"/>
      <c r="AA195" s="1872"/>
      <c r="AB195" s="730"/>
      <c r="AC195" s="730"/>
      <c r="AD195" s="730"/>
      <c r="AE195" s="730"/>
    </row>
    <row s="7114" customFormat="1" customHeight="1" ht="11.25">
      <c r="A196" s="1170"/>
      <c r="B196" s="1876"/>
      <c r="C196" s="1876"/>
      <c r="D196" s="499"/>
      <c r="K196" s="1348"/>
      <c r="L196" s="1876"/>
      <c r="M196" s="1876"/>
      <c r="N196" s="1348"/>
      <c r="O196" s="1348"/>
      <c r="P196" s="1348"/>
      <c r="Q196" s="1348"/>
      <c r="R196" s="1876"/>
      <c r="S196" s="1348"/>
      <c r="T196" s="1348"/>
      <c r="U196" s="708"/>
      <c r="V196" s="1348"/>
      <c r="W196" s="1348"/>
      <c r="X196" s="1348"/>
      <c r="Y196" s="1348"/>
      <c r="Z196" s="1348"/>
      <c r="AA196" s="1872"/>
      <c r="AB196" s="730"/>
      <c r="AC196" s="730"/>
      <c r="AD196" s="730"/>
      <c r="AE196" s="730"/>
    </row>
    <row s="7114" customFormat="1" customHeight="1" ht="11.25">
      <c r="A197" s="1170"/>
      <c r="B197" s="1876"/>
      <c r="C197" s="1876"/>
      <c r="D197" s="499"/>
      <c r="K197" s="1348"/>
      <c r="L197" s="1876"/>
      <c r="M197" s="1876"/>
      <c r="N197" s="1348"/>
      <c r="O197" s="1348"/>
      <c r="P197" s="1348"/>
      <c r="Q197" s="1348"/>
      <c r="R197" s="1876"/>
      <c r="S197" s="1348"/>
      <c r="T197" s="1348"/>
      <c r="U197" s="708"/>
      <c r="V197" s="1348"/>
      <c r="W197" s="1348"/>
      <c r="X197" s="1348"/>
      <c r="Y197" s="1348"/>
      <c r="Z197" s="1348"/>
      <c r="AA197" s="1872"/>
      <c r="AB197" s="730"/>
      <c r="AC197" s="730"/>
      <c r="AD197" s="730"/>
      <c r="AE197" s="730"/>
    </row>
    <row s="7114" customFormat="1" customHeight="1" ht="11.25">
      <c r="A198" s="1170"/>
      <c r="B198" s="1876"/>
      <c r="C198" s="1876"/>
      <c r="D198" s="499"/>
      <c r="K198" s="1348"/>
      <c r="L198" s="1876"/>
      <c r="M198" s="1876"/>
      <c r="N198" s="1348"/>
      <c r="O198" s="1348"/>
      <c r="P198" s="1348"/>
      <c r="Q198" s="1348"/>
      <c r="R198" s="1876"/>
      <c r="S198" s="1348"/>
      <c r="T198" s="1348"/>
      <c r="U198" s="708"/>
      <c r="V198" s="1348"/>
      <c r="W198" s="1348"/>
      <c r="X198" s="1348"/>
      <c r="Y198" s="1348"/>
      <c r="Z198" s="1348"/>
      <c r="AA198" s="1872"/>
      <c r="AB198" s="730"/>
      <c r="AC198" s="730"/>
      <c r="AD198" s="730"/>
      <c r="AE198" s="730"/>
    </row>
    <row s="7114" customFormat="1" customHeight="1" ht="11.25">
      <c r="A199" s="1170"/>
      <c r="B199" s="1876"/>
      <c r="C199" s="1876"/>
      <c r="D199" s="499"/>
      <c r="K199" s="1348"/>
      <c r="L199" s="1876"/>
      <c r="M199" s="1876"/>
      <c r="N199" s="1348"/>
      <c r="O199" s="1348"/>
      <c r="P199" s="1348"/>
      <c r="Q199" s="1348"/>
      <c r="R199" s="1876"/>
      <c r="S199" s="1348"/>
      <c r="T199" s="1348"/>
      <c r="U199" s="708"/>
      <c r="V199" s="1348"/>
      <c r="W199" s="1348"/>
      <c r="X199" s="1348"/>
      <c r="Y199" s="1348"/>
      <c r="Z199" s="1348"/>
      <c r="AA199" s="1872"/>
      <c r="AB199" s="730"/>
      <c r="AC199" s="730"/>
      <c r="AD199" s="730"/>
      <c r="AE199" s="730"/>
    </row>
    <row s="7114" customFormat="1" customHeight="1" ht="11.25">
      <c r="A200" s="1170"/>
      <c r="B200" s="1876"/>
      <c r="C200" s="1876"/>
      <c r="D200" s="499"/>
      <c r="K200" s="1348"/>
      <c r="L200" s="1876"/>
      <c r="M200" s="1876"/>
      <c r="N200" s="1348"/>
      <c r="O200" s="1348"/>
      <c r="P200" s="1348"/>
      <c r="Q200" s="1348"/>
      <c r="R200" s="1876"/>
      <c r="S200" s="1348"/>
      <c r="T200" s="1348"/>
      <c r="U200" s="708"/>
      <c r="V200" s="1348"/>
      <c r="W200" s="1348"/>
      <c r="X200" s="1348"/>
      <c r="Y200" s="1348"/>
      <c r="Z200" s="1348"/>
      <c r="AA200" s="1872"/>
      <c r="AB200" s="730"/>
      <c r="AC200" s="730"/>
      <c r="AD200" s="730"/>
      <c r="AE200" s="730"/>
    </row>
    <row s="7114" customFormat="1" customHeight="1" ht="11.25">
      <c r="A201" s="1170"/>
      <c r="B201" s="1876"/>
      <c r="C201" s="1876"/>
      <c r="D201" s="499"/>
      <c r="K201" s="1348"/>
      <c r="L201" s="1876"/>
      <c r="M201" s="1876"/>
      <c r="N201" s="1348"/>
      <c r="O201" s="1348"/>
      <c r="P201" s="1348"/>
      <c r="Q201" s="1348"/>
      <c r="R201" s="1876"/>
      <c r="S201" s="1348"/>
      <c r="T201" s="1348"/>
      <c r="U201" s="708"/>
      <c r="V201" s="1348"/>
      <c r="W201" s="1348"/>
      <c r="X201" s="1348"/>
      <c r="Y201" s="1348"/>
      <c r="Z201" s="1348"/>
      <c r="AA201" s="1872"/>
      <c r="AB201" s="730"/>
      <c r="AC201" s="730"/>
      <c r="AD201" s="730"/>
      <c r="AE201" s="730"/>
    </row>
    <row s="7114" customFormat="1" customHeight="1" ht="11.25">
      <c r="A202" s="1170"/>
      <c r="B202" s="1876"/>
      <c r="C202" s="1876"/>
      <c r="D202" s="499"/>
      <c r="K202" s="1348"/>
      <c r="L202" s="1876"/>
      <c r="M202" s="1876"/>
      <c r="N202" s="1348"/>
      <c r="O202" s="1348"/>
      <c r="P202" s="1348"/>
      <c r="Q202" s="1348"/>
      <c r="R202" s="1876"/>
      <c r="S202" s="1348"/>
      <c r="T202" s="1348"/>
      <c r="U202" s="708"/>
      <c r="V202" s="1348"/>
      <c r="W202" s="1348"/>
      <c r="X202" s="1348"/>
      <c r="Y202" s="1348"/>
      <c r="Z202" s="1348"/>
      <c r="AA202" s="1872"/>
      <c r="AB202" s="730"/>
      <c r="AC202" s="730"/>
      <c r="AD202" s="730"/>
      <c r="AE202" s="730"/>
    </row>
    <row s="7114" customFormat="1" customHeight="1" ht="11.25">
      <c r="A203" s="1170"/>
      <c r="B203" s="1876"/>
      <c r="C203" s="1876"/>
      <c r="D203" s="499"/>
      <c r="K203" s="1348"/>
      <c r="L203" s="1876"/>
      <c r="M203" s="1876"/>
      <c r="N203" s="1348"/>
      <c r="O203" s="1348"/>
      <c r="P203" s="1348"/>
      <c r="Q203" s="1348"/>
      <c r="R203" s="1876"/>
      <c r="S203" s="1348"/>
      <c r="T203" s="1348"/>
      <c r="U203" s="708"/>
      <c r="V203" s="1348"/>
      <c r="W203" s="1348"/>
      <c r="X203" s="1348"/>
      <c r="Y203" s="1348"/>
      <c r="Z203" s="1348"/>
      <c r="AA203" s="1872"/>
      <c r="AB203" s="730"/>
      <c r="AC203" s="730"/>
      <c r="AD203" s="730"/>
      <c r="AE203" s="730"/>
    </row>
    <row s="7114" customFormat="1" customHeight="1" ht="11.25">
      <c r="A204" s="1170"/>
      <c r="B204" s="1876"/>
      <c r="C204" s="1876"/>
      <c r="D204" s="499"/>
      <c r="K204" s="1348"/>
      <c r="L204" s="1876"/>
      <c r="M204" s="1876"/>
      <c r="N204" s="1348"/>
      <c r="O204" s="1348"/>
      <c r="P204" s="1348"/>
      <c r="Q204" s="1348"/>
      <c r="R204" s="1876"/>
      <c r="S204" s="1348"/>
      <c r="T204" s="1348"/>
      <c r="U204" s="708"/>
      <c r="V204" s="1348"/>
      <c r="W204" s="1348"/>
      <c r="X204" s="1348"/>
      <c r="Y204" s="1348"/>
      <c r="Z204" s="1348"/>
      <c r="AA204" s="1872"/>
      <c r="AB204" s="730"/>
      <c r="AC204" s="730"/>
      <c r="AD204" s="730"/>
      <c r="AE204" s="730"/>
    </row>
    <row r="208" customHeight="1" ht="11.25">
      <c r="A208" s="1173"/>
      <c r="B208" s="1871"/>
      <c r="D208" s="1871"/>
      <c r="K208" s="1871"/>
      <c r="N208" s="1871"/>
      <c r="O208" s="1871"/>
      <c r="P208" s="1871"/>
      <c r="Q208" s="1871"/>
      <c r="S208" s="1871"/>
      <c r="T208" s="1871"/>
      <c r="U208" s="1871"/>
      <c r="V208" s="1871"/>
      <c r="W208" s="1871"/>
      <c r="X208" s="1871"/>
      <c r="Y208" s="1871"/>
      <c r="Z208" s="1871"/>
      <c r="AA208" s="1871"/>
      <c r="AB208" s="1871"/>
      <c r="AC208" s="1871"/>
      <c r="AD208" s="1871"/>
      <c r="AE208" s="1871"/>
    </row>
    <row customHeight="1" ht="11.25">
      <c r="A209" s="1173"/>
      <c r="B209" s="1871"/>
      <c r="D209" s="1871"/>
      <c r="K209" s="1871"/>
      <c r="N209" s="1871"/>
      <c r="O209" s="1871"/>
      <c r="P209" s="1871"/>
      <c r="Q209" s="1871"/>
      <c r="S209" s="1871"/>
      <c r="T209" s="1871"/>
      <c r="U209" s="1871"/>
      <c r="V209" s="1871"/>
      <c r="W209" s="1871"/>
      <c r="X209" s="1871"/>
      <c r="Y209" s="1871"/>
      <c r="Z209" s="1871"/>
      <c r="AA209" s="1871"/>
      <c r="AB209" s="1871"/>
      <c r="AC209" s="1871"/>
      <c r="AD209" s="1871"/>
      <c r="AE209" s="1871"/>
    </row>
    <row customHeight="1" ht="11.25">
      <c r="A210" s="1173"/>
      <c r="B210" s="1871"/>
      <c r="D210" s="1871"/>
      <c r="K210" s="1871"/>
      <c r="N210" s="1871"/>
      <c r="O210" s="1871"/>
      <c r="P210" s="1871"/>
      <c r="Q210" s="1871"/>
      <c r="S210" s="1871"/>
      <c r="T210" s="1871"/>
      <c r="U210" s="1871"/>
      <c r="V210" s="1871"/>
      <c r="W210" s="1871"/>
      <c r="X210" s="1871"/>
      <c r="Y210" s="1871"/>
      <c r="Z210" s="1871"/>
      <c r="AA210" s="1871"/>
      <c r="AB210" s="1871"/>
      <c r="AC210" s="1871"/>
      <c r="AD210" s="1871"/>
      <c r="AE210" s="1871"/>
    </row>
    <row customHeight="1" ht="11.25">
      <c r="A211" s="1173"/>
      <c r="B211" s="1871"/>
      <c r="D211" s="1871"/>
      <c r="K211" s="1871"/>
      <c r="N211" s="1871"/>
      <c r="O211" s="1871"/>
      <c r="P211" s="1871"/>
      <c r="Q211" s="1871"/>
      <c r="S211" s="1871"/>
      <c r="T211" s="1871"/>
      <c r="U211" s="1871"/>
      <c r="V211" s="1871"/>
      <c r="W211" s="1871"/>
      <c r="X211" s="1871"/>
      <c r="Y211" s="1871"/>
      <c r="Z211" s="1871"/>
      <c r="AA211" s="1871"/>
      <c r="AB211" s="1871"/>
      <c r="AC211" s="1871"/>
      <c r="AD211" s="1871"/>
      <c r="AE211" s="1871"/>
    </row>
    <row customHeight="1" ht="11.25">
      <c r="A212" s="1173"/>
      <c r="B212" s="1871"/>
      <c r="D212" s="1871"/>
      <c r="K212" s="1871"/>
      <c r="N212" s="1871"/>
      <c r="O212" s="1871"/>
      <c r="P212" s="1871"/>
      <c r="Q212" s="1871"/>
      <c r="S212" s="1871"/>
      <c r="T212" s="1871"/>
      <c r="U212" s="1871"/>
      <c r="V212" s="1871"/>
      <c r="W212" s="1871"/>
      <c r="X212" s="1871"/>
      <c r="Y212" s="1871"/>
      <c r="Z212" s="1871"/>
      <c r="AA212" s="1871"/>
      <c r="AB212" s="1871"/>
      <c r="AC212" s="1871"/>
      <c r="AD212" s="1871"/>
      <c r="AE212" s="1871"/>
    </row>
    <row customHeight="1" ht="11.25">
      <c r="A213" s="1173"/>
      <c r="B213" s="1871"/>
      <c r="D213" s="1871"/>
      <c r="K213" s="1871"/>
      <c r="N213" s="1871"/>
      <c r="O213" s="1871"/>
      <c r="P213" s="1871"/>
      <c r="Q213" s="1871"/>
      <c r="S213" s="1871"/>
      <c r="T213" s="1871"/>
      <c r="U213" s="1871"/>
      <c r="V213" s="1871"/>
      <c r="W213" s="1871"/>
      <c r="X213" s="1871"/>
      <c r="Y213" s="1871"/>
      <c r="Z213" s="1871"/>
      <c r="AA213" s="1871"/>
      <c r="AB213" s="1871"/>
      <c r="AC213" s="1871"/>
      <c r="AD213" s="1871"/>
      <c r="AE213" s="1871"/>
    </row>
    <row customHeight="1" ht="11.25">
      <c r="A214" s="1173"/>
      <c r="B214" s="1871"/>
      <c r="D214" s="1871"/>
      <c r="K214" s="1871"/>
      <c r="N214" s="1871"/>
      <c r="O214" s="1871"/>
      <c r="P214" s="1871"/>
      <c r="Q214" s="1871"/>
      <c r="S214" s="1871"/>
      <c r="T214" s="1871"/>
      <c r="U214" s="1871"/>
      <c r="V214" s="1871"/>
      <c r="W214" s="1871"/>
      <c r="X214" s="1871"/>
      <c r="Y214" s="1871"/>
      <c r="Z214" s="1871"/>
      <c r="AA214" s="1871"/>
      <c r="AB214" s="1871"/>
      <c r="AC214" s="1871"/>
      <c r="AD214" s="1871"/>
      <c r="AE214" s="1871"/>
    </row>
    <row customHeight="1" ht="11.25">
      <c r="A215" s="1173"/>
      <c r="B215" s="1871"/>
      <c r="D215" s="1871"/>
      <c r="K215" s="1871"/>
      <c r="N215" s="1871"/>
      <c r="O215" s="1871"/>
      <c r="P215" s="1871"/>
      <c r="Q215" s="1871"/>
      <c r="S215" s="1871"/>
      <c r="T215" s="1871"/>
      <c r="U215" s="1871"/>
      <c r="V215" s="1871"/>
      <c r="W215" s="1871"/>
      <c r="X215" s="1871"/>
      <c r="Y215" s="1871"/>
      <c r="Z215" s="1871"/>
      <c r="AA215" s="1871"/>
      <c r="AB215" s="1871"/>
      <c r="AC215" s="1871"/>
      <c r="AD215" s="1871"/>
      <c r="AE215" s="1871"/>
    </row>
    <row customHeight="1" ht="11.25">
      <c r="A216" s="1173"/>
      <c r="B216" s="1871"/>
      <c r="D216" s="1871"/>
      <c r="K216" s="1871"/>
      <c r="N216" s="1871"/>
      <c r="O216" s="1871"/>
      <c r="P216" s="1871"/>
      <c r="Q216" s="1871"/>
      <c r="S216" s="1871"/>
      <c r="T216" s="1871"/>
      <c r="U216" s="1871"/>
      <c r="V216" s="1871"/>
      <c r="W216" s="1871"/>
      <c r="X216" s="1871"/>
      <c r="Y216" s="1871"/>
      <c r="Z216" s="1871"/>
      <c r="AA216" s="1871"/>
      <c r="AB216" s="1871"/>
      <c r="AC216" s="1871"/>
      <c r="AD216" s="1871"/>
      <c r="AE216" s="1871"/>
    </row>
    <row customHeight="1" ht="11.25">
      <c r="A217" s="1173"/>
      <c r="B217" s="1871"/>
      <c r="D217" s="1871"/>
      <c r="K217" s="1871"/>
      <c r="N217" s="1871"/>
      <c r="O217" s="1871"/>
      <c r="P217" s="1871"/>
      <c r="Q217" s="1871"/>
      <c r="S217" s="1871"/>
      <c r="T217" s="1871"/>
      <c r="U217" s="1871"/>
      <c r="V217" s="1871"/>
      <c r="W217" s="1871"/>
      <c r="X217" s="1871"/>
      <c r="Y217" s="1871"/>
      <c r="Z217" s="1871"/>
      <c r="AA217" s="1871"/>
      <c r="AB217" s="1871"/>
      <c r="AC217" s="1871"/>
      <c r="AD217" s="1871"/>
      <c r="AE217" s="1871"/>
    </row>
    <row customHeight="1" ht="11.25">
      <c r="A218" s="1173"/>
      <c r="B218" s="1871"/>
      <c r="D218" s="1871"/>
      <c r="K218" s="1871"/>
      <c r="N218" s="1871"/>
      <c r="O218" s="1871"/>
      <c r="P218" s="1871"/>
      <c r="Q218" s="1871"/>
      <c r="S218" s="1871"/>
      <c r="T218" s="1871"/>
      <c r="U218" s="1871"/>
      <c r="V218" s="1871"/>
      <c r="W218" s="1871"/>
      <c r="X218" s="1871"/>
      <c r="Y218" s="1871"/>
      <c r="Z218" s="1871"/>
      <c r="AA218" s="1871"/>
      <c r="AB218" s="1871"/>
      <c r="AC218" s="1871"/>
      <c r="AD218" s="1871"/>
      <c r="AE218" s="1871"/>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C2236C-A572-3531-B5FD-3E0651334B02}"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7184" width="10.7109375" hidden="1" customWidth="1"/>
    <col min="2" max="2" style="6539" width="16.8515625" hidden="1" customWidth="1"/>
    <col min="3" max="3" style="7085" width="5.57421875" hidden="1" customWidth="1"/>
    <col min="4" max="4" style="7185" width="3.7109375" customWidth="1"/>
    <col min="5" max="5" style="6130" width="7.7109375" customWidth="1"/>
    <col min="6" max="6" style="6130" width="54.57421875" customWidth="1"/>
    <col min="7" max="7" style="6130" width="10.421875" customWidth="1"/>
    <col min="8" max="8" style="6130" width="40.7109375" hidden="1" customWidth="1"/>
    <col min="9" max="9" style="6130" width="40.7109375" customWidth="1"/>
    <col min="10" max="10" style="6130" width="102.8515625" customWidth="1"/>
    <col min="11" max="11" style="6539" width="9.7109375" customWidth="1"/>
    <col min="12" max="12" style="7085" width="5.28125" customWidth="1"/>
    <col min="13" max="13" style="7085" width="3.7109375" customWidth="1"/>
    <col min="14" max="17" style="6539" width="3.7109375" customWidth="1"/>
    <col min="18" max="18" style="7085" width="10.57421875" customWidth="1"/>
    <col min="19" max="19" style="6539" width="34.7109375" customWidth="1"/>
    <col min="20" max="20" style="6539" width="9.421875" customWidth="1"/>
    <col min="21" max="21" style="7186" width="9.140625"/>
    <col min="22" max="26" style="6539" width="9.140625"/>
    <col min="27" max="31" style="7102" width="9.140625"/>
  </cols>
  <sheetData>
    <row s="6539" customFormat="1" customHeight="1" ht="11.25" hidden="1">
      <c r="A1" s="1170"/>
      <c r="C1" s="1876"/>
      <c r="D1" s="701"/>
      <c r="H1" s="1348">
        <v>4</v>
      </c>
      <c r="I1" s="1348">
        <v>4</v>
      </c>
      <c r="L1" s="1876"/>
      <c r="M1" s="1876"/>
      <c r="R1" s="1876"/>
    </row>
    <row s="6539" customFormat="1" customHeight="1" ht="22.5" hidden="1">
      <c r="A2" s="1170"/>
      <c r="C2" s="1876"/>
      <c r="D2" s="702"/>
      <c r="E2" s="1898"/>
      <c r="F2" s="704"/>
      <c r="G2" s="1897" t="s">
        <v>1727</v>
      </c>
      <c r="H2" s="705"/>
      <c r="I2" s="705"/>
      <c r="J2" s="706" t="s">
        <v>1730</v>
      </c>
      <c r="K2" s="707"/>
      <c r="L2" s="1876"/>
      <c r="M2" s="1876"/>
      <c r="R2" s="1876"/>
      <c r="U2" s="708"/>
      <c r="AA2" s="1872"/>
      <c r="AB2" s="1872"/>
      <c r="AC2" s="1872"/>
      <c r="AD2" s="1872"/>
      <c r="AE2" s="1872"/>
    </row>
    <row customHeight="1" ht="11.25" hidden="1"/>
    <row s="7102" customFormat="1" customHeight="1" ht="11.25" hidden="1">
      <c r="A4" s="1170"/>
      <c r="B4" s="1348"/>
      <c r="C4" s="1876"/>
      <c r="D4" s="512"/>
      <c r="J4" s="1872">
        <v>4</v>
      </c>
      <c r="K4" s="1348"/>
      <c r="L4" s="1876"/>
      <c r="M4" s="1876"/>
      <c r="N4" s="1348"/>
      <c r="O4" s="1348"/>
      <c r="P4" s="1348"/>
      <c r="Q4" s="1348"/>
      <c r="R4" s="1876"/>
      <c r="S4" s="1348"/>
      <c r="T4" s="1348"/>
      <c r="U4" s="708"/>
      <c r="V4" s="1348"/>
      <c r="W4" s="1348"/>
      <c r="X4" s="1348"/>
      <c r="Y4" s="1348"/>
      <c r="Z4" s="1348"/>
    </row>
    <row r="6" customHeight="1" ht="24">
      <c r="E6" s="2328" t="s">
        <v>1826</v>
      </c>
      <c r="F6" s="2329"/>
      <c r="G6" s="2329"/>
      <c r="H6" s="2329"/>
      <c r="I6" s="2330"/>
      <c r="J6" s="720"/>
    </row>
    <row customHeight="1" ht="24">
      <c r="E7" s="2331"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F7" s="2332"/>
      <c r="G7" s="2332"/>
      <c r="H7" s="2332"/>
      <c r="I7" s="2333"/>
    </row>
    <row customHeight="1" ht="11.25">
      <c r="E8" s="1323"/>
      <c r="F8" s="1323"/>
      <c r="G8" s="1323"/>
      <c r="H8" s="1323"/>
      <c r="I8" s="1323"/>
    </row>
    <row s="7085" customFormat="1" customHeight="1" ht="0.75">
      <c r="A9" s="1355"/>
      <c r="D9" s="1882"/>
      <c r="H9" s="1065"/>
      <c r="I9" s="1065" t="s">
        <v>125</v>
      </c>
    </row>
    <row customHeight="1" ht="11.25">
      <c r="E10" s="875"/>
      <c r="F10" s="2472" t="s">
        <v>114</v>
      </c>
      <c r="G10" s="2473"/>
      <c r="H10" s="1899" t="str">
        <f>IF(H9="","",INDEX(DIFFERENTIATION_UNMERGE_VD,MATCH(H9,DIFFERENTIATION_ID_DIFF,0)))</f>
        <v/>
      </c>
      <c r="I10" s="1899" t="str">
        <f>IF(I9="","",INDEX(DIFFERENTIATION_UNMERGE_VD,MATCH(I9,DIFFERENTIATION_ID_DIFF,0)))</f>
        <v>Водоотведение</v>
      </c>
      <c r="J10" s="2204"/>
    </row>
    <row customHeight="1" ht="11.25">
      <c r="E11" s="875"/>
      <c r="F11" s="2472" t="s">
        <v>1428</v>
      </c>
      <c r="G11" s="2473"/>
      <c r="H11" s="1899" t="str">
        <f>IF(H9="","",INDEX(DIFFERENTIATION_UNMERGE_AREA,MATCH(H9,DIFFERENTIATION_ID_DIFF,0)))</f>
        <v/>
      </c>
      <c r="I11" s="1899" t="str">
        <f>IF(I9="","",INDEX(DIFFERENTIATION_UNMERGE_AREA,MATCH(I9,DIFFERENTIATION_ID_DIFF,0)))</f>
        <v>Краснодарский край (тариф на водоотведение)  </v>
      </c>
      <c r="J11" s="2204"/>
    </row>
    <row customHeight="1" ht="11.25" hidden="1">
      <c r="E12" s="1902"/>
      <c r="F12" s="2527" t="s">
        <v>1429</v>
      </c>
      <c r="G12" s="2528"/>
      <c r="H12" s="1903" t="str">
        <f>IF(H9="","",INDEX(DIFFERENTIATION_UNMERGE_SYSTEM,MATCH(H9,DIFFERENTIATION_ID_DIFF,0)))</f>
        <v/>
      </c>
      <c r="I12" s="1903" t="str">
        <f>IF(I9="","",INDEX(DIFFERENTIATION_UNMERGE_SYSTEM,MATCH(I9,DIFFERENTIATION_ID_DIFF,0)))</f>
        <v>без дифференциации</v>
      </c>
      <c r="J12" s="2204"/>
    </row>
    <row customHeight="1" ht="11.25">
      <c r="E13" s="2474" t="s">
        <v>300</v>
      </c>
      <c r="F13" s="2475"/>
      <c r="G13" s="2475"/>
      <c r="H13" s="1896"/>
      <c r="I13" s="1896"/>
      <c r="J13" s="2204"/>
    </row>
    <row customHeight="1" ht="22.5">
      <c r="E14" s="1897" t="s">
        <v>87</v>
      </c>
      <c r="F14" s="1900" t="s">
        <v>302</v>
      </c>
      <c r="G14" s="1900" t="s">
        <v>1607</v>
      </c>
      <c r="H14" s="1900" t="s">
        <v>303</v>
      </c>
      <c r="I14" s="1900" t="s">
        <v>303</v>
      </c>
      <c r="J14" s="2204"/>
    </row>
    <row customHeight="1" ht="18.75">
      <c r="D15" s="1878"/>
      <c r="E15" s="1870" t="s">
        <v>118</v>
      </c>
      <c r="F15" s="871" t="s">
        <v>1827</v>
      </c>
      <c r="G15" s="1897" t="s">
        <v>1727</v>
      </c>
      <c r="H15" s="721"/>
      <c r="I15" s="721"/>
      <c r="J15" s="426" t="s">
        <v>1828</v>
      </c>
      <c r="K15" s="707" t="s">
        <v>1779</v>
      </c>
    </row>
    <row customHeight="1" ht="22.5">
      <c r="D16" s="1878"/>
      <c r="E16" s="1870" t="s">
        <v>102</v>
      </c>
      <c r="F16" s="1905" t="s">
        <v>1829</v>
      </c>
      <c r="G16" s="1897" t="s">
        <v>1727</v>
      </c>
      <c r="H16" s="722">
        <f>SUM(H17,H20:H27)</f>
        <v>0</v>
      </c>
      <c r="I16" s="722">
        <f>SUM(I17,I20:I27)</f>
        <v>0</v>
      </c>
      <c r="J16" s="426" t="s">
        <v>1830</v>
      </c>
      <c r="K16" s="707" t="s">
        <v>1779</v>
      </c>
    </row>
    <row customHeight="1" ht="33.75">
      <c r="D17" s="1878"/>
      <c r="E17" s="1904" t="s">
        <v>512</v>
      </c>
      <c r="F17" s="1907" t="s">
        <v>1831</v>
      </c>
      <c r="G17" s="1894" t="s">
        <v>1727</v>
      </c>
      <c r="H17" s="721"/>
      <c r="I17" s="721"/>
      <c r="J17" s="426" t="s">
        <v>1832</v>
      </c>
      <c r="K17" s="707"/>
    </row>
    <row customHeight="1" ht="18.75">
      <c r="D18" s="1878"/>
      <c r="E18" s="1904" t="s">
        <v>1465</v>
      </c>
      <c r="F18" s="1908" t="s">
        <v>1833</v>
      </c>
      <c r="G18" s="1894" t="s">
        <v>1727</v>
      </c>
      <c r="H18" s="721"/>
      <c r="I18" s="721"/>
      <c r="J18" s="426"/>
      <c r="K18" s="707"/>
    </row>
    <row customHeight="1" ht="22.5">
      <c r="D19" s="1878"/>
      <c r="E19" s="1904" t="s">
        <v>1786</v>
      </c>
      <c r="F19" s="1908" t="s">
        <v>1834</v>
      </c>
      <c r="G19" s="1894" t="s">
        <v>1727</v>
      </c>
      <c r="H19" s="721"/>
      <c r="I19" s="721"/>
      <c r="J19" s="426"/>
      <c r="K19" s="707"/>
    </row>
    <row customHeight="1" ht="33.75">
      <c r="D20" s="1878"/>
      <c r="E20" s="1904" t="s">
        <v>307</v>
      </c>
      <c r="F20" s="1907" t="s">
        <v>1835</v>
      </c>
      <c r="G20" s="1894" t="s">
        <v>1727</v>
      </c>
      <c r="H20" s="721"/>
      <c r="I20" s="721"/>
      <c r="J20" s="426"/>
      <c r="K20" s="707"/>
    </row>
    <row customHeight="1" ht="33.75">
      <c r="D21" s="1878"/>
      <c r="E21" s="1904" t="s">
        <v>310</v>
      </c>
      <c r="F21" s="1907" t="s">
        <v>1836</v>
      </c>
      <c r="G21" s="1894" t="s">
        <v>1727</v>
      </c>
      <c r="H21" s="721"/>
      <c r="I21" s="721"/>
      <c r="J21" s="426"/>
      <c r="K21" s="707"/>
    </row>
    <row customHeight="1" ht="56.25">
      <c r="D22" s="1878"/>
      <c r="E22" s="1904" t="s">
        <v>521</v>
      </c>
      <c r="F22" s="1907" t="s">
        <v>1837</v>
      </c>
      <c r="G22" s="1894" t="s">
        <v>1727</v>
      </c>
      <c r="H22" s="721"/>
      <c r="I22" s="721"/>
      <c r="J22" s="426"/>
      <c r="K22" s="707"/>
    </row>
    <row customHeight="1" ht="33.75">
      <c r="D23" s="1878"/>
      <c r="E23" s="1904" t="s">
        <v>523</v>
      </c>
      <c r="F23" s="1907" t="s">
        <v>1838</v>
      </c>
      <c r="G23" s="1894" t="s">
        <v>1727</v>
      </c>
      <c r="H23" s="721"/>
      <c r="I23" s="721"/>
      <c r="J23" s="426"/>
      <c r="K23" s="707"/>
    </row>
    <row customHeight="1" ht="33.75">
      <c r="D24" s="1878"/>
      <c r="E24" s="1904" t="s">
        <v>537</v>
      </c>
      <c r="F24" s="1907" t="s">
        <v>1839</v>
      </c>
      <c r="G24" s="1894" t="s">
        <v>1727</v>
      </c>
      <c r="H24" s="721"/>
      <c r="I24" s="721"/>
      <c r="J24" s="426"/>
      <c r="K24" s="707"/>
    </row>
    <row customHeight="1" ht="22.5">
      <c r="D25" s="1878"/>
      <c r="E25" s="1904" t="s">
        <v>548</v>
      </c>
      <c r="F25" s="1907" t="s">
        <v>1840</v>
      </c>
      <c r="G25" s="1894" t="s">
        <v>1727</v>
      </c>
      <c r="H25" s="721"/>
      <c r="I25" s="721"/>
      <c r="J25" s="426"/>
      <c r="K25" s="707"/>
    </row>
    <row customHeight="1" ht="67.5">
      <c r="D26" s="1878"/>
      <c r="E26" s="1904" t="s">
        <v>559</v>
      </c>
      <c r="F26" s="1907" t="s">
        <v>1841</v>
      </c>
      <c r="G26" s="1894" t="s">
        <v>1727</v>
      </c>
      <c r="H26" s="721"/>
      <c r="I26" s="721"/>
      <c r="J26" s="426"/>
      <c r="K26" s="707"/>
    </row>
    <row s="6539" customFormat="1" customHeight="1" ht="22.5">
      <c r="A27" s="1170"/>
      <c r="C27" s="1876"/>
      <c r="D27" s="1878"/>
      <c r="E27" s="1869" t="s">
        <v>567</v>
      </c>
      <c r="F27" s="1868" t="s">
        <v>1842</v>
      </c>
      <c r="G27" s="1895" t="s">
        <v>1727</v>
      </c>
      <c r="H27" s="743">
        <f>SUM(H28:H29)</f>
        <v>0</v>
      </c>
      <c r="I27" s="743">
        <f>SUM(I28:I29)</f>
        <v>0</v>
      </c>
      <c r="J27" s="426" t="s">
        <v>1804</v>
      </c>
      <c r="K27" s="707"/>
      <c r="L27" s="1876"/>
      <c r="M27" s="1876"/>
      <c r="R27" s="1876"/>
      <c r="U27" s="708"/>
      <c r="AA27" s="1872"/>
      <c r="AB27" s="1872"/>
      <c r="AC27" s="1872"/>
      <c r="AD27" s="1872"/>
      <c r="AE27" s="1872"/>
    </row>
    <row s="7085" customFormat="1" customHeight="1" ht="0.75">
      <c r="A28" s="1355"/>
      <c r="D28" s="712"/>
      <c r="E28" s="969" t="str">
        <f>E27&amp;".0"</f>
        <v>2.9.0</v>
      </c>
      <c r="F28" s="1174"/>
      <c r="G28" s="715"/>
      <c r="H28" s="1175"/>
      <c r="I28" s="1175"/>
      <c r="J28" s="1176"/>
    </row>
    <row s="6539" customFormat="1" customHeight="1" ht="18.75">
      <c r="A29" s="1170"/>
      <c r="C29" s="1876"/>
      <c r="D29" s="1873"/>
      <c r="E29" s="734"/>
      <c r="F29" s="1906" t="s">
        <v>1745</v>
      </c>
      <c r="G29" s="736"/>
      <c r="H29" s="737"/>
      <c r="I29" s="737"/>
      <c r="J29" s="438" t="s">
        <v>1805</v>
      </c>
      <c r="K29" s="707"/>
      <c r="L29" s="1876"/>
      <c r="M29" s="1876"/>
      <c r="R29" s="1876"/>
      <c r="U29" s="708"/>
      <c r="AA29" s="1872"/>
      <c r="AB29" s="1872"/>
      <c r="AC29" s="1872"/>
      <c r="AD29" s="1872"/>
      <c r="AE29" s="1872"/>
    </row>
    <row s="6539" customFormat="1" customHeight="1" ht="22.5">
      <c r="A30" s="1170"/>
      <c r="C30" s="1876"/>
      <c r="D30" s="1878"/>
      <c r="E30" s="1904" t="s">
        <v>89</v>
      </c>
      <c r="F30" s="1901" t="s">
        <v>1843</v>
      </c>
      <c r="G30" s="1894" t="s">
        <v>1727</v>
      </c>
      <c r="H30" s="721"/>
      <c r="I30" s="721"/>
      <c r="J30" s="426"/>
      <c r="K30" s="707"/>
      <c r="L30" s="1876"/>
      <c r="M30" s="1876"/>
      <c r="R30" s="1876"/>
      <c r="U30" s="708"/>
      <c r="AA30" s="1872"/>
      <c r="AB30" s="1872"/>
      <c r="AC30" s="1872"/>
      <c r="AD30" s="1872"/>
      <c r="AE30" s="1872"/>
    </row>
    <row s="6539" customFormat="1" customHeight="1" ht="33.75">
      <c r="A31" s="1170"/>
      <c r="C31" s="1876"/>
      <c r="D31" s="739"/>
      <c r="E31" s="1904" t="s">
        <v>90</v>
      </c>
      <c r="F31" s="1901" t="s">
        <v>1844</v>
      </c>
      <c r="G31" s="1894" t="s">
        <v>1727</v>
      </c>
      <c r="H31" s="721"/>
      <c r="I31" s="721"/>
      <c r="J31" s="426" t="s">
        <v>1845</v>
      </c>
      <c r="K31" s="707"/>
      <c r="L31" s="1876"/>
      <c r="M31" s="1876"/>
      <c r="R31" s="1876"/>
      <c r="U31" s="708"/>
      <c r="AA31" s="1872"/>
      <c r="AB31" s="1872"/>
      <c r="AC31" s="1872"/>
      <c r="AD31" s="1872"/>
      <c r="AE31" s="1872"/>
    </row>
    <row s="6539" customFormat="1" customHeight="1" ht="22.5">
      <c r="A32" s="1170"/>
      <c r="C32" s="1876"/>
      <c r="D32" s="1878"/>
      <c r="E32" s="1904" t="s">
        <v>620</v>
      </c>
      <c r="F32" s="854" t="s">
        <v>1812</v>
      </c>
      <c r="G32" s="1894" t="s">
        <v>1727</v>
      </c>
      <c r="H32" s="721"/>
      <c r="I32" s="721"/>
      <c r="J32" s="426" t="s">
        <v>1846</v>
      </c>
      <c r="K32" s="707"/>
      <c r="L32" s="1876"/>
      <c r="M32" s="1876"/>
      <c r="R32" s="1876"/>
      <c r="U32" s="708"/>
      <c r="AA32" s="1872"/>
      <c r="AB32" s="1872"/>
      <c r="AC32" s="1872"/>
      <c r="AD32" s="1872"/>
      <c r="AE32" s="1872"/>
    </row>
    <row s="6539" customFormat="1" customHeight="1" ht="22.5">
      <c r="A33" s="1170"/>
      <c r="C33" s="1876"/>
      <c r="D33" s="1878"/>
      <c r="E33" s="1904" t="s">
        <v>639</v>
      </c>
      <c r="F33" s="854" t="s">
        <v>1847</v>
      </c>
      <c r="G33" s="1894" t="s">
        <v>1727</v>
      </c>
      <c r="H33" s="721"/>
      <c r="I33" s="721"/>
      <c r="J33" s="426" t="s">
        <v>1848</v>
      </c>
      <c r="K33" s="707"/>
      <c r="L33" s="1876"/>
      <c r="M33" s="1876"/>
      <c r="R33" s="1876"/>
      <c r="U33" s="708"/>
      <c r="AA33" s="1872"/>
      <c r="AB33" s="1872"/>
      <c r="AC33" s="1872"/>
      <c r="AD33" s="1872"/>
      <c r="AE33" s="1872"/>
    </row>
    <row s="6539" customFormat="1" customHeight="1" ht="22.5">
      <c r="A34" s="1170"/>
      <c r="C34" s="1876"/>
      <c r="D34" s="1878"/>
      <c r="E34" s="1904" t="s">
        <v>1622</v>
      </c>
      <c r="F34" s="854" t="s">
        <v>1815</v>
      </c>
      <c r="G34" s="1894" t="s">
        <v>1727</v>
      </c>
      <c r="H34" s="721"/>
      <c r="I34" s="721"/>
      <c r="J34" s="426" t="s">
        <v>1849</v>
      </c>
      <c r="K34" s="707"/>
      <c r="L34" s="1876"/>
      <c r="M34" s="1876"/>
      <c r="R34" s="1876"/>
      <c r="U34" s="708"/>
      <c r="AA34" s="1872"/>
      <c r="AB34" s="1872"/>
      <c r="AC34" s="1872"/>
      <c r="AD34" s="1872"/>
      <c r="AE34" s="1872"/>
    </row>
    <row s="6539" customFormat="1" customHeight="1" ht="33.75">
      <c r="A35" s="1170"/>
      <c r="C35" s="1876" t="s">
        <v>1754</v>
      </c>
      <c r="D35" s="1878"/>
      <c r="E35" s="1904" t="s">
        <v>119</v>
      </c>
      <c r="F35" s="1901" t="s">
        <v>645</v>
      </c>
      <c r="G35" s="1897" t="s">
        <v>306</v>
      </c>
      <c r="H35" s="563"/>
      <c r="I35" s="563"/>
      <c r="J35" s="426" t="s">
        <v>1850</v>
      </c>
      <c r="K35" s="707"/>
      <c r="L35" s="1876"/>
      <c r="M35" s="1876"/>
      <c r="R35" s="1876"/>
      <c r="U35" s="708"/>
      <c r="AA35" s="1872"/>
      <c r="AB35" s="1872"/>
      <c r="AC35" s="1872"/>
      <c r="AD35" s="1872"/>
      <c r="AE35" s="1872"/>
    </row>
    <row s="6539" customFormat="1" customHeight="1" ht="22.5">
      <c r="A36" s="1170"/>
      <c r="C36" s="1876"/>
      <c r="D36" s="1878"/>
      <c r="E36" s="1904" t="s">
        <v>91</v>
      </c>
      <c r="F36" s="1901" t="s">
        <v>1851</v>
      </c>
      <c r="G36" s="1894" t="s">
        <v>1820</v>
      </c>
      <c r="H36" s="709"/>
      <c r="I36" s="709"/>
      <c r="J36" s="426" t="s">
        <v>1821</v>
      </c>
      <c r="K36" s="707"/>
      <c r="L36" s="1876"/>
      <c r="M36" s="1876"/>
      <c r="R36" s="1876"/>
      <c r="U36" s="708"/>
      <c r="AA36" s="1872"/>
      <c r="AB36" s="1872"/>
      <c r="AC36" s="1872"/>
      <c r="AD36" s="1872"/>
      <c r="AE36" s="1872"/>
    </row>
    <row s="6539" customFormat="1" customHeight="1" ht="22.5">
      <c r="A37" s="1170"/>
      <c r="C37" s="1876"/>
      <c r="D37" s="1878"/>
      <c r="E37" s="1904" t="s">
        <v>92</v>
      </c>
      <c r="F37" s="1901" t="s">
        <v>1852</v>
      </c>
      <c r="G37" s="1894" t="s">
        <v>1823</v>
      </c>
      <c r="H37" s="709"/>
      <c r="I37" s="709"/>
      <c r="J37" s="426" t="s">
        <v>1824</v>
      </c>
      <c r="K37" s="707"/>
      <c r="L37" s="1876"/>
      <c r="M37" s="1876"/>
      <c r="R37" s="1876"/>
      <c r="U37" s="708"/>
      <c r="AA37" s="1872"/>
      <c r="AB37" s="1872"/>
      <c r="AC37" s="1872"/>
      <c r="AD37" s="1872"/>
      <c r="AE37" s="1872"/>
    </row>
    <row customHeight="1" ht="11.25">
      <c r="D38" s="1878"/>
    </row>
    <row customHeight="1" ht="26.25">
      <c r="D39" s="1878"/>
      <c r="E39" s="1460" t="s">
        <v>1517</v>
      </c>
      <c r="F39" s="2379" t="s">
        <v>1853</v>
      </c>
      <c r="G39" s="2379"/>
      <c r="H39" s="2379"/>
      <c r="I39" s="2379"/>
      <c r="J39" s="2379"/>
    </row>
    <row s="7114" customFormat="1" customHeight="1" ht="37.5">
      <c r="A40" s="1170"/>
      <c r="B40" s="1876"/>
      <c r="C40" s="1876"/>
      <c r="D40" s="499"/>
      <c r="F40" s="2379" t="s">
        <v>1854</v>
      </c>
      <c r="G40" s="2379"/>
      <c r="H40" s="2379"/>
      <c r="I40" s="2379"/>
      <c r="J40" s="2379"/>
      <c r="K40" s="1348"/>
      <c r="L40" s="1876"/>
      <c r="M40" s="1876"/>
      <c r="N40" s="1348"/>
      <c r="O40" s="1348"/>
      <c r="P40" s="1348"/>
      <c r="Q40" s="1348"/>
      <c r="R40" s="1876"/>
      <c r="S40" s="1348"/>
      <c r="T40" s="1348"/>
      <c r="U40" s="708"/>
      <c r="V40" s="1348"/>
      <c r="W40" s="1348"/>
      <c r="X40" s="1348"/>
      <c r="Y40" s="1348"/>
      <c r="Z40" s="1348"/>
      <c r="AA40" s="1872"/>
      <c r="AB40" s="730"/>
      <c r="AC40" s="730"/>
      <c r="AD40" s="730"/>
      <c r="AE40" s="730"/>
    </row>
    <row s="7114" customFormat="1" customHeight="1" ht="11.25">
      <c r="A41" s="1170"/>
      <c r="B41" s="1876"/>
      <c r="C41" s="1876"/>
      <c r="D41" s="499"/>
      <c r="K41" s="1348"/>
      <c r="L41" s="1876"/>
      <c r="M41" s="1876"/>
      <c r="N41" s="1348"/>
      <c r="O41" s="1348"/>
      <c r="P41" s="1348"/>
      <c r="Q41" s="1348"/>
      <c r="R41" s="1876"/>
      <c r="S41" s="1348"/>
      <c r="T41" s="1348"/>
      <c r="U41" s="708"/>
      <c r="V41" s="1348"/>
      <c r="W41" s="1348"/>
      <c r="X41" s="1348"/>
      <c r="Y41" s="1348"/>
      <c r="Z41" s="1348"/>
      <c r="AA41" s="1872"/>
      <c r="AB41" s="730"/>
      <c r="AC41" s="730"/>
      <c r="AD41" s="730"/>
      <c r="AE41" s="730"/>
    </row>
    <row s="7114" customFormat="1" customHeight="1" ht="11.25">
      <c r="A42" s="1170"/>
      <c r="B42" s="1876"/>
      <c r="C42" s="1876"/>
      <c r="D42" s="499"/>
      <c r="K42" s="1348"/>
      <c r="L42" s="1876"/>
      <c r="M42" s="1876"/>
      <c r="N42" s="1348"/>
      <c r="O42" s="1348"/>
      <c r="P42" s="1348"/>
      <c r="Q42" s="1348"/>
      <c r="R42" s="1876"/>
      <c r="S42" s="1348"/>
      <c r="T42" s="1348"/>
      <c r="U42" s="708"/>
      <c r="V42" s="1348"/>
      <c r="W42" s="1348"/>
      <c r="X42" s="1348"/>
      <c r="Y42" s="1348"/>
      <c r="Z42" s="1348"/>
      <c r="AA42" s="1872"/>
      <c r="AB42" s="730"/>
      <c r="AC42" s="730"/>
      <c r="AD42" s="730"/>
      <c r="AE42" s="730"/>
    </row>
    <row s="7114" customFormat="1" customHeight="1" ht="11.25">
      <c r="A43" s="1170"/>
      <c r="B43" s="1876"/>
      <c r="C43" s="1876"/>
      <c r="D43" s="499"/>
      <c r="H43" s="730"/>
      <c r="I43" s="730"/>
      <c r="K43" s="1348"/>
      <c r="L43" s="1876"/>
      <c r="M43" s="1876"/>
      <c r="N43" s="1348"/>
      <c r="O43" s="1348"/>
      <c r="P43" s="1348"/>
      <c r="Q43" s="1348"/>
      <c r="R43" s="1876"/>
      <c r="S43" s="1348"/>
      <c r="T43" s="1348"/>
      <c r="U43" s="708"/>
      <c r="V43" s="1348"/>
      <c r="W43" s="1348"/>
      <c r="X43" s="1348"/>
      <c r="Y43" s="1348"/>
      <c r="Z43" s="1348"/>
      <c r="AA43" s="1872"/>
      <c r="AB43" s="730"/>
      <c r="AC43" s="730"/>
      <c r="AD43" s="730"/>
      <c r="AE43" s="730"/>
    </row>
    <row s="7114" customFormat="1" customHeight="1" ht="11.25">
      <c r="A44" s="1170"/>
      <c r="B44" s="1876"/>
      <c r="C44" s="1876"/>
      <c r="D44" s="499"/>
      <c r="K44" s="1348"/>
      <c r="L44" s="1876"/>
      <c r="M44" s="1876"/>
      <c r="N44" s="1348"/>
      <c r="O44" s="1348"/>
      <c r="P44" s="1348"/>
      <c r="Q44" s="1348"/>
      <c r="R44" s="1876"/>
      <c r="S44" s="1348"/>
      <c r="T44" s="1348"/>
      <c r="U44" s="708"/>
      <c r="V44" s="1348"/>
      <c r="W44" s="1348"/>
      <c r="X44" s="1348"/>
      <c r="Y44" s="1348"/>
      <c r="Z44" s="1348"/>
      <c r="AA44" s="1872"/>
      <c r="AB44" s="730"/>
      <c r="AC44" s="730"/>
      <c r="AD44" s="730"/>
      <c r="AE44" s="730"/>
    </row>
    <row s="7114" customFormat="1" customHeight="1" ht="11.25">
      <c r="A45" s="1170"/>
      <c r="B45" s="1876"/>
      <c r="C45" s="1876"/>
      <c r="D45" s="499"/>
      <c r="K45" s="1348"/>
      <c r="L45" s="1876"/>
      <c r="M45" s="1876"/>
      <c r="N45" s="1348"/>
      <c r="O45" s="1348"/>
      <c r="P45" s="1348"/>
      <c r="Q45" s="1348"/>
      <c r="R45" s="1876"/>
      <c r="S45" s="1348"/>
      <c r="T45" s="1348"/>
      <c r="U45" s="708"/>
      <c r="V45" s="1348"/>
      <c r="W45" s="1348"/>
      <c r="X45" s="1348"/>
      <c r="Y45" s="1348"/>
      <c r="Z45" s="1348"/>
      <c r="AA45" s="1872"/>
      <c r="AB45" s="730"/>
      <c r="AC45" s="730"/>
      <c r="AD45" s="730"/>
      <c r="AE45" s="730"/>
    </row>
    <row s="7114" customFormat="1" customHeight="1" ht="11.25">
      <c r="A46" s="1170"/>
      <c r="B46" s="1876"/>
      <c r="C46" s="1876"/>
      <c r="D46" s="499"/>
      <c r="K46" s="1348"/>
      <c r="L46" s="1876"/>
      <c r="M46" s="1876"/>
      <c r="N46" s="1348"/>
      <c r="O46" s="1348"/>
      <c r="P46" s="1348"/>
      <c r="Q46" s="1348"/>
      <c r="R46" s="1876"/>
      <c r="S46" s="1348"/>
      <c r="T46" s="1348"/>
      <c r="U46" s="708"/>
      <c r="V46" s="1348"/>
      <c r="W46" s="1348"/>
      <c r="X46" s="1348"/>
      <c r="Y46" s="1348"/>
      <c r="Z46" s="1348"/>
      <c r="AA46" s="1872"/>
      <c r="AB46" s="730"/>
      <c r="AC46" s="730"/>
      <c r="AD46" s="730"/>
      <c r="AE46" s="730"/>
    </row>
    <row s="7114" customFormat="1" customHeight="1" ht="11.25">
      <c r="A47" s="1170"/>
      <c r="B47" s="1876"/>
      <c r="C47" s="1876"/>
      <c r="D47" s="499"/>
      <c r="K47" s="1348"/>
      <c r="L47" s="1876"/>
      <c r="M47" s="1876"/>
      <c r="N47" s="1348"/>
      <c r="O47" s="1348"/>
      <c r="P47" s="1348"/>
      <c r="Q47" s="1348"/>
      <c r="R47" s="1876"/>
      <c r="S47" s="1348"/>
      <c r="T47" s="1348"/>
      <c r="U47" s="708"/>
      <c r="V47" s="1348"/>
      <c r="W47" s="1348"/>
      <c r="X47" s="1348"/>
      <c r="Y47" s="1348"/>
      <c r="Z47" s="1348"/>
      <c r="AA47" s="1872"/>
      <c r="AB47" s="730"/>
      <c r="AC47" s="730"/>
      <c r="AD47" s="730"/>
      <c r="AE47" s="730"/>
    </row>
    <row s="7114" customFormat="1" customHeight="1" ht="11.25">
      <c r="A48" s="1170"/>
      <c r="B48" s="1876"/>
      <c r="C48" s="1876"/>
      <c r="D48" s="499"/>
      <c r="K48" s="1348"/>
      <c r="L48" s="1876"/>
      <c r="M48" s="1876"/>
      <c r="N48" s="1348"/>
      <c r="O48" s="1348"/>
      <c r="P48" s="1348"/>
      <c r="Q48" s="1348"/>
      <c r="R48" s="1876"/>
      <c r="S48" s="1348"/>
      <c r="T48" s="1348"/>
      <c r="U48" s="708"/>
      <c r="V48" s="1348"/>
      <c r="W48" s="1348"/>
      <c r="X48" s="1348"/>
      <c r="Y48" s="1348"/>
      <c r="Z48" s="1348"/>
      <c r="AA48" s="1872"/>
      <c r="AB48" s="730"/>
      <c r="AC48" s="730"/>
      <c r="AD48" s="730"/>
      <c r="AE48" s="730"/>
    </row>
    <row s="7114" customFormat="1" customHeight="1" ht="11.25">
      <c r="A49" s="1170"/>
      <c r="B49" s="1876"/>
      <c r="C49" s="1876"/>
      <c r="D49" s="499"/>
      <c r="K49" s="1348"/>
      <c r="L49" s="1876"/>
      <c r="M49" s="1876"/>
      <c r="N49" s="1348"/>
      <c r="O49" s="1348"/>
      <c r="P49" s="1348"/>
      <c r="Q49" s="1348"/>
      <c r="R49" s="1876"/>
      <c r="S49" s="1348"/>
      <c r="T49" s="1348"/>
      <c r="U49" s="708"/>
      <c r="V49" s="1348"/>
      <c r="W49" s="1348"/>
      <c r="X49" s="1348"/>
      <c r="Y49" s="1348"/>
      <c r="Z49" s="1348"/>
      <c r="AA49" s="1872"/>
      <c r="AB49" s="730"/>
      <c r="AC49" s="730"/>
      <c r="AD49" s="730"/>
      <c r="AE49" s="730"/>
    </row>
    <row s="7114" customFormat="1" customHeight="1" ht="11.25">
      <c r="A50" s="1170"/>
      <c r="B50" s="1876"/>
      <c r="C50" s="1876"/>
      <c r="D50" s="499"/>
      <c r="K50" s="1348"/>
      <c r="L50" s="1876"/>
      <c r="M50" s="1876"/>
      <c r="N50" s="1348"/>
      <c r="O50" s="1348"/>
      <c r="P50" s="1348"/>
      <c r="Q50" s="1348"/>
      <c r="R50" s="1876"/>
      <c r="S50" s="1348"/>
      <c r="T50" s="1348"/>
      <c r="U50" s="708"/>
      <c r="V50" s="1348"/>
      <c r="W50" s="1348"/>
      <c r="X50" s="1348"/>
      <c r="Y50" s="1348"/>
      <c r="Z50" s="1348"/>
      <c r="AA50" s="1872"/>
      <c r="AB50" s="730"/>
      <c r="AC50" s="730"/>
      <c r="AD50" s="730"/>
      <c r="AE50" s="730"/>
    </row>
    <row s="7114" customFormat="1" customHeight="1" ht="11.25">
      <c r="A51" s="1170"/>
      <c r="B51" s="1876"/>
      <c r="C51" s="1876"/>
      <c r="D51" s="499"/>
      <c r="K51" s="1348"/>
      <c r="L51" s="1876"/>
      <c r="M51" s="1876"/>
      <c r="N51" s="1348"/>
      <c r="O51" s="1348"/>
      <c r="P51" s="1348"/>
      <c r="Q51" s="1348"/>
      <c r="R51" s="1876"/>
      <c r="S51" s="1348"/>
      <c r="T51" s="1348"/>
      <c r="U51" s="708"/>
      <c r="V51" s="1348"/>
      <c r="W51" s="1348"/>
      <c r="X51" s="1348"/>
      <c r="Y51" s="1348"/>
      <c r="Z51" s="1348"/>
      <c r="AA51" s="1872"/>
      <c r="AB51" s="730"/>
      <c r="AC51" s="730"/>
      <c r="AD51" s="730"/>
      <c r="AE51" s="730"/>
    </row>
    <row s="7114" customFormat="1" customHeight="1" ht="11.25">
      <c r="A52" s="1170"/>
      <c r="B52" s="1876"/>
      <c r="C52" s="1876"/>
      <c r="D52" s="499"/>
      <c r="K52" s="1348"/>
      <c r="L52" s="1876"/>
      <c r="M52" s="1876"/>
      <c r="N52" s="1348"/>
      <c r="O52" s="1348"/>
      <c r="P52" s="1348"/>
      <c r="Q52" s="1348"/>
      <c r="R52" s="1876"/>
      <c r="S52" s="1348"/>
      <c r="T52" s="1348"/>
      <c r="U52" s="708"/>
      <c r="V52" s="1348"/>
      <c r="W52" s="1348"/>
      <c r="X52" s="1348"/>
      <c r="Y52" s="1348"/>
      <c r="Z52" s="1348"/>
      <c r="AA52" s="1872"/>
      <c r="AB52" s="730"/>
      <c r="AC52" s="730"/>
      <c r="AD52" s="730"/>
      <c r="AE52" s="730"/>
    </row>
    <row s="7114" customFormat="1" customHeight="1" ht="11.25">
      <c r="A53" s="1170"/>
      <c r="B53" s="1876"/>
      <c r="C53" s="1876"/>
      <c r="D53" s="499"/>
      <c r="K53" s="1348"/>
      <c r="L53" s="1876"/>
      <c r="M53" s="1876"/>
      <c r="N53" s="1348"/>
      <c r="O53" s="1348"/>
      <c r="P53" s="1348"/>
      <c r="Q53" s="1348"/>
      <c r="R53" s="1876"/>
      <c r="S53" s="1348"/>
      <c r="T53" s="1348"/>
      <c r="U53" s="708"/>
      <c r="V53" s="1348"/>
      <c r="W53" s="1348"/>
      <c r="X53" s="1348"/>
      <c r="Y53" s="1348"/>
      <c r="Z53" s="1348"/>
      <c r="AA53" s="1872"/>
      <c r="AB53" s="730"/>
      <c r="AC53" s="730"/>
      <c r="AD53" s="730"/>
      <c r="AE53" s="730"/>
    </row>
    <row s="7114" customFormat="1" customHeight="1" ht="11.25">
      <c r="A54" s="1170"/>
      <c r="B54" s="1876"/>
      <c r="C54" s="1876"/>
      <c r="D54" s="499"/>
      <c r="K54" s="1348"/>
      <c r="L54" s="1876"/>
      <c r="M54" s="1876"/>
      <c r="N54" s="1348"/>
      <c r="O54" s="1348"/>
      <c r="P54" s="1348"/>
      <c r="Q54" s="1348"/>
      <c r="R54" s="1876"/>
      <c r="S54" s="1348"/>
      <c r="T54" s="1348"/>
      <c r="U54" s="708"/>
      <c r="V54" s="1348"/>
      <c r="W54" s="1348"/>
      <c r="X54" s="1348"/>
      <c r="Y54" s="1348"/>
      <c r="Z54" s="1348"/>
      <c r="AA54" s="1872"/>
      <c r="AB54" s="730"/>
      <c r="AC54" s="730"/>
      <c r="AD54" s="730"/>
      <c r="AE54" s="730"/>
    </row>
    <row s="7114" customFormat="1" customHeight="1" ht="11.25">
      <c r="A55" s="1170"/>
      <c r="B55" s="1876"/>
      <c r="C55" s="1876"/>
      <c r="D55" s="499"/>
      <c r="K55" s="1348"/>
      <c r="L55" s="1876"/>
      <c r="M55" s="1876"/>
      <c r="N55" s="1348"/>
      <c r="O55" s="1348"/>
      <c r="P55" s="1348"/>
      <c r="Q55" s="1348"/>
      <c r="R55" s="1876"/>
      <c r="S55" s="1348"/>
      <c r="T55" s="1348"/>
      <c r="U55" s="708"/>
      <c r="V55" s="1348"/>
      <c r="W55" s="1348"/>
      <c r="X55" s="1348"/>
      <c r="Y55" s="1348"/>
      <c r="Z55" s="1348"/>
      <c r="AA55" s="1872"/>
      <c r="AB55" s="730"/>
      <c r="AC55" s="730"/>
      <c r="AD55" s="730"/>
      <c r="AE55" s="730"/>
    </row>
    <row s="7114" customFormat="1" customHeight="1" ht="11.25">
      <c r="A56" s="1170"/>
      <c r="B56" s="1876"/>
      <c r="C56" s="1876"/>
      <c r="D56" s="499"/>
      <c r="K56" s="1348"/>
      <c r="L56" s="1876"/>
      <c r="M56" s="1876"/>
      <c r="N56" s="1348"/>
      <c r="O56" s="1348"/>
      <c r="P56" s="1348"/>
      <c r="Q56" s="1348"/>
      <c r="R56" s="1876"/>
      <c r="S56" s="1348"/>
      <c r="T56" s="1348"/>
      <c r="U56" s="708"/>
      <c r="V56" s="1348"/>
      <c r="W56" s="1348"/>
      <c r="X56" s="1348"/>
      <c r="Y56" s="1348"/>
      <c r="Z56" s="1348"/>
      <c r="AA56" s="1872"/>
      <c r="AB56" s="730"/>
      <c r="AC56" s="730"/>
      <c r="AD56" s="730"/>
      <c r="AE56" s="730"/>
    </row>
    <row s="7114" customFormat="1" customHeight="1" ht="11.25">
      <c r="A57" s="1170"/>
      <c r="B57" s="1876"/>
      <c r="C57" s="1876"/>
      <c r="D57" s="499"/>
      <c r="K57" s="1348"/>
      <c r="L57" s="1876"/>
      <c r="M57" s="1876"/>
      <c r="N57" s="1348"/>
      <c r="O57" s="1348"/>
      <c r="P57" s="1348"/>
      <c r="Q57" s="1348"/>
      <c r="R57" s="1876"/>
      <c r="S57" s="1348"/>
      <c r="T57" s="1348"/>
      <c r="U57" s="708"/>
      <c r="V57" s="1348"/>
      <c r="W57" s="1348"/>
      <c r="X57" s="1348"/>
      <c r="Y57" s="1348"/>
      <c r="Z57" s="1348"/>
      <c r="AA57" s="1872"/>
      <c r="AB57" s="730"/>
      <c r="AC57" s="730"/>
      <c r="AD57" s="730"/>
      <c r="AE57" s="730"/>
    </row>
    <row s="7114" customFormat="1" customHeight="1" ht="11.25">
      <c r="A58" s="1170"/>
      <c r="B58" s="1876"/>
      <c r="C58" s="1876"/>
      <c r="D58" s="499"/>
      <c r="K58" s="1348"/>
      <c r="L58" s="1876"/>
      <c r="M58" s="1876"/>
      <c r="N58" s="1348"/>
      <c r="O58" s="1348"/>
      <c r="P58" s="1348"/>
      <c r="Q58" s="1348"/>
      <c r="R58" s="1876"/>
      <c r="S58" s="1348"/>
      <c r="T58" s="1348"/>
      <c r="U58" s="708"/>
      <c r="V58" s="1348"/>
      <c r="W58" s="1348"/>
      <c r="X58" s="1348"/>
      <c r="Y58" s="1348"/>
      <c r="Z58" s="1348"/>
      <c r="AA58" s="1872"/>
      <c r="AB58" s="730"/>
      <c r="AC58" s="730"/>
      <c r="AD58" s="730"/>
      <c r="AE58" s="730"/>
    </row>
    <row s="7114" customFormat="1" customHeight="1" ht="11.25">
      <c r="A59" s="1170"/>
      <c r="B59" s="1876"/>
      <c r="C59" s="1876"/>
      <c r="D59" s="499"/>
      <c r="K59" s="1348"/>
      <c r="L59" s="1876"/>
      <c r="M59" s="1876"/>
      <c r="N59" s="1348"/>
      <c r="O59" s="1348"/>
      <c r="P59" s="1348"/>
      <c r="Q59" s="1348"/>
      <c r="R59" s="1876"/>
      <c r="S59" s="1348"/>
      <c r="T59" s="1348"/>
      <c r="U59" s="708"/>
      <c r="V59" s="1348"/>
      <c r="W59" s="1348"/>
      <c r="X59" s="1348"/>
      <c r="Y59" s="1348"/>
      <c r="Z59" s="1348"/>
      <c r="AA59" s="1872"/>
      <c r="AB59" s="730"/>
      <c r="AC59" s="730"/>
      <c r="AD59" s="730"/>
      <c r="AE59" s="730"/>
    </row>
    <row s="7114" customFormat="1" customHeight="1" ht="11.25">
      <c r="A60" s="1170"/>
      <c r="B60" s="1876"/>
      <c r="C60" s="1876"/>
      <c r="D60" s="499"/>
      <c r="K60" s="1348"/>
      <c r="L60" s="1876"/>
      <c r="M60" s="1876"/>
      <c r="N60" s="1348"/>
      <c r="O60" s="1348"/>
      <c r="P60" s="1348"/>
      <c r="Q60" s="1348"/>
      <c r="R60" s="1876"/>
      <c r="S60" s="1348"/>
      <c r="T60" s="1348"/>
      <c r="U60" s="708"/>
      <c r="V60" s="1348"/>
      <c r="W60" s="1348"/>
      <c r="X60" s="1348"/>
      <c r="Y60" s="1348"/>
      <c r="Z60" s="1348"/>
      <c r="AA60" s="1872"/>
      <c r="AB60" s="730"/>
      <c r="AC60" s="730"/>
      <c r="AD60" s="730"/>
      <c r="AE60" s="730"/>
    </row>
    <row s="7114" customFormat="1" customHeight="1" ht="11.25">
      <c r="A61" s="1170"/>
      <c r="B61" s="1876"/>
      <c r="C61" s="1876"/>
      <c r="D61" s="499"/>
      <c r="K61" s="1348"/>
      <c r="L61" s="1876"/>
      <c r="M61" s="1876"/>
      <c r="N61" s="1348"/>
      <c r="O61" s="1348"/>
      <c r="P61" s="1348"/>
      <c r="Q61" s="1348"/>
      <c r="R61" s="1876"/>
      <c r="S61" s="1348"/>
      <c r="T61" s="1348"/>
      <c r="U61" s="708"/>
      <c r="V61" s="1348"/>
      <c r="W61" s="1348"/>
      <c r="X61" s="1348"/>
      <c r="Y61" s="1348"/>
      <c r="Z61" s="1348"/>
      <c r="AA61" s="1872"/>
      <c r="AB61" s="730"/>
      <c r="AC61" s="730"/>
      <c r="AD61" s="730"/>
      <c r="AE61" s="730"/>
    </row>
    <row s="7114" customFormat="1" customHeight="1" ht="11.25">
      <c r="A62" s="1170"/>
      <c r="B62" s="1876"/>
      <c r="C62" s="1876"/>
      <c r="D62" s="499"/>
      <c r="K62" s="1348"/>
      <c r="L62" s="1876"/>
      <c r="M62" s="1876"/>
      <c r="N62" s="1348"/>
      <c r="O62" s="1348"/>
      <c r="P62" s="1348"/>
      <c r="Q62" s="1348"/>
      <c r="R62" s="1876"/>
      <c r="S62" s="1348"/>
      <c r="T62" s="1348"/>
      <c r="U62" s="708"/>
      <c r="V62" s="1348"/>
      <c r="W62" s="1348"/>
      <c r="X62" s="1348"/>
      <c r="Y62" s="1348"/>
      <c r="Z62" s="1348"/>
      <c r="AA62" s="1872"/>
      <c r="AB62" s="730"/>
      <c r="AC62" s="730"/>
      <c r="AD62" s="730"/>
      <c r="AE62" s="730"/>
    </row>
    <row s="7114" customFormat="1" customHeight="1" ht="11.25">
      <c r="A63" s="1170"/>
      <c r="B63" s="1876"/>
      <c r="C63" s="1876"/>
      <c r="D63" s="499"/>
      <c r="K63" s="1348"/>
      <c r="L63" s="1876"/>
      <c r="M63" s="1876"/>
      <c r="N63" s="1348"/>
      <c r="O63" s="1348"/>
      <c r="P63" s="1348"/>
      <c r="Q63" s="1348"/>
      <c r="R63" s="1876"/>
      <c r="S63" s="1348"/>
      <c r="T63" s="1348"/>
      <c r="U63" s="708"/>
      <c r="V63" s="1348"/>
      <c r="W63" s="1348"/>
      <c r="X63" s="1348"/>
      <c r="Y63" s="1348"/>
      <c r="Z63" s="1348"/>
      <c r="AA63" s="1872"/>
      <c r="AB63" s="730"/>
      <c r="AC63" s="730"/>
      <c r="AD63" s="730"/>
      <c r="AE63" s="730"/>
    </row>
    <row s="7114" customFormat="1" customHeight="1" ht="11.25">
      <c r="A64" s="1170"/>
      <c r="B64" s="1876"/>
      <c r="C64" s="1876"/>
      <c r="D64" s="499"/>
      <c r="K64" s="1348"/>
      <c r="L64" s="1876"/>
      <c r="M64" s="1876"/>
      <c r="N64" s="1348"/>
      <c r="O64" s="1348"/>
      <c r="P64" s="1348"/>
      <c r="Q64" s="1348"/>
      <c r="R64" s="1876"/>
      <c r="S64" s="1348"/>
      <c r="T64" s="1348"/>
      <c r="U64" s="708"/>
      <c r="V64" s="1348"/>
      <c r="W64" s="1348"/>
      <c r="X64" s="1348"/>
      <c r="Y64" s="1348"/>
      <c r="Z64" s="1348"/>
      <c r="AA64" s="1872"/>
      <c r="AB64" s="730"/>
      <c r="AC64" s="730"/>
      <c r="AD64" s="730"/>
      <c r="AE64" s="730"/>
    </row>
    <row s="7114" customFormat="1" customHeight="1" ht="11.25">
      <c r="A65" s="1170"/>
      <c r="B65" s="1876"/>
      <c r="C65" s="1876"/>
      <c r="D65" s="499"/>
      <c r="K65" s="1348"/>
      <c r="L65" s="1876"/>
      <c r="M65" s="1876"/>
      <c r="N65" s="1348"/>
      <c r="O65" s="1348"/>
      <c r="P65" s="1348"/>
      <c r="Q65" s="1348"/>
      <c r="R65" s="1876"/>
      <c r="S65" s="1348"/>
      <c r="T65" s="1348"/>
      <c r="U65" s="708"/>
      <c r="V65" s="1348"/>
      <c r="W65" s="1348"/>
      <c r="X65" s="1348"/>
      <c r="Y65" s="1348"/>
      <c r="Z65" s="1348"/>
      <c r="AA65" s="1872"/>
      <c r="AB65" s="730"/>
      <c r="AC65" s="730"/>
      <c r="AD65" s="730"/>
      <c r="AE65" s="730"/>
    </row>
    <row s="7114" customFormat="1" customHeight="1" ht="11.25">
      <c r="A66" s="1170"/>
      <c r="B66" s="1876"/>
      <c r="C66" s="1876"/>
      <c r="D66" s="499"/>
      <c r="K66" s="1348"/>
      <c r="L66" s="1876"/>
      <c r="M66" s="1876"/>
      <c r="N66" s="1348"/>
      <c r="O66" s="1348"/>
      <c r="P66" s="1348"/>
      <c r="Q66" s="1348"/>
      <c r="R66" s="1876"/>
      <c r="S66" s="1348"/>
      <c r="T66" s="1348"/>
      <c r="U66" s="708"/>
      <c r="V66" s="1348"/>
      <c r="W66" s="1348"/>
      <c r="X66" s="1348"/>
      <c r="Y66" s="1348"/>
      <c r="Z66" s="1348"/>
      <c r="AA66" s="1872"/>
      <c r="AB66" s="730"/>
      <c r="AC66" s="730"/>
      <c r="AD66" s="730"/>
      <c r="AE66" s="730"/>
    </row>
    <row s="7114" customFormat="1" customHeight="1" ht="11.25">
      <c r="A67" s="1170"/>
      <c r="B67" s="1876"/>
      <c r="C67" s="1876"/>
      <c r="D67" s="499"/>
      <c r="K67" s="1348"/>
      <c r="L67" s="1876"/>
      <c r="M67" s="1876"/>
      <c r="N67" s="1348"/>
      <c r="O67" s="1348"/>
      <c r="P67" s="1348"/>
      <c r="Q67" s="1348"/>
      <c r="R67" s="1876"/>
      <c r="S67" s="1348"/>
      <c r="T67" s="1348"/>
      <c r="U67" s="708"/>
      <c r="V67" s="1348"/>
      <c r="W67" s="1348"/>
      <c r="X67" s="1348"/>
      <c r="Y67" s="1348"/>
      <c r="Z67" s="1348"/>
      <c r="AA67" s="1872"/>
      <c r="AB67" s="730"/>
      <c r="AC67" s="730"/>
      <c r="AD67" s="730"/>
      <c r="AE67" s="730"/>
    </row>
    <row s="7114" customFormat="1" customHeight="1" ht="11.25">
      <c r="A68" s="1170"/>
      <c r="B68" s="1876"/>
      <c r="C68" s="1876"/>
      <c r="D68" s="499"/>
      <c r="K68" s="1348"/>
      <c r="L68" s="1876"/>
      <c r="M68" s="1876"/>
      <c r="N68" s="1348"/>
      <c r="O68" s="1348"/>
      <c r="P68" s="1348"/>
      <c r="Q68" s="1348"/>
      <c r="R68" s="1876"/>
      <c r="S68" s="1348"/>
      <c r="T68" s="1348"/>
      <c r="U68" s="708"/>
      <c r="V68" s="1348"/>
      <c r="W68" s="1348"/>
      <c r="X68" s="1348"/>
      <c r="Y68" s="1348"/>
      <c r="Z68" s="1348"/>
      <c r="AA68" s="1872"/>
      <c r="AB68" s="730"/>
      <c r="AC68" s="730"/>
      <c r="AD68" s="730"/>
      <c r="AE68" s="730"/>
    </row>
    <row s="7114" customFormat="1" customHeight="1" ht="11.25">
      <c r="A69" s="1170"/>
      <c r="B69" s="1876"/>
      <c r="C69" s="1876"/>
      <c r="D69" s="499"/>
      <c r="K69" s="1348"/>
      <c r="L69" s="1876"/>
      <c r="M69" s="1876"/>
      <c r="N69" s="1348"/>
      <c r="O69" s="1348"/>
      <c r="P69" s="1348"/>
      <c r="Q69" s="1348"/>
      <c r="R69" s="1876"/>
      <c r="S69" s="1348"/>
      <c r="T69" s="1348"/>
      <c r="U69" s="708"/>
      <c r="V69" s="1348"/>
      <c r="W69" s="1348"/>
      <c r="X69" s="1348"/>
      <c r="Y69" s="1348"/>
      <c r="Z69" s="1348"/>
      <c r="AA69" s="1872"/>
      <c r="AB69" s="730"/>
      <c r="AC69" s="730"/>
      <c r="AD69" s="730"/>
      <c r="AE69" s="730"/>
    </row>
    <row s="7114" customFormat="1" customHeight="1" ht="11.25">
      <c r="A70" s="1170"/>
      <c r="B70" s="1876"/>
      <c r="C70" s="1876"/>
      <c r="D70" s="499"/>
      <c r="K70" s="1348"/>
      <c r="L70" s="1876"/>
      <c r="M70" s="1876"/>
      <c r="N70" s="1348"/>
      <c r="O70" s="1348"/>
      <c r="P70" s="1348"/>
      <c r="Q70" s="1348"/>
      <c r="R70" s="1876"/>
      <c r="S70" s="1348"/>
      <c r="T70" s="1348"/>
      <c r="U70" s="708"/>
      <c r="V70" s="1348"/>
      <c r="W70" s="1348"/>
      <c r="X70" s="1348"/>
      <c r="Y70" s="1348"/>
      <c r="Z70" s="1348"/>
      <c r="AA70" s="1872"/>
      <c r="AB70" s="730"/>
      <c r="AC70" s="730"/>
      <c r="AD70" s="730"/>
      <c r="AE70" s="730"/>
    </row>
    <row s="7114" customFormat="1" customHeight="1" ht="11.25">
      <c r="A71" s="1170"/>
      <c r="B71" s="1876"/>
      <c r="C71" s="1876"/>
      <c r="D71" s="499"/>
      <c r="K71" s="1348"/>
      <c r="L71" s="1876"/>
      <c r="M71" s="1876"/>
      <c r="N71" s="1348"/>
      <c r="O71" s="1348"/>
      <c r="P71" s="1348"/>
      <c r="Q71" s="1348"/>
      <c r="R71" s="1876"/>
      <c r="S71" s="1348"/>
      <c r="T71" s="1348"/>
      <c r="U71" s="708"/>
      <c r="V71" s="1348"/>
      <c r="W71" s="1348"/>
      <c r="X71" s="1348"/>
      <c r="Y71" s="1348"/>
      <c r="Z71" s="1348"/>
      <c r="AA71" s="1872"/>
      <c r="AB71" s="730"/>
      <c r="AC71" s="730"/>
      <c r="AD71" s="730"/>
      <c r="AE71" s="730"/>
    </row>
    <row s="7114" customFormat="1" customHeight="1" ht="11.25">
      <c r="A72" s="1170"/>
      <c r="B72" s="1876"/>
      <c r="C72" s="1876"/>
      <c r="D72" s="499"/>
      <c r="K72" s="1348"/>
      <c r="L72" s="1876"/>
      <c r="M72" s="1876"/>
      <c r="N72" s="1348"/>
      <c r="O72" s="1348"/>
      <c r="P72" s="1348"/>
      <c r="Q72" s="1348"/>
      <c r="R72" s="1876"/>
      <c r="S72" s="1348"/>
      <c r="T72" s="1348"/>
      <c r="U72" s="708"/>
      <c r="V72" s="1348"/>
      <c r="W72" s="1348"/>
      <c r="X72" s="1348"/>
      <c r="Y72" s="1348"/>
      <c r="Z72" s="1348"/>
      <c r="AA72" s="1872"/>
      <c r="AB72" s="730"/>
      <c r="AC72" s="730"/>
      <c r="AD72" s="730"/>
      <c r="AE72" s="730"/>
    </row>
    <row s="7114" customFormat="1" customHeight="1" ht="11.25">
      <c r="A73" s="1170"/>
      <c r="B73" s="1876"/>
      <c r="C73" s="1876"/>
      <c r="D73" s="499"/>
      <c r="K73" s="1348"/>
      <c r="L73" s="1876"/>
      <c r="M73" s="1876"/>
      <c r="N73" s="1348"/>
      <c r="O73" s="1348"/>
      <c r="P73" s="1348"/>
      <c r="Q73" s="1348"/>
      <c r="R73" s="1876"/>
      <c r="S73" s="1348"/>
      <c r="T73" s="1348"/>
      <c r="U73" s="708"/>
      <c r="V73" s="1348"/>
      <c r="W73" s="1348"/>
      <c r="X73" s="1348"/>
      <c r="Y73" s="1348"/>
      <c r="Z73" s="1348"/>
      <c r="AA73" s="1872"/>
      <c r="AB73" s="730"/>
      <c r="AC73" s="730"/>
      <c r="AD73" s="730"/>
      <c r="AE73" s="730"/>
    </row>
    <row s="7114" customFormat="1" customHeight="1" ht="11.25">
      <c r="A74" s="1170"/>
      <c r="B74" s="1876"/>
      <c r="C74" s="1876"/>
      <c r="D74" s="499"/>
      <c r="K74" s="1348"/>
      <c r="L74" s="1876"/>
      <c r="M74" s="1876"/>
      <c r="N74" s="1348"/>
      <c r="O74" s="1348"/>
      <c r="P74" s="1348"/>
      <c r="Q74" s="1348"/>
      <c r="R74" s="1876"/>
      <c r="S74" s="1348"/>
      <c r="T74" s="1348"/>
      <c r="U74" s="708"/>
      <c r="V74" s="1348"/>
      <c r="W74" s="1348"/>
      <c r="X74" s="1348"/>
      <c r="Y74" s="1348"/>
      <c r="Z74" s="1348"/>
      <c r="AA74" s="1872"/>
      <c r="AB74" s="730"/>
      <c r="AC74" s="730"/>
      <c r="AD74" s="730"/>
      <c r="AE74" s="730"/>
    </row>
    <row s="7114" customFormat="1" customHeight="1" ht="11.25">
      <c r="A75" s="1170"/>
      <c r="B75" s="1876"/>
      <c r="C75" s="1876"/>
      <c r="D75" s="499"/>
      <c r="K75" s="1348"/>
      <c r="L75" s="1876"/>
      <c r="M75" s="1876"/>
      <c r="N75" s="1348"/>
      <c r="O75" s="1348"/>
      <c r="P75" s="1348"/>
      <c r="Q75" s="1348"/>
      <c r="R75" s="1876"/>
      <c r="S75" s="1348"/>
      <c r="T75" s="1348"/>
      <c r="U75" s="708"/>
      <c r="V75" s="1348"/>
      <c r="W75" s="1348"/>
      <c r="X75" s="1348"/>
      <c r="Y75" s="1348"/>
      <c r="Z75" s="1348"/>
      <c r="AA75" s="1872"/>
      <c r="AB75" s="730"/>
      <c r="AC75" s="730"/>
      <c r="AD75" s="730"/>
      <c r="AE75" s="730"/>
    </row>
    <row s="7114" customFormat="1" customHeight="1" ht="11.25">
      <c r="A76" s="1170"/>
      <c r="B76" s="1876"/>
      <c r="C76" s="1876"/>
      <c r="D76" s="499"/>
      <c r="K76" s="1348"/>
      <c r="L76" s="1876"/>
      <c r="M76" s="1876"/>
      <c r="N76" s="1348"/>
      <c r="O76" s="1348"/>
      <c r="P76" s="1348"/>
      <c r="Q76" s="1348"/>
      <c r="R76" s="1876"/>
      <c r="S76" s="1348"/>
      <c r="T76" s="1348"/>
      <c r="U76" s="708"/>
      <c r="V76" s="1348"/>
      <c r="W76" s="1348"/>
      <c r="X76" s="1348"/>
      <c r="Y76" s="1348"/>
      <c r="Z76" s="1348"/>
      <c r="AA76" s="1872"/>
      <c r="AB76" s="730"/>
      <c r="AC76" s="730"/>
      <c r="AD76" s="730"/>
      <c r="AE76" s="730"/>
    </row>
    <row s="7114" customFormat="1" customHeight="1" ht="11.25">
      <c r="A77" s="1170"/>
      <c r="B77" s="1876"/>
      <c r="C77" s="1876"/>
      <c r="D77" s="499"/>
      <c r="K77" s="1348"/>
      <c r="L77" s="1876"/>
      <c r="M77" s="1876"/>
      <c r="N77" s="1348"/>
      <c r="O77" s="1348"/>
      <c r="P77" s="1348"/>
      <c r="Q77" s="1348"/>
      <c r="R77" s="1876"/>
      <c r="S77" s="1348"/>
      <c r="T77" s="1348"/>
      <c r="U77" s="708"/>
      <c r="V77" s="1348"/>
      <c r="W77" s="1348"/>
      <c r="X77" s="1348"/>
      <c r="Y77" s="1348"/>
      <c r="Z77" s="1348"/>
      <c r="AA77" s="1872"/>
      <c r="AB77" s="730"/>
      <c r="AC77" s="730"/>
      <c r="AD77" s="730"/>
      <c r="AE77" s="730"/>
    </row>
    <row s="7114" customFormat="1" customHeight="1" ht="11.25">
      <c r="A78" s="1170"/>
      <c r="B78" s="1876"/>
      <c r="C78" s="1876"/>
      <c r="D78" s="499"/>
      <c r="K78" s="1348"/>
      <c r="L78" s="1876"/>
      <c r="M78" s="1876"/>
      <c r="N78" s="1348"/>
      <c r="O78" s="1348"/>
      <c r="P78" s="1348"/>
      <c r="Q78" s="1348"/>
      <c r="R78" s="1876"/>
      <c r="S78" s="1348"/>
      <c r="T78" s="1348"/>
      <c r="U78" s="708"/>
      <c r="V78" s="1348"/>
      <c r="W78" s="1348"/>
      <c r="X78" s="1348"/>
      <c r="Y78" s="1348"/>
      <c r="Z78" s="1348"/>
      <c r="AA78" s="1872"/>
      <c r="AB78" s="730"/>
      <c r="AC78" s="730"/>
      <c r="AD78" s="730"/>
      <c r="AE78" s="730"/>
    </row>
    <row s="7114" customFormat="1" customHeight="1" ht="11.25">
      <c r="A79" s="1170"/>
      <c r="B79" s="1876"/>
      <c r="C79" s="1876"/>
      <c r="D79" s="499"/>
      <c r="K79" s="1348"/>
      <c r="L79" s="1876"/>
      <c r="M79" s="1876"/>
      <c r="N79" s="1348"/>
      <c r="O79" s="1348"/>
      <c r="P79" s="1348"/>
      <c r="Q79" s="1348"/>
      <c r="R79" s="1876"/>
      <c r="S79" s="1348"/>
      <c r="T79" s="1348"/>
      <c r="U79" s="708"/>
      <c r="V79" s="1348"/>
      <c r="W79" s="1348"/>
      <c r="X79" s="1348"/>
      <c r="Y79" s="1348"/>
      <c r="Z79" s="1348"/>
      <c r="AA79" s="1872"/>
      <c r="AB79" s="730"/>
      <c r="AC79" s="730"/>
      <c r="AD79" s="730"/>
      <c r="AE79" s="730"/>
    </row>
    <row s="7114" customFormat="1" customHeight="1" ht="11.25">
      <c r="A80" s="1170"/>
      <c r="B80" s="1876"/>
      <c r="C80" s="1876"/>
      <c r="D80" s="499"/>
      <c r="K80" s="1348"/>
      <c r="L80" s="1876"/>
      <c r="M80" s="1876"/>
      <c r="N80" s="1348"/>
      <c r="O80" s="1348"/>
      <c r="P80" s="1348"/>
      <c r="Q80" s="1348"/>
      <c r="R80" s="1876"/>
      <c r="S80" s="1348"/>
      <c r="T80" s="1348"/>
      <c r="U80" s="708"/>
      <c r="V80" s="1348"/>
      <c r="W80" s="1348"/>
      <c r="X80" s="1348"/>
      <c r="Y80" s="1348"/>
      <c r="Z80" s="1348"/>
      <c r="AA80" s="1872"/>
      <c r="AB80" s="730"/>
      <c r="AC80" s="730"/>
      <c r="AD80" s="730"/>
      <c r="AE80" s="730"/>
    </row>
    <row s="7114" customFormat="1" customHeight="1" ht="11.25">
      <c r="A81" s="1170"/>
      <c r="B81" s="1876"/>
      <c r="C81" s="1876"/>
      <c r="D81" s="499"/>
      <c r="K81" s="1348"/>
      <c r="L81" s="1876"/>
      <c r="M81" s="1876"/>
      <c r="N81" s="1348"/>
      <c r="O81" s="1348"/>
      <c r="P81" s="1348"/>
      <c r="Q81" s="1348"/>
      <c r="R81" s="1876"/>
      <c r="S81" s="1348"/>
      <c r="T81" s="1348"/>
      <c r="U81" s="708"/>
      <c r="V81" s="1348"/>
      <c r="W81" s="1348"/>
      <c r="X81" s="1348"/>
      <c r="Y81" s="1348"/>
      <c r="Z81" s="1348"/>
      <c r="AA81" s="1872"/>
      <c r="AB81" s="730"/>
      <c r="AC81" s="730"/>
      <c r="AD81" s="730"/>
      <c r="AE81" s="730"/>
    </row>
    <row s="7114" customFormat="1" customHeight="1" ht="11.25">
      <c r="A82" s="1170"/>
      <c r="B82" s="1876"/>
      <c r="C82" s="1876"/>
      <c r="D82" s="499"/>
      <c r="K82" s="1348"/>
      <c r="L82" s="1876"/>
      <c r="M82" s="1876"/>
      <c r="N82" s="1348"/>
      <c r="O82" s="1348"/>
      <c r="P82" s="1348"/>
      <c r="Q82" s="1348"/>
      <c r="R82" s="1876"/>
      <c r="S82" s="1348"/>
      <c r="T82" s="1348"/>
      <c r="U82" s="708"/>
      <c r="V82" s="1348"/>
      <c r="W82" s="1348"/>
      <c r="X82" s="1348"/>
      <c r="Y82" s="1348"/>
      <c r="Z82" s="1348"/>
      <c r="AA82" s="1872"/>
      <c r="AB82" s="730"/>
      <c r="AC82" s="730"/>
      <c r="AD82" s="730"/>
      <c r="AE82" s="730"/>
    </row>
    <row s="7114" customFormat="1" customHeight="1" ht="11.25">
      <c r="A83" s="1170"/>
      <c r="B83" s="1876"/>
      <c r="C83" s="1876"/>
      <c r="D83" s="499"/>
      <c r="K83" s="1348"/>
      <c r="L83" s="1876"/>
      <c r="M83" s="1876"/>
      <c r="N83" s="1348"/>
      <c r="O83" s="1348"/>
      <c r="P83" s="1348"/>
      <c r="Q83" s="1348"/>
      <c r="R83" s="1876"/>
      <c r="S83" s="1348"/>
      <c r="T83" s="1348"/>
      <c r="U83" s="708"/>
      <c r="V83" s="1348"/>
      <c r="W83" s="1348"/>
      <c r="X83" s="1348"/>
      <c r="Y83" s="1348"/>
      <c r="Z83" s="1348"/>
      <c r="AA83" s="1872"/>
      <c r="AB83" s="730"/>
      <c r="AC83" s="730"/>
      <c r="AD83" s="730"/>
      <c r="AE83" s="730"/>
    </row>
    <row s="7114" customFormat="1" customHeight="1" ht="11.25">
      <c r="A84" s="1170"/>
      <c r="B84" s="1876"/>
      <c r="C84" s="1876"/>
      <c r="D84" s="499"/>
      <c r="K84" s="1348"/>
      <c r="L84" s="1876"/>
      <c r="M84" s="1876"/>
      <c r="N84" s="1348"/>
      <c r="O84" s="1348"/>
      <c r="P84" s="1348"/>
      <c r="Q84" s="1348"/>
      <c r="R84" s="1876"/>
      <c r="S84" s="1348"/>
      <c r="T84" s="1348"/>
      <c r="U84" s="708"/>
      <c r="V84" s="1348"/>
      <c r="W84" s="1348"/>
      <c r="X84" s="1348"/>
      <c r="Y84" s="1348"/>
      <c r="Z84" s="1348"/>
      <c r="AA84" s="1872"/>
      <c r="AB84" s="730"/>
      <c r="AC84" s="730"/>
      <c r="AD84" s="730"/>
      <c r="AE84" s="730"/>
    </row>
    <row s="7114" customFormat="1" customHeight="1" ht="11.25">
      <c r="A85" s="1170"/>
      <c r="B85" s="1876"/>
      <c r="C85" s="1876"/>
      <c r="D85" s="499"/>
      <c r="K85" s="1348"/>
      <c r="L85" s="1876"/>
      <c r="M85" s="1876"/>
      <c r="N85" s="1348"/>
      <c r="O85" s="1348"/>
      <c r="P85" s="1348"/>
      <c r="Q85" s="1348"/>
      <c r="R85" s="1876"/>
      <c r="S85" s="1348"/>
      <c r="T85" s="1348"/>
      <c r="U85" s="708"/>
      <c r="V85" s="1348"/>
      <c r="W85" s="1348"/>
      <c r="X85" s="1348"/>
      <c r="Y85" s="1348"/>
      <c r="Z85" s="1348"/>
      <c r="AA85" s="1872"/>
      <c r="AB85" s="730"/>
      <c r="AC85" s="730"/>
      <c r="AD85" s="730"/>
      <c r="AE85" s="730"/>
    </row>
    <row s="7114" customFormat="1" customHeight="1" ht="11.25">
      <c r="A86" s="1170"/>
      <c r="B86" s="1876"/>
      <c r="C86" s="1876"/>
      <c r="D86" s="499"/>
      <c r="K86" s="1348"/>
      <c r="L86" s="1876"/>
      <c r="M86" s="1876"/>
      <c r="N86" s="1348"/>
      <c r="O86" s="1348"/>
      <c r="P86" s="1348"/>
      <c r="Q86" s="1348"/>
      <c r="R86" s="1876"/>
      <c r="S86" s="1348"/>
      <c r="T86" s="1348"/>
      <c r="U86" s="708"/>
      <c r="V86" s="1348"/>
      <c r="W86" s="1348"/>
      <c r="X86" s="1348"/>
      <c r="Y86" s="1348"/>
      <c r="Z86" s="1348"/>
      <c r="AA86" s="1872"/>
      <c r="AB86" s="730"/>
      <c r="AC86" s="730"/>
      <c r="AD86" s="730"/>
      <c r="AE86" s="730"/>
    </row>
    <row s="7114" customFormat="1" customHeight="1" ht="11.25">
      <c r="A87" s="1170"/>
      <c r="B87" s="1876"/>
      <c r="C87" s="1876"/>
      <c r="D87" s="499"/>
      <c r="K87" s="1348"/>
      <c r="L87" s="1876"/>
      <c r="M87" s="1876"/>
      <c r="N87" s="1348"/>
      <c r="O87" s="1348"/>
      <c r="P87" s="1348"/>
      <c r="Q87" s="1348"/>
      <c r="R87" s="1876"/>
      <c r="S87" s="1348"/>
      <c r="T87" s="1348"/>
      <c r="U87" s="708"/>
      <c r="V87" s="1348"/>
      <c r="W87" s="1348"/>
      <c r="X87" s="1348"/>
      <c r="Y87" s="1348"/>
      <c r="Z87" s="1348"/>
      <c r="AA87" s="1872"/>
      <c r="AB87" s="730"/>
      <c r="AC87" s="730"/>
      <c r="AD87" s="730"/>
      <c r="AE87" s="730"/>
    </row>
    <row s="7114" customFormat="1" customHeight="1" ht="11.25">
      <c r="A88" s="1170"/>
      <c r="B88" s="1876"/>
      <c r="C88" s="1876"/>
      <c r="D88" s="499"/>
      <c r="K88" s="1348"/>
      <c r="L88" s="1876"/>
      <c r="M88" s="1876"/>
      <c r="N88" s="1348"/>
      <c r="O88" s="1348"/>
      <c r="P88" s="1348"/>
      <c r="Q88" s="1348"/>
      <c r="R88" s="1876"/>
      <c r="S88" s="1348"/>
      <c r="T88" s="1348"/>
      <c r="U88" s="708"/>
      <c r="V88" s="1348"/>
      <c r="W88" s="1348"/>
      <c r="X88" s="1348"/>
      <c r="Y88" s="1348"/>
      <c r="Z88" s="1348"/>
      <c r="AA88" s="1872"/>
      <c r="AB88" s="730"/>
      <c r="AC88" s="730"/>
      <c r="AD88" s="730"/>
      <c r="AE88" s="730"/>
    </row>
    <row s="7114" customFormat="1" customHeight="1" ht="11.25">
      <c r="A89" s="1170"/>
      <c r="B89" s="1876"/>
      <c r="C89" s="1876"/>
      <c r="D89" s="499"/>
      <c r="K89" s="1348"/>
      <c r="L89" s="1876"/>
      <c r="M89" s="1876"/>
      <c r="N89" s="1348"/>
      <c r="O89" s="1348"/>
      <c r="P89" s="1348"/>
      <c r="Q89" s="1348"/>
      <c r="R89" s="1876"/>
      <c r="S89" s="1348"/>
      <c r="T89" s="1348"/>
      <c r="U89" s="708"/>
      <c r="V89" s="1348"/>
      <c r="W89" s="1348"/>
      <c r="X89" s="1348"/>
      <c r="Y89" s="1348"/>
      <c r="Z89" s="1348"/>
      <c r="AA89" s="1872"/>
      <c r="AB89" s="730"/>
      <c r="AC89" s="730"/>
      <c r="AD89" s="730"/>
      <c r="AE89" s="730"/>
    </row>
    <row s="7114" customFormat="1" customHeight="1" ht="11.25">
      <c r="A90" s="1170"/>
      <c r="B90" s="1876"/>
      <c r="C90" s="1876"/>
      <c r="D90" s="499"/>
      <c r="K90" s="1348"/>
      <c r="L90" s="1876"/>
      <c r="M90" s="1876"/>
      <c r="N90" s="1348"/>
      <c r="O90" s="1348"/>
      <c r="P90" s="1348"/>
      <c r="Q90" s="1348"/>
      <c r="R90" s="1876"/>
      <c r="S90" s="1348"/>
      <c r="T90" s="1348"/>
      <c r="U90" s="708"/>
      <c r="V90" s="1348"/>
      <c r="W90" s="1348"/>
      <c r="X90" s="1348"/>
      <c r="Y90" s="1348"/>
      <c r="Z90" s="1348"/>
      <c r="AA90" s="1872"/>
      <c r="AB90" s="730"/>
      <c r="AC90" s="730"/>
      <c r="AD90" s="730"/>
      <c r="AE90" s="730"/>
    </row>
    <row s="7114" customFormat="1" customHeight="1" ht="11.25">
      <c r="A91" s="1170"/>
      <c r="B91" s="1876"/>
      <c r="C91" s="1876"/>
      <c r="D91" s="499"/>
      <c r="K91" s="1348"/>
      <c r="L91" s="1876"/>
      <c r="M91" s="1876"/>
      <c r="N91" s="1348"/>
      <c r="O91" s="1348"/>
      <c r="P91" s="1348"/>
      <c r="Q91" s="1348"/>
      <c r="R91" s="1876"/>
      <c r="S91" s="1348"/>
      <c r="T91" s="1348"/>
      <c r="U91" s="708"/>
      <c r="V91" s="1348"/>
      <c r="W91" s="1348"/>
      <c r="X91" s="1348"/>
      <c r="Y91" s="1348"/>
      <c r="Z91" s="1348"/>
      <c r="AA91" s="1872"/>
      <c r="AB91" s="730"/>
      <c r="AC91" s="730"/>
      <c r="AD91" s="730"/>
      <c r="AE91" s="730"/>
    </row>
    <row s="7114" customFormat="1" customHeight="1" ht="11.25">
      <c r="A92" s="1170"/>
      <c r="B92" s="1876"/>
      <c r="C92" s="1876"/>
      <c r="D92" s="499"/>
      <c r="K92" s="1348"/>
      <c r="L92" s="1876"/>
      <c r="M92" s="1876"/>
      <c r="N92" s="1348"/>
      <c r="O92" s="1348"/>
      <c r="P92" s="1348"/>
      <c r="Q92" s="1348"/>
      <c r="R92" s="1876"/>
      <c r="S92" s="1348"/>
      <c r="T92" s="1348"/>
      <c r="U92" s="708"/>
      <c r="V92" s="1348"/>
      <c r="W92" s="1348"/>
      <c r="X92" s="1348"/>
      <c r="Y92" s="1348"/>
      <c r="Z92" s="1348"/>
      <c r="AA92" s="1872"/>
      <c r="AB92" s="730"/>
      <c r="AC92" s="730"/>
      <c r="AD92" s="730"/>
      <c r="AE92" s="730"/>
    </row>
    <row s="7114" customFormat="1" customHeight="1" ht="11.25">
      <c r="A93" s="1170"/>
      <c r="B93" s="1876"/>
      <c r="C93" s="1876"/>
      <c r="D93" s="499"/>
      <c r="K93" s="1348"/>
      <c r="L93" s="1876"/>
      <c r="M93" s="1876"/>
      <c r="N93" s="1348"/>
      <c r="O93" s="1348"/>
      <c r="P93" s="1348"/>
      <c r="Q93" s="1348"/>
      <c r="R93" s="1876"/>
      <c r="S93" s="1348"/>
      <c r="T93" s="1348"/>
      <c r="U93" s="708"/>
      <c r="V93" s="1348"/>
      <c r="W93" s="1348"/>
      <c r="X93" s="1348"/>
      <c r="Y93" s="1348"/>
      <c r="Z93" s="1348"/>
      <c r="AA93" s="1872"/>
      <c r="AB93" s="730"/>
      <c r="AC93" s="730"/>
      <c r="AD93" s="730"/>
      <c r="AE93" s="730"/>
    </row>
    <row s="7114" customFormat="1" customHeight="1" ht="11.25">
      <c r="A94" s="1170"/>
      <c r="B94" s="1876"/>
      <c r="C94" s="1876"/>
      <c r="D94" s="499"/>
      <c r="K94" s="1348"/>
      <c r="L94" s="1876"/>
      <c r="M94" s="1876"/>
      <c r="N94" s="1348"/>
      <c r="O94" s="1348"/>
      <c r="P94" s="1348"/>
      <c r="Q94" s="1348"/>
      <c r="R94" s="1876"/>
      <c r="S94" s="1348"/>
      <c r="T94" s="1348"/>
      <c r="U94" s="708"/>
      <c r="V94" s="1348"/>
      <c r="W94" s="1348"/>
      <c r="X94" s="1348"/>
      <c r="Y94" s="1348"/>
      <c r="Z94" s="1348"/>
      <c r="AA94" s="1872"/>
      <c r="AB94" s="730"/>
      <c r="AC94" s="730"/>
      <c r="AD94" s="730"/>
      <c r="AE94" s="730"/>
    </row>
    <row s="7114" customFormat="1" customHeight="1" ht="11.25">
      <c r="A95" s="1170"/>
      <c r="B95" s="1876"/>
      <c r="C95" s="1876"/>
      <c r="D95" s="499"/>
      <c r="K95" s="1348"/>
      <c r="L95" s="1876"/>
      <c r="M95" s="1876"/>
      <c r="N95" s="1348"/>
      <c r="O95" s="1348"/>
      <c r="P95" s="1348"/>
      <c r="Q95" s="1348"/>
      <c r="R95" s="1876"/>
      <c r="S95" s="1348"/>
      <c r="T95" s="1348"/>
      <c r="U95" s="708"/>
      <c r="V95" s="1348"/>
      <c r="W95" s="1348"/>
      <c r="X95" s="1348"/>
      <c r="Y95" s="1348"/>
      <c r="Z95" s="1348"/>
      <c r="AA95" s="1872"/>
      <c r="AB95" s="730"/>
      <c r="AC95" s="730"/>
      <c r="AD95" s="730"/>
      <c r="AE95" s="730"/>
    </row>
    <row s="7114" customFormat="1" customHeight="1" ht="11.25">
      <c r="A96" s="1170"/>
      <c r="B96" s="1876"/>
      <c r="C96" s="1876"/>
      <c r="D96" s="499"/>
      <c r="K96" s="1348"/>
      <c r="L96" s="1876"/>
      <c r="M96" s="1876"/>
      <c r="N96" s="1348"/>
      <c r="O96" s="1348"/>
      <c r="P96" s="1348"/>
      <c r="Q96" s="1348"/>
      <c r="R96" s="1876"/>
      <c r="S96" s="1348"/>
      <c r="T96" s="1348"/>
      <c r="U96" s="708"/>
      <c r="V96" s="1348"/>
      <c r="W96" s="1348"/>
      <c r="X96" s="1348"/>
      <c r="Y96" s="1348"/>
      <c r="Z96" s="1348"/>
      <c r="AA96" s="1872"/>
      <c r="AB96" s="730"/>
      <c r="AC96" s="730"/>
      <c r="AD96" s="730"/>
      <c r="AE96" s="730"/>
    </row>
    <row s="7114" customFormat="1" customHeight="1" ht="11.25">
      <c r="A97" s="1170"/>
      <c r="B97" s="1876"/>
      <c r="C97" s="1876"/>
      <c r="D97" s="499"/>
      <c r="K97" s="1348"/>
      <c r="L97" s="1876"/>
      <c r="M97" s="1876"/>
      <c r="N97" s="1348"/>
      <c r="O97" s="1348"/>
      <c r="P97" s="1348"/>
      <c r="Q97" s="1348"/>
      <c r="R97" s="1876"/>
      <c r="S97" s="1348"/>
      <c r="T97" s="1348"/>
      <c r="U97" s="708"/>
      <c r="V97" s="1348"/>
      <c r="W97" s="1348"/>
      <c r="X97" s="1348"/>
      <c r="Y97" s="1348"/>
      <c r="Z97" s="1348"/>
      <c r="AA97" s="1872"/>
      <c r="AB97" s="730"/>
      <c r="AC97" s="730"/>
      <c r="AD97" s="730"/>
      <c r="AE97" s="730"/>
    </row>
    <row s="7114" customFormat="1" customHeight="1" ht="11.25">
      <c r="A98" s="1170"/>
      <c r="B98" s="1876"/>
      <c r="C98" s="1876"/>
      <c r="D98" s="499"/>
      <c r="K98" s="1348"/>
      <c r="L98" s="1876"/>
      <c r="M98" s="1876"/>
      <c r="N98" s="1348"/>
      <c r="O98" s="1348"/>
      <c r="P98" s="1348"/>
      <c r="Q98" s="1348"/>
      <c r="R98" s="1876"/>
      <c r="S98" s="1348"/>
      <c r="T98" s="1348"/>
      <c r="U98" s="708"/>
      <c r="V98" s="1348"/>
      <c r="W98" s="1348"/>
      <c r="X98" s="1348"/>
      <c r="Y98" s="1348"/>
      <c r="Z98" s="1348"/>
      <c r="AA98" s="1872"/>
      <c r="AB98" s="730"/>
      <c r="AC98" s="730"/>
      <c r="AD98" s="730"/>
      <c r="AE98" s="730"/>
    </row>
    <row s="7114" customFormat="1" customHeight="1" ht="11.25">
      <c r="A99" s="1170"/>
      <c r="B99" s="1876"/>
      <c r="C99" s="1876"/>
      <c r="D99" s="499"/>
      <c r="K99" s="1348"/>
      <c r="L99" s="1876"/>
      <c r="M99" s="1876"/>
      <c r="N99" s="1348"/>
      <c r="O99" s="1348"/>
      <c r="P99" s="1348"/>
      <c r="Q99" s="1348"/>
      <c r="R99" s="1876"/>
      <c r="S99" s="1348"/>
      <c r="T99" s="1348"/>
      <c r="U99" s="708"/>
      <c r="V99" s="1348"/>
      <c r="W99" s="1348"/>
      <c r="X99" s="1348"/>
      <c r="Y99" s="1348"/>
      <c r="Z99" s="1348"/>
      <c r="AA99" s="1872"/>
      <c r="AB99" s="730"/>
      <c r="AC99" s="730"/>
      <c r="AD99" s="730"/>
      <c r="AE99" s="730"/>
    </row>
    <row s="7114" customFormat="1" customHeight="1" ht="11.25">
      <c r="A100" s="1170"/>
      <c r="B100" s="1876"/>
      <c r="C100" s="1876"/>
      <c r="D100" s="499"/>
      <c r="K100" s="1348"/>
      <c r="L100" s="1876"/>
      <c r="M100" s="1876"/>
      <c r="N100" s="1348"/>
      <c r="O100" s="1348"/>
      <c r="P100" s="1348"/>
      <c r="Q100" s="1348"/>
      <c r="R100" s="1876"/>
      <c r="S100" s="1348"/>
      <c r="T100" s="1348"/>
      <c r="U100" s="708"/>
      <c r="V100" s="1348"/>
      <c r="W100" s="1348"/>
      <c r="X100" s="1348"/>
      <c r="Y100" s="1348"/>
      <c r="Z100" s="1348"/>
      <c r="AA100" s="1872"/>
      <c r="AB100" s="730"/>
      <c r="AC100" s="730"/>
      <c r="AD100" s="730"/>
      <c r="AE100" s="730"/>
    </row>
    <row s="7114" customFormat="1" customHeight="1" ht="11.25">
      <c r="A101" s="1170"/>
      <c r="B101" s="1876"/>
      <c r="C101" s="1876"/>
      <c r="D101" s="499"/>
      <c r="K101" s="1348"/>
      <c r="L101" s="1876"/>
      <c r="M101" s="1876"/>
      <c r="N101" s="1348"/>
      <c r="O101" s="1348"/>
      <c r="P101" s="1348"/>
      <c r="Q101" s="1348"/>
      <c r="R101" s="1876"/>
      <c r="S101" s="1348"/>
      <c r="T101" s="1348"/>
      <c r="U101" s="708"/>
      <c r="V101" s="1348"/>
      <c r="W101" s="1348"/>
      <c r="X101" s="1348"/>
      <c r="Y101" s="1348"/>
      <c r="Z101" s="1348"/>
      <c r="AA101" s="1872"/>
      <c r="AB101" s="730"/>
      <c r="AC101" s="730"/>
      <c r="AD101" s="730"/>
      <c r="AE101" s="730"/>
    </row>
    <row s="7114" customFormat="1" customHeight="1" ht="11.25">
      <c r="A102" s="1170"/>
      <c r="B102" s="1876"/>
      <c r="C102" s="1876"/>
      <c r="D102" s="499"/>
      <c r="K102" s="1348"/>
      <c r="L102" s="1876"/>
      <c r="M102" s="1876"/>
      <c r="N102" s="1348"/>
      <c r="O102" s="1348"/>
      <c r="P102" s="1348"/>
      <c r="Q102" s="1348"/>
      <c r="R102" s="1876"/>
      <c r="S102" s="1348"/>
      <c r="T102" s="1348"/>
      <c r="U102" s="708"/>
      <c r="V102" s="1348"/>
      <c r="W102" s="1348"/>
      <c r="X102" s="1348"/>
      <c r="Y102" s="1348"/>
      <c r="Z102" s="1348"/>
      <c r="AA102" s="1872"/>
      <c r="AB102" s="730"/>
      <c r="AC102" s="730"/>
      <c r="AD102" s="730"/>
      <c r="AE102" s="730"/>
    </row>
    <row s="7114" customFormat="1" customHeight="1" ht="11.25">
      <c r="A103" s="1170"/>
      <c r="B103" s="1876"/>
      <c r="C103" s="1876"/>
      <c r="D103" s="499"/>
      <c r="K103" s="1348"/>
      <c r="L103" s="1876"/>
      <c r="M103" s="1876"/>
      <c r="N103" s="1348"/>
      <c r="O103" s="1348"/>
      <c r="P103" s="1348"/>
      <c r="Q103" s="1348"/>
      <c r="R103" s="1876"/>
      <c r="S103" s="1348"/>
      <c r="T103" s="1348"/>
      <c r="U103" s="708"/>
      <c r="V103" s="1348"/>
      <c r="W103" s="1348"/>
      <c r="X103" s="1348"/>
      <c r="Y103" s="1348"/>
      <c r="Z103" s="1348"/>
      <c r="AA103" s="1872"/>
      <c r="AB103" s="730"/>
      <c r="AC103" s="730"/>
      <c r="AD103" s="730"/>
      <c r="AE103" s="730"/>
    </row>
    <row s="7114" customFormat="1" customHeight="1" ht="11.25">
      <c r="A104" s="1170"/>
      <c r="B104" s="1876"/>
      <c r="C104" s="1876"/>
      <c r="D104" s="499"/>
      <c r="K104" s="1348"/>
      <c r="L104" s="1876"/>
      <c r="M104" s="1876"/>
      <c r="N104" s="1348"/>
      <c r="O104" s="1348"/>
      <c r="P104" s="1348"/>
      <c r="Q104" s="1348"/>
      <c r="R104" s="1876"/>
      <c r="S104" s="1348"/>
      <c r="T104" s="1348"/>
      <c r="U104" s="708"/>
      <c r="V104" s="1348"/>
      <c r="W104" s="1348"/>
      <c r="X104" s="1348"/>
      <c r="Y104" s="1348"/>
      <c r="Z104" s="1348"/>
      <c r="AA104" s="1872"/>
      <c r="AB104" s="730"/>
      <c r="AC104" s="730"/>
      <c r="AD104" s="730"/>
      <c r="AE104" s="730"/>
    </row>
    <row s="7114" customFormat="1" customHeight="1" ht="11.25">
      <c r="A105" s="1170"/>
      <c r="B105" s="1876"/>
      <c r="C105" s="1876"/>
      <c r="D105" s="499"/>
      <c r="K105" s="1348"/>
      <c r="L105" s="1876"/>
      <c r="M105" s="1876"/>
      <c r="N105" s="1348"/>
      <c r="O105" s="1348"/>
      <c r="P105" s="1348"/>
      <c r="Q105" s="1348"/>
      <c r="R105" s="1876"/>
      <c r="S105" s="1348"/>
      <c r="T105" s="1348"/>
      <c r="U105" s="708"/>
      <c r="V105" s="1348"/>
      <c r="W105" s="1348"/>
      <c r="X105" s="1348"/>
      <c r="Y105" s="1348"/>
      <c r="Z105" s="1348"/>
      <c r="AA105" s="1872"/>
      <c r="AB105" s="730"/>
      <c r="AC105" s="730"/>
      <c r="AD105" s="730"/>
      <c r="AE105" s="730"/>
    </row>
    <row s="7114" customFormat="1" customHeight="1" ht="11.25">
      <c r="A106" s="1170"/>
      <c r="B106" s="1876"/>
      <c r="C106" s="1876"/>
      <c r="D106" s="499"/>
      <c r="K106" s="1348"/>
      <c r="L106" s="1876"/>
      <c r="M106" s="1876"/>
      <c r="N106" s="1348"/>
      <c r="O106" s="1348"/>
      <c r="P106" s="1348"/>
      <c r="Q106" s="1348"/>
      <c r="R106" s="1876"/>
      <c r="S106" s="1348"/>
      <c r="T106" s="1348"/>
      <c r="U106" s="708"/>
      <c r="V106" s="1348"/>
      <c r="W106" s="1348"/>
      <c r="X106" s="1348"/>
      <c r="Y106" s="1348"/>
      <c r="Z106" s="1348"/>
      <c r="AA106" s="1872"/>
      <c r="AB106" s="730"/>
      <c r="AC106" s="730"/>
      <c r="AD106" s="730"/>
      <c r="AE106" s="730"/>
    </row>
    <row s="7114" customFormat="1" customHeight="1" ht="11.25">
      <c r="A107" s="1170"/>
      <c r="B107" s="1876"/>
      <c r="C107" s="1876"/>
      <c r="D107" s="499"/>
      <c r="K107" s="1348"/>
      <c r="L107" s="1876"/>
      <c r="M107" s="1876"/>
      <c r="N107" s="1348"/>
      <c r="O107" s="1348"/>
      <c r="P107" s="1348"/>
      <c r="Q107" s="1348"/>
      <c r="R107" s="1876"/>
      <c r="S107" s="1348"/>
      <c r="T107" s="1348"/>
      <c r="U107" s="708"/>
      <c r="V107" s="1348"/>
      <c r="W107" s="1348"/>
      <c r="X107" s="1348"/>
      <c r="Y107" s="1348"/>
      <c r="Z107" s="1348"/>
      <c r="AA107" s="1872"/>
      <c r="AB107" s="730"/>
      <c r="AC107" s="730"/>
      <c r="AD107" s="730"/>
      <c r="AE107" s="730"/>
    </row>
    <row s="7114" customFormat="1" customHeight="1" ht="11.25">
      <c r="A108" s="1170"/>
      <c r="B108" s="1876"/>
      <c r="C108" s="1876"/>
      <c r="D108" s="499"/>
      <c r="K108" s="1348"/>
      <c r="L108" s="1876"/>
      <c r="M108" s="1876"/>
      <c r="N108" s="1348"/>
      <c r="O108" s="1348"/>
      <c r="P108" s="1348"/>
      <c r="Q108" s="1348"/>
      <c r="R108" s="1876"/>
      <c r="S108" s="1348"/>
      <c r="T108" s="1348"/>
      <c r="U108" s="708"/>
      <c r="V108" s="1348"/>
      <c r="W108" s="1348"/>
      <c r="X108" s="1348"/>
      <c r="Y108" s="1348"/>
      <c r="Z108" s="1348"/>
      <c r="AA108" s="1872"/>
      <c r="AB108" s="730"/>
      <c r="AC108" s="730"/>
      <c r="AD108" s="730"/>
      <c r="AE108" s="730"/>
    </row>
    <row s="7114" customFormat="1" customHeight="1" ht="11.25">
      <c r="A109" s="1170"/>
      <c r="B109" s="1876"/>
      <c r="C109" s="1876"/>
      <c r="D109" s="499"/>
      <c r="K109" s="1348"/>
      <c r="L109" s="1876"/>
      <c r="M109" s="1876"/>
      <c r="N109" s="1348"/>
      <c r="O109" s="1348"/>
      <c r="P109" s="1348"/>
      <c r="Q109" s="1348"/>
      <c r="R109" s="1876"/>
      <c r="S109" s="1348"/>
      <c r="T109" s="1348"/>
      <c r="U109" s="708"/>
      <c r="V109" s="1348"/>
      <c r="W109" s="1348"/>
      <c r="X109" s="1348"/>
      <c r="Y109" s="1348"/>
      <c r="Z109" s="1348"/>
      <c r="AA109" s="1872"/>
      <c r="AB109" s="730"/>
      <c r="AC109" s="730"/>
      <c r="AD109" s="730"/>
      <c r="AE109" s="730"/>
    </row>
    <row s="7114" customFormat="1" customHeight="1" ht="11.25">
      <c r="A110" s="1170"/>
      <c r="B110" s="1876"/>
      <c r="C110" s="1876"/>
      <c r="D110" s="499"/>
      <c r="K110" s="1348"/>
      <c r="L110" s="1876"/>
      <c r="M110" s="1876"/>
      <c r="N110" s="1348"/>
      <c r="O110" s="1348"/>
      <c r="P110" s="1348"/>
      <c r="Q110" s="1348"/>
      <c r="R110" s="1876"/>
      <c r="S110" s="1348"/>
      <c r="T110" s="1348"/>
      <c r="U110" s="708"/>
      <c r="V110" s="1348"/>
      <c r="W110" s="1348"/>
      <c r="X110" s="1348"/>
      <c r="Y110" s="1348"/>
      <c r="Z110" s="1348"/>
      <c r="AA110" s="1872"/>
      <c r="AB110" s="730"/>
      <c r="AC110" s="730"/>
      <c r="AD110" s="730"/>
      <c r="AE110" s="730"/>
    </row>
    <row s="7114" customFormat="1" customHeight="1" ht="11.25">
      <c r="A111" s="1170"/>
      <c r="B111" s="1876"/>
      <c r="C111" s="1876"/>
      <c r="D111" s="499"/>
      <c r="K111" s="1348"/>
      <c r="L111" s="1876"/>
      <c r="M111" s="1876"/>
      <c r="N111" s="1348"/>
      <c r="O111" s="1348"/>
      <c r="P111" s="1348"/>
      <c r="Q111" s="1348"/>
      <c r="R111" s="1876"/>
      <c r="S111" s="1348"/>
      <c r="T111" s="1348"/>
      <c r="U111" s="708"/>
      <c r="V111" s="1348"/>
      <c r="W111" s="1348"/>
      <c r="X111" s="1348"/>
      <c r="Y111" s="1348"/>
      <c r="Z111" s="1348"/>
      <c r="AA111" s="1872"/>
      <c r="AB111" s="730"/>
      <c r="AC111" s="730"/>
      <c r="AD111" s="730"/>
      <c r="AE111" s="730"/>
    </row>
    <row s="7114" customFormat="1" customHeight="1" ht="11.25">
      <c r="A112" s="1170"/>
      <c r="B112" s="1876"/>
      <c r="C112" s="1876"/>
      <c r="D112" s="499"/>
      <c r="K112" s="1348"/>
      <c r="L112" s="1876"/>
      <c r="M112" s="1876"/>
      <c r="N112" s="1348"/>
      <c r="O112" s="1348"/>
      <c r="P112" s="1348"/>
      <c r="Q112" s="1348"/>
      <c r="R112" s="1876"/>
      <c r="S112" s="1348"/>
      <c r="T112" s="1348"/>
      <c r="U112" s="708"/>
      <c r="V112" s="1348"/>
      <c r="W112" s="1348"/>
      <c r="X112" s="1348"/>
      <c r="Y112" s="1348"/>
      <c r="Z112" s="1348"/>
      <c r="AA112" s="1872"/>
      <c r="AB112" s="730"/>
      <c r="AC112" s="730"/>
      <c r="AD112" s="730"/>
      <c r="AE112" s="730"/>
    </row>
    <row s="7114" customFormat="1" customHeight="1" ht="11.25">
      <c r="A113" s="1170"/>
      <c r="B113" s="1876"/>
      <c r="C113" s="1876"/>
      <c r="D113" s="499"/>
      <c r="K113" s="1348"/>
      <c r="L113" s="1876"/>
      <c r="M113" s="1876"/>
      <c r="N113" s="1348"/>
      <c r="O113" s="1348"/>
      <c r="P113" s="1348"/>
      <c r="Q113" s="1348"/>
      <c r="R113" s="1876"/>
      <c r="S113" s="1348"/>
      <c r="T113" s="1348"/>
      <c r="U113" s="708"/>
      <c r="V113" s="1348"/>
      <c r="W113" s="1348"/>
      <c r="X113" s="1348"/>
      <c r="Y113" s="1348"/>
      <c r="Z113" s="1348"/>
      <c r="AA113" s="1872"/>
      <c r="AB113" s="730"/>
      <c r="AC113" s="730"/>
      <c r="AD113" s="730"/>
      <c r="AE113" s="730"/>
    </row>
    <row s="7114" customFormat="1" customHeight="1" ht="11.25">
      <c r="A114" s="1170"/>
      <c r="B114" s="1876"/>
      <c r="C114" s="1876"/>
      <c r="D114" s="499"/>
      <c r="K114" s="1348"/>
      <c r="L114" s="1876"/>
      <c r="M114" s="1876"/>
      <c r="N114" s="1348"/>
      <c r="O114" s="1348"/>
      <c r="P114" s="1348"/>
      <c r="Q114" s="1348"/>
      <c r="R114" s="1876"/>
      <c r="S114" s="1348"/>
      <c r="T114" s="1348"/>
      <c r="U114" s="708"/>
      <c r="V114" s="1348"/>
      <c r="W114" s="1348"/>
      <c r="X114" s="1348"/>
      <c r="Y114" s="1348"/>
      <c r="Z114" s="1348"/>
      <c r="AA114" s="1872"/>
      <c r="AB114" s="730"/>
      <c r="AC114" s="730"/>
      <c r="AD114" s="730"/>
      <c r="AE114" s="730"/>
    </row>
    <row s="7114" customFormat="1" customHeight="1" ht="11.25">
      <c r="A115" s="1170"/>
      <c r="B115" s="1876"/>
      <c r="C115" s="1876"/>
      <c r="D115" s="499"/>
      <c r="K115" s="1348"/>
      <c r="L115" s="1876"/>
      <c r="M115" s="1876"/>
      <c r="N115" s="1348"/>
      <c r="O115" s="1348"/>
      <c r="P115" s="1348"/>
      <c r="Q115" s="1348"/>
      <c r="R115" s="1876"/>
      <c r="S115" s="1348"/>
      <c r="T115" s="1348"/>
      <c r="U115" s="708"/>
      <c r="V115" s="1348"/>
      <c r="W115" s="1348"/>
      <c r="X115" s="1348"/>
      <c r="Y115" s="1348"/>
      <c r="Z115" s="1348"/>
      <c r="AA115" s="1872"/>
      <c r="AB115" s="730"/>
      <c r="AC115" s="730"/>
      <c r="AD115" s="730"/>
      <c r="AE115" s="730"/>
    </row>
    <row s="7114" customFormat="1" customHeight="1" ht="11.25">
      <c r="A116" s="1170"/>
      <c r="B116" s="1876"/>
      <c r="C116" s="1876"/>
      <c r="D116" s="499"/>
      <c r="K116" s="1348"/>
      <c r="L116" s="1876"/>
      <c r="M116" s="1876"/>
      <c r="N116" s="1348"/>
      <c r="O116" s="1348"/>
      <c r="P116" s="1348"/>
      <c r="Q116" s="1348"/>
      <c r="R116" s="1876"/>
      <c r="S116" s="1348"/>
      <c r="T116" s="1348"/>
      <c r="U116" s="708"/>
      <c r="V116" s="1348"/>
      <c r="W116" s="1348"/>
      <c r="X116" s="1348"/>
      <c r="Y116" s="1348"/>
      <c r="Z116" s="1348"/>
      <c r="AA116" s="1872"/>
      <c r="AB116" s="730"/>
      <c r="AC116" s="730"/>
      <c r="AD116" s="730"/>
      <c r="AE116" s="730"/>
    </row>
    <row s="7114" customFormat="1" customHeight="1" ht="11.25">
      <c r="A117" s="1170"/>
      <c r="B117" s="1876"/>
      <c r="C117" s="1876"/>
      <c r="D117" s="499"/>
      <c r="K117" s="1348"/>
      <c r="L117" s="1876"/>
      <c r="M117" s="1876"/>
      <c r="N117" s="1348"/>
      <c r="O117" s="1348"/>
      <c r="P117" s="1348"/>
      <c r="Q117" s="1348"/>
      <c r="R117" s="1876"/>
      <c r="S117" s="1348"/>
      <c r="T117" s="1348"/>
      <c r="U117" s="708"/>
      <c r="V117" s="1348"/>
      <c r="W117" s="1348"/>
      <c r="X117" s="1348"/>
      <c r="Y117" s="1348"/>
      <c r="Z117" s="1348"/>
      <c r="AA117" s="1872"/>
      <c r="AB117" s="730"/>
      <c r="AC117" s="730"/>
      <c r="AD117" s="730"/>
      <c r="AE117" s="730"/>
    </row>
    <row s="7114" customFormat="1" customHeight="1" ht="11.25">
      <c r="A118" s="1170"/>
      <c r="B118" s="1876"/>
      <c r="C118" s="1876"/>
      <c r="D118" s="499"/>
      <c r="K118" s="1348"/>
      <c r="L118" s="1876"/>
      <c r="M118" s="1876"/>
      <c r="N118" s="1348"/>
      <c r="O118" s="1348"/>
      <c r="P118" s="1348"/>
      <c r="Q118" s="1348"/>
      <c r="R118" s="1876"/>
      <c r="S118" s="1348"/>
      <c r="T118" s="1348"/>
      <c r="U118" s="708"/>
      <c r="V118" s="1348"/>
      <c r="W118" s="1348"/>
      <c r="X118" s="1348"/>
      <c r="Y118" s="1348"/>
      <c r="Z118" s="1348"/>
      <c r="AA118" s="1872"/>
      <c r="AB118" s="730"/>
      <c r="AC118" s="730"/>
      <c r="AD118" s="730"/>
      <c r="AE118" s="730"/>
    </row>
    <row s="7114" customFormat="1" customHeight="1" ht="11.25">
      <c r="A119" s="1170"/>
      <c r="B119" s="1876"/>
      <c r="C119" s="1876"/>
      <c r="D119" s="499"/>
      <c r="K119" s="1348"/>
      <c r="L119" s="1876"/>
      <c r="M119" s="1876"/>
      <c r="N119" s="1348"/>
      <c r="O119" s="1348"/>
      <c r="P119" s="1348"/>
      <c r="Q119" s="1348"/>
      <c r="R119" s="1876"/>
      <c r="S119" s="1348"/>
      <c r="T119" s="1348"/>
      <c r="U119" s="708"/>
      <c r="V119" s="1348"/>
      <c r="W119" s="1348"/>
      <c r="X119" s="1348"/>
      <c r="Y119" s="1348"/>
      <c r="Z119" s="1348"/>
      <c r="AA119" s="1872"/>
      <c r="AB119" s="730"/>
      <c r="AC119" s="730"/>
      <c r="AD119" s="730"/>
      <c r="AE119" s="730"/>
    </row>
    <row s="7114" customFormat="1" customHeight="1" ht="11.25">
      <c r="A120" s="1170"/>
      <c r="B120" s="1876"/>
      <c r="C120" s="1876"/>
      <c r="D120" s="499"/>
      <c r="K120" s="1348"/>
      <c r="L120" s="1876"/>
      <c r="M120" s="1876"/>
      <c r="N120" s="1348"/>
      <c r="O120" s="1348"/>
      <c r="P120" s="1348"/>
      <c r="Q120" s="1348"/>
      <c r="R120" s="1876"/>
      <c r="S120" s="1348"/>
      <c r="T120" s="1348"/>
      <c r="U120" s="708"/>
      <c r="V120" s="1348"/>
      <c r="W120" s="1348"/>
      <c r="X120" s="1348"/>
      <c r="Y120" s="1348"/>
      <c r="Z120" s="1348"/>
      <c r="AA120" s="1872"/>
      <c r="AB120" s="730"/>
      <c r="AC120" s="730"/>
      <c r="AD120" s="730"/>
      <c r="AE120" s="730"/>
    </row>
    <row s="7114" customFormat="1" customHeight="1" ht="11.25">
      <c r="A121" s="1170"/>
      <c r="B121" s="1876"/>
      <c r="C121" s="1876"/>
      <c r="D121" s="499"/>
      <c r="K121" s="1348"/>
      <c r="L121" s="1876"/>
      <c r="M121" s="1876"/>
      <c r="N121" s="1348"/>
      <c r="O121" s="1348"/>
      <c r="P121" s="1348"/>
      <c r="Q121" s="1348"/>
      <c r="R121" s="1876"/>
      <c r="S121" s="1348"/>
      <c r="T121" s="1348"/>
      <c r="U121" s="708"/>
      <c r="V121" s="1348"/>
      <c r="W121" s="1348"/>
      <c r="X121" s="1348"/>
      <c r="Y121" s="1348"/>
      <c r="Z121" s="1348"/>
      <c r="AA121" s="1872"/>
      <c r="AB121" s="730"/>
      <c r="AC121" s="730"/>
      <c r="AD121" s="730"/>
      <c r="AE121" s="730"/>
    </row>
    <row s="7114" customFormat="1" customHeight="1" ht="11.25">
      <c r="A122" s="1170"/>
      <c r="B122" s="1876"/>
      <c r="C122" s="1876"/>
      <c r="D122" s="499"/>
      <c r="K122" s="1348"/>
      <c r="L122" s="1876"/>
      <c r="M122" s="1876"/>
      <c r="N122" s="1348"/>
      <c r="O122" s="1348"/>
      <c r="P122" s="1348"/>
      <c r="Q122" s="1348"/>
      <c r="R122" s="1876"/>
      <c r="S122" s="1348"/>
      <c r="T122" s="1348"/>
      <c r="U122" s="708"/>
      <c r="V122" s="1348"/>
      <c r="W122" s="1348"/>
      <c r="X122" s="1348"/>
      <c r="Y122" s="1348"/>
      <c r="Z122" s="1348"/>
      <c r="AA122" s="1872"/>
      <c r="AB122" s="730"/>
      <c r="AC122" s="730"/>
      <c r="AD122" s="730"/>
      <c r="AE122" s="730"/>
    </row>
    <row s="7114" customFormat="1" customHeight="1" ht="11.25">
      <c r="A123" s="1170"/>
      <c r="B123" s="1876"/>
      <c r="C123" s="1876"/>
      <c r="D123" s="499"/>
      <c r="K123" s="1348"/>
      <c r="L123" s="1876"/>
      <c r="M123" s="1876"/>
      <c r="N123" s="1348"/>
      <c r="O123" s="1348"/>
      <c r="P123" s="1348"/>
      <c r="Q123" s="1348"/>
      <c r="R123" s="1876"/>
      <c r="S123" s="1348"/>
      <c r="T123" s="1348"/>
      <c r="U123" s="708"/>
      <c r="V123" s="1348"/>
      <c r="W123" s="1348"/>
      <c r="X123" s="1348"/>
      <c r="Y123" s="1348"/>
      <c r="Z123" s="1348"/>
      <c r="AA123" s="1872"/>
      <c r="AB123" s="730"/>
      <c r="AC123" s="730"/>
      <c r="AD123" s="730"/>
      <c r="AE123" s="730"/>
    </row>
    <row s="7114" customFormat="1" customHeight="1" ht="11.25">
      <c r="A124" s="1170"/>
      <c r="B124" s="1876"/>
      <c r="C124" s="1876"/>
      <c r="D124" s="499"/>
      <c r="K124" s="1348"/>
      <c r="L124" s="1876"/>
      <c r="M124" s="1876"/>
      <c r="N124" s="1348"/>
      <c r="O124" s="1348"/>
      <c r="P124" s="1348"/>
      <c r="Q124" s="1348"/>
      <c r="R124" s="1876"/>
      <c r="S124" s="1348"/>
      <c r="T124" s="1348"/>
      <c r="U124" s="708"/>
      <c r="V124" s="1348"/>
      <c r="W124" s="1348"/>
      <c r="X124" s="1348"/>
      <c r="Y124" s="1348"/>
      <c r="Z124" s="1348"/>
      <c r="AA124" s="1872"/>
      <c r="AB124" s="730"/>
      <c r="AC124" s="730"/>
      <c r="AD124" s="730"/>
      <c r="AE124" s="730"/>
    </row>
    <row s="7114" customFormat="1" customHeight="1" ht="11.25">
      <c r="A125" s="1170"/>
      <c r="B125" s="1876"/>
      <c r="C125" s="1876"/>
      <c r="D125" s="499"/>
      <c r="K125" s="1348"/>
      <c r="L125" s="1876"/>
      <c r="M125" s="1876"/>
      <c r="N125" s="1348"/>
      <c r="O125" s="1348"/>
      <c r="P125" s="1348"/>
      <c r="Q125" s="1348"/>
      <c r="R125" s="1876"/>
      <c r="S125" s="1348"/>
      <c r="T125" s="1348"/>
      <c r="U125" s="708"/>
      <c r="V125" s="1348"/>
      <c r="W125" s="1348"/>
      <c r="X125" s="1348"/>
      <c r="Y125" s="1348"/>
      <c r="Z125" s="1348"/>
      <c r="AA125" s="1872"/>
      <c r="AB125" s="730"/>
      <c r="AC125" s="730"/>
      <c r="AD125" s="730"/>
      <c r="AE125" s="730"/>
    </row>
    <row s="7114" customFormat="1" customHeight="1" ht="11.25">
      <c r="A126" s="1170"/>
      <c r="B126" s="1876"/>
      <c r="C126" s="1876"/>
      <c r="D126" s="499"/>
      <c r="K126" s="1348"/>
      <c r="L126" s="1876"/>
      <c r="M126" s="1876"/>
      <c r="N126" s="1348"/>
      <c r="O126" s="1348"/>
      <c r="P126" s="1348"/>
      <c r="Q126" s="1348"/>
      <c r="R126" s="1876"/>
      <c r="S126" s="1348"/>
      <c r="T126" s="1348"/>
      <c r="U126" s="708"/>
      <c r="V126" s="1348"/>
      <c r="W126" s="1348"/>
      <c r="X126" s="1348"/>
      <c r="Y126" s="1348"/>
      <c r="Z126" s="1348"/>
      <c r="AA126" s="1872"/>
      <c r="AB126" s="730"/>
      <c r="AC126" s="730"/>
      <c r="AD126" s="730"/>
      <c r="AE126" s="730"/>
    </row>
    <row s="7114" customFormat="1" customHeight="1" ht="11.25">
      <c r="A127" s="1170"/>
      <c r="B127" s="1876"/>
      <c r="C127" s="1876"/>
      <c r="D127" s="499"/>
      <c r="K127" s="1348"/>
      <c r="L127" s="1876"/>
      <c r="M127" s="1876"/>
      <c r="N127" s="1348"/>
      <c r="O127" s="1348"/>
      <c r="P127" s="1348"/>
      <c r="Q127" s="1348"/>
      <c r="R127" s="1876"/>
      <c r="S127" s="1348"/>
      <c r="T127" s="1348"/>
      <c r="U127" s="708"/>
      <c r="V127" s="1348"/>
      <c r="W127" s="1348"/>
      <c r="X127" s="1348"/>
      <c r="Y127" s="1348"/>
      <c r="Z127" s="1348"/>
      <c r="AA127" s="1872"/>
      <c r="AB127" s="730"/>
      <c r="AC127" s="730"/>
      <c r="AD127" s="730"/>
      <c r="AE127" s="730"/>
    </row>
    <row s="7114" customFormat="1" customHeight="1" ht="11.25">
      <c r="A128" s="1170"/>
      <c r="B128" s="1876"/>
      <c r="C128" s="1876"/>
      <c r="D128" s="499"/>
      <c r="K128" s="1348"/>
      <c r="L128" s="1876"/>
      <c r="M128" s="1876"/>
      <c r="N128" s="1348"/>
      <c r="O128" s="1348"/>
      <c r="P128" s="1348"/>
      <c r="Q128" s="1348"/>
      <c r="R128" s="1876"/>
      <c r="S128" s="1348"/>
      <c r="T128" s="1348"/>
      <c r="U128" s="708"/>
      <c r="V128" s="1348"/>
      <c r="W128" s="1348"/>
      <c r="X128" s="1348"/>
      <c r="Y128" s="1348"/>
      <c r="Z128" s="1348"/>
      <c r="AA128" s="1872"/>
      <c r="AB128" s="730"/>
      <c r="AC128" s="730"/>
      <c r="AD128" s="730"/>
      <c r="AE128" s="730"/>
    </row>
    <row s="7114" customFormat="1" customHeight="1" ht="11.25">
      <c r="A129" s="1170"/>
      <c r="B129" s="1876"/>
      <c r="C129" s="1876"/>
      <c r="D129" s="499"/>
      <c r="K129" s="1348"/>
      <c r="L129" s="1876"/>
      <c r="M129" s="1876"/>
      <c r="N129" s="1348"/>
      <c r="O129" s="1348"/>
      <c r="P129" s="1348"/>
      <c r="Q129" s="1348"/>
      <c r="R129" s="1876"/>
      <c r="S129" s="1348"/>
      <c r="T129" s="1348"/>
      <c r="U129" s="708"/>
      <c r="V129" s="1348"/>
      <c r="W129" s="1348"/>
      <c r="X129" s="1348"/>
      <c r="Y129" s="1348"/>
      <c r="Z129" s="1348"/>
      <c r="AA129" s="1872"/>
      <c r="AB129" s="730"/>
      <c r="AC129" s="730"/>
      <c r="AD129" s="730"/>
      <c r="AE129" s="730"/>
    </row>
    <row s="7114" customFormat="1" customHeight="1" ht="11.25">
      <c r="A130" s="1170"/>
      <c r="B130" s="1876"/>
      <c r="C130" s="1876"/>
      <c r="D130" s="499"/>
      <c r="K130" s="1348"/>
      <c r="L130" s="1876"/>
      <c r="M130" s="1876"/>
      <c r="N130" s="1348"/>
      <c r="O130" s="1348"/>
      <c r="P130" s="1348"/>
      <c r="Q130" s="1348"/>
      <c r="R130" s="1876"/>
      <c r="S130" s="1348"/>
      <c r="T130" s="1348"/>
      <c r="U130" s="708"/>
      <c r="V130" s="1348"/>
      <c r="W130" s="1348"/>
      <c r="X130" s="1348"/>
      <c r="Y130" s="1348"/>
      <c r="Z130" s="1348"/>
      <c r="AA130" s="1872"/>
      <c r="AB130" s="730"/>
      <c r="AC130" s="730"/>
      <c r="AD130" s="730"/>
      <c r="AE130" s="730"/>
    </row>
    <row s="7114" customFormat="1" customHeight="1" ht="11.25">
      <c r="A131" s="1170"/>
      <c r="B131" s="1876"/>
      <c r="C131" s="1876"/>
      <c r="D131" s="499"/>
      <c r="K131" s="1348"/>
      <c r="L131" s="1876"/>
      <c r="M131" s="1876"/>
      <c r="N131" s="1348"/>
      <c r="O131" s="1348"/>
      <c r="P131" s="1348"/>
      <c r="Q131" s="1348"/>
      <c r="R131" s="1876"/>
      <c r="S131" s="1348"/>
      <c r="T131" s="1348"/>
      <c r="U131" s="708"/>
      <c r="V131" s="1348"/>
      <c r="W131" s="1348"/>
      <c r="X131" s="1348"/>
      <c r="Y131" s="1348"/>
      <c r="Z131" s="1348"/>
      <c r="AA131" s="1872"/>
      <c r="AB131" s="730"/>
      <c r="AC131" s="730"/>
      <c r="AD131" s="730"/>
      <c r="AE131" s="730"/>
    </row>
    <row s="7114" customFormat="1" customHeight="1" ht="11.25">
      <c r="A132" s="1170"/>
      <c r="B132" s="1876"/>
      <c r="C132" s="1876"/>
      <c r="D132" s="499"/>
      <c r="K132" s="1348"/>
      <c r="L132" s="1876"/>
      <c r="M132" s="1876"/>
      <c r="N132" s="1348"/>
      <c r="O132" s="1348"/>
      <c r="P132" s="1348"/>
      <c r="Q132" s="1348"/>
      <c r="R132" s="1876"/>
      <c r="S132" s="1348"/>
      <c r="T132" s="1348"/>
      <c r="U132" s="708"/>
      <c r="V132" s="1348"/>
      <c r="W132" s="1348"/>
      <c r="X132" s="1348"/>
      <c r="Y132" s="1348"/>
      <c r="Z132" s="1348"/>
      <c r="AA132" s="1872"/>
      <c r="AB132" s="730"/>
      <c r="AC132" s="730"/>
      <c r="AD132" s="730"/>
      <c r="AE132" s="730"/>
    </row>
    <row s="7114" customFormat="1" customHeight="1" ht="11.25">
      <c r="A133" s="1170"/>
      <c r="B133" s="1876"/>
      <c r="C133" s="1876"/>
      <c r="D133" s="499"/>
      <c r="K133" s="1348"/>
      <c r="L133" s="1876"/>
      <c r="M133" s="1876"/>
      <c r="N133" s="1348"/>
      <c r="O133" s="1348"/>
      <c r="P133" s="1348"/>
      <c r="Q133" s="1348"/>
      <c r="R133" s="1876"/>
      <c r="S133" s="1348"/>
      <c r="T133" s="1348"/>
      <c r="U133" s="708"/>
      <c r="V133" s="1348"/>
      <c r="W133" s="1348"/>
      <c r="X133" s="1348"/>
      <c r="Y133" s="1348"/>
      <c r="Z133" s="1348"/>
      <c r="AA133" s="1872"/>
      <c r="AB133" s="730"/>
      <c r="AC133" s="730"/>
      <c r="AD133" s="730"/>
      <c r="AE133" s="730"/>
    </row>
    <row s="7114" customFormat="1" customHeight="1" ht="11.25">
      <c r="A134" s="1170"/>
      <c r="B134" s="1876"/>
      <c r="C134" s="1876"/>
      <c r="D134" s="499"/>
      <c r="K134" s="1348"/>
      <c r="L134" s="1876"/>
      <c r="M134" s="1876"/>
      <c r="N134" s="1348"/>
      <c r="O134" s="1348"/>
      <c r="P134" s="1348"/>
      <c r="Q134" s="1348"/>
      <c r="R134" s="1876"/>
      <c r="S134" s="1348"/>
      <c r="T134" s="1348"/>
      <c r="U134" s="708"/>
      <c r="V134" s="1348"/>
      <c r="W134" s="1348"/>
      <c r="X134" s="1348"/>
      <c r="Y134" s="1348"/>
      <c r="Z134" s="1348"/>
      <c r="AA134" s="1872"/>
      <c r="AB134" s="730"/>
      <c r="AC134" s="730"/>
      <c r="AD134" s="730"/>
      <c r="AE134" s="730"/>
    </row>
    <row s="7114" customFormat="1" customHeight="1" ht="11.25">
      <c r="A135" s="1170"/>
      <c r="B135" s="1876"/>
      <c r="C135" s="1876"/>
      <c r="D135" s="499"/>
      <c r="K135" s="1348"/>
      <c r="L135" s="1876"/>
      <c r="M135" s="1876"/>
      <c r="N135" s="1348"/>
      <c r="O135" s="1348"/>
      <c r="P135" s="1348"/>
      <c r="Q135" s="1348"/>
      <c r="R135" s="1876"/>
      <c r="S135" s="1348"/>
      <c r="T135" s="1348"/>
      <c r="U135" s="708"/>
      <c r="V135" s="1348"/>
      <c r="W135" s="1348"/>
      <c r="X135" s="1348"/>
      <c r="Y135" s="1348"/>
      <c r="Z135" s="1348"/>
      <c r="AA135" s="1872"/>
      <c r="AB135" s="730"/>
      <c r="AC135" s="730"/>
      <c r="AD135" s="730"/>
      <c r="AE135" s="730"/>
    </row>
    <row s="7114" customFormat="1" customHeight="1" ht="11.25">
      <c r="A136" s="1170"/>
      <c r="B136" s="1876"/>
      <c r="C136" s="1876"/>
      <c r="D136" s="499"/>
      <c r="K136" s="1348"/>
      <c r="L136" s="1876"/>
      <c r="M136" s="1876"/>
      <c r="N136" s="1348"/>
      <c r="O136" s="1348"/>
      <c r="P136" s="1348"/>
      <c r="Q136" s="1348"/>
      <c r="R136" s="1876"/>
      <c r="S136" s="1348"/>
      <c r="T136" s="1348"/>
      <c r="U136" s="708"/>
      <c r="V136" s="1348"/>
      <c r="W136" s="1348"/>
      <c r="X136" s="1348"/>
      <c r="Y136" s="1348"/>
      <c r="Z136" s="1348"/>
      <c r="AA136" s="1872"/>
      <c r="AB136" s="730"/>
      <c r="AC136" s="730"/>
      <c r="AD136" s="730"/>
      <c r="AE136" s="730"/>
    </row>
    <row s="7114" customFormat="1" customHeight="1" ht="11.25">
      <c r="A137" s="1170"/>
      <c r="B137" s="1876"/>
      <c r="C137" s="1876"/>
      <c r="D137" s="499"/>
      <c r="K137" s="1348"/>
      <c r="L137" s="1876"/>
      <c r="M137" s="1876"/>
      <c r="N137" s="1348"/>
      <c r="O137" s="1348"/>
      <c r="P137" s="1348"/>
      <c r="Q137" s="1348"/>
      <c r="R137" s="1876"/>
      <c r="S137" s="1348"/>
      <c r="T137" s="1348"/>
      <c r="U137" s="708"/>
      <c r="V137" s="1348"/>
      <c r="W137" s="1348"/>
      <c r="X137" s="1348"/>
      <c r="Y137" s="1348"/>
      <c r="Z137" s="1348"/>
      <c r="AA137" s="1872"/>
      <c r="AB137" s="730"/>
      <c r="AC137" s="730"/>
      <c r="AD137" s="730"/>
      <c r="AE137" s="730"/>
    </row>
    <row s="7114" customFormat="1" customHeight="1" ht="11.25">
      <c r="A138" s="1170"/>
      <c r="B138" s="1876"/>
      <c r="C138" s="1876"/>
      <c r="D138" s="499"/>
      <c r="K138" s="1348"/>
      <c r="L138" s="1876"/>
      <c r="M138" s="1876"/>
      <c r="N138" s="1348"/>
      <c r="O138" s="1348"/>
      <c r="P138" s="1348"/>
      <c r="Q138" s="1348"/>
      <c r="R138" s="1876"/>
      <c r="S138" s="1348"/>
      <c r="T138" s="1348"/>
      <c r="U138" s="708"/>
      <c r="V138" s="1348"/>
      <c r="W138" s="1348"/>
      <c r="X138" s="1348"/>
      <c r="Y138" s="1348"/>
      <c r="Z138" s="1348"/>
      <c r="AA138" s="1872"/>
      <c r="AB138" s="730"/>
      <c r="AC138" s="730"/>
      <c r="AD138" s="730"/>
      <c r="AE138" s="730"/>
    </row>
    <row s="7114" customFormat="1" customHeight="1" ht="11.25">
      <c r="A139" s="1170"/>
      <c r="B139" s="1876"/>
      <c r="C139" s="1876"/>
      <c r="D139" s="499"/>
      <c r="K139" s="1348"/>
      <c r="L139" s="1876"/>
      <c r="M139" s="1876"/>
      <c r="N139" s="1348"/>
      <c r="O139" s="1348"/>
      <c r="P139" s="1348"/>
      <c r="Q139" s="1348"/>
      <c r="R139" s="1876"/>
      <c r="S139" s="1348"/>
      <c r="T139" s="1348"/>
      <c r="U139" s="708"/>
      <c r="V139" s="1348"/>
      <c r="W139" s="1348"/>
      <c r="X139" s="1348"/>
      <c r="Y139" s="1348"/>
      <c r="Z139" s="1348"/>
      <c r="AA139" s="1872"/>
      <c r="AB139" s="730"/>
      <c r="AC139" s="730"/>
      <c r="AD139" s="730"/>
      <c r="AE139" s="730"/>
    </row>
    <row s="7114" customFormat="1" customHeight="1" ht="11.25">
      <c r="A140" s="1170"/>
      <c r="B140" s="1876"/>
      <c r="C140" s="1876"/>
      <c r="D140" s="499"/>
      <c r="K140" s="1348"/>
      <c r="L140" s="1876"/>
      <c r="M140" s="1876"/>
      <c r="N140" s="1348"/>
      <c r="O140" s="1348"/>
      <c r="P140" s="1348"/>
      <c r="Q140" s="1348"/>
      <c r="R140" s="1876"/>
      <c r="S140" s="1348"/>
      <c r="T140" s="1348"/>
      <c r="U140" s="708"/>
      <c r="V140" s="1348"/>
      <c r="W140" s="1348"/>
      <c r="X140" s="1348"/>
      <c r="Y140" s="1348"/>
      <c r="Z140" s="1348"/>
      <c r="AA140" s="1872"/>
      <c r="AB140" s="730"/>
      <c r="AC140" s="730"/>
      <c r="AD140" s="730"/>
      <c r="AE140" s="730"/>
    </row>
    <row s="7114" customFormat="1" customHeight="1" ht="11.25">
      <c r="A141" s="1170"/>
      <c r="B141" s="1876"/>
      <c r="C141" s="1876"/>
      <c r="D141" s="499"/>
      <c r="K141" s="1348"/>
      <c r="L141" s="1876"/>
      <c r="M141" s="1876"/>
      <c r="N141" s="1348"/>
      <c r="O141" s="1348"/>
      <c r="P141" s="1348"/>
      <c r="Q141" s="1348"/>
      <c r="R141" s="1876"/>
      <c r="S141" s="1348"/>
      <c r="T141" s="1348"/>
      <c r="U141" s="708"/>
      <c r="V141" s="1348"/>
      <c r="W141" s="1348"/>
      <c r="X141" s="1348"/>
      <c r="Y141" s="1348"/>
      <c r="Z141" s="1348"/>
      <c r="AA141" s="1872"/>
      <c r="AB141" s="730"/>
      <c r="AC141" s="730"/>
      <c r="AD141" s="730"/>
      <c r="AE141" s="730"/>
    </row>
    <row s="7114" customFormat="1" customHeight="1" ht="11.25">
      <c r="A142" s="1170"/>
      <c r="B142" s="1876"/>
      <c r="C142" s="1876"/>
      <c r="D142" s="499"/>
      <c r="K142" s="1348"/>
      <c r="L142" s="1876"/>
      <c r="M142" s="1876"/>
      <c r="N142" s="1348"/>
      <c r="O142" s="1348"/>
      <c r="P142" s="1348"/>
      <c r="Q142" s="1348"/>
      <c r="R142" s="1876"/>
      <c r="S142" s="1348"/>
      <c r="T142" s="1348"/>
      <c r="U142" s="708"/>
      <c r="V142" s="1348"/>
      <c r="W142" s="1348"/>
      <c r="X142" s="1348"/>
      <c r="Y142" s="1348"/>
      <c r="Z142" s="1348"/>
      <c r="AA142" s="1872"/>
      <c r="AB142" s="730"/>
      <c r="AC142" s="730"/>
      <c r="AD142" s="730"/>
      <c r="AE142" s="730"/>
    </row>
    <row s="7114" customFormat="1" customHeight="1" ht="11.25">
      <c r="A143" s="1170"/>
      <c r="B143" s="1876"/>
      <c r="C143" s="1876"/>
      <c r="D143" s="499"/>
      <c r="K143" s="1348"/>
      <c r="L143" s="1876"/>
      <c r="M143" s="1876"/>
      <c r="N143" s="1348"/>
      <c r="O143" s="1348"/>
      <c r="P143" s="1348"/>
      <c r="Q143" s="1348"/>
      <c r="R143" s="1876"/>
      <c r="S143" s="1348"/>
      <c r="T143" s="1348"/>
      <c r="U143" s="708"/>
      <c r="V143" s="1348"/>
      <c r="W143" s="1348"/>
      <c r="X143" s="1348"/>
      <c r="Y143" s="1348"/>
      <c r="Z143" s="1348"/>
      <c r="AA143" s="1872"/>
      <c r="AB143" s="730"/>
      <c r="AC143" s="730"/>
      <c r="AD143" s="730"/>
      <c r="AE143" s="730"/>
    </row>
    <row s="7114" customFormat="1" customHeight="1" ht="11.25">
      <c r="A144" s="1170"/>
      <c r="B144" s="1876"/>
      <c r="C144" s="1876"/>
      <c r="D144" s="499"/>
      <c r="K144" s="1348"/>
      <c r="L144" s="1876"/>
      <c r="M144" s="1876"/>
      <c r="N144" s="1348"/>
      <c r="O144" s="1348"/>
      <c r="P144" s="1348"/>
      <c r="Q144" s="1348"/>
      <c r="R144" s="1876"/>
      <c r="S144" s="1348"/>
      <c r="T144" s="1348"/>
      <c r="U144" s="708"/>
      <c r="V144" s="1348"/>
      <c r="W144" s="1348"/>
      <c r="X144" s="1348"/>
      <c r="Y144" s="1348"/>
      <c r="Z144" s="1348"/>
      <c r="AA144" s="1872"/>
      <c r="AB144" s="730"/>
      <c r="AC144" s="730"/>
      <c r="AD144" s="730"/>
      <c r="AE144" s="730"/>
    </row>
    <row s="7114" customFormat="1" customHeight="1" ht="11.25">
      <c r="A145" s="1170"/>
      <c r="B145" s="1876"/>
      <c r="C145" s="1876"/>
      <c r="D145" s="499"/>
      <c r="K145" s="1348"/>
      <c r="L145" s="1876"/>
      <c r="M145" s="1876"/>
      <c r="N145" s="1348"/>
      <c r="O145" s="1348"/>
      <c r="P145" s="1348"/>
      <c r="Q145" s="1348"/>
      <c r="R145" s="1876"/>
      <c r="S145" s="1348"/>
      <c r="T145" s="1348"/>
      <c r="U145" s="708"/>
      <c r="V145" s="1348"/>
      <c r="W145" s="1348"/>
      <c r="X145" s="1348"/>
      <c r="Y145" s="1348"/>
      <c r="Z145" s="1348"/>
      <c r="AA145" s="1872"/>
      <c r="AB145" s="730"/>
      <c r="AC145" s="730"/>
      <c r="AD145" s="730"/>
      <c r="AE145" s="730"/>
    </row>
    <row s="7114" customFormat="1" customHeight="1" ht="11.25">
      <c r="A146" s="1170"/>
      <c r="B146" s="1876"/>
      <c r="C146" s="1876"/>
      <c r="D146" s="499"/>
      <c r="K146" s="1348"/>
      <c r="L146" s="1876"/>
      <c r="M146" s="1876"/>
      <c r="N146" s="1348"/>
      <c r="O146" s="1348"/>
      <c r="P146" s="1348"/>
      <c r="Q146" s="1348"/>
      <c r="R146" s="1876"/>
      <c r="S146" s="1348"/>
      <c r="T146" s="1348"/>
      <c r="U146" s="708"/>
      <c r="V146" s="1348"/>
      <c r="W146" s="1348"/>
      <c r="X146" s="1348"/>
      <c r="Y146" s="1348"/>
      <c r="Z146" s="1348"/>
      <c r="AA146" s="1872"/>
      <c r="AB146" s="730"/>
      <c r="AC146" s="730"/>
      <c r="AD146" s="730"/>
      <c r="AE146" s="730"/>
    </row>
    <row s="7114" customFormat="1" customHeight="1" ht="11.25">
      <c r="A147" s="1170"/>
      <c r="B147" s="1876"/>
      <c r="C147" s="1876"/>
      <c r="D147" s="499"/>
      <c r="K147" s="1348"/>
      <c r="L147" s="1876"/>
      <c r="M147" s="1876"/>
      <c r="N147" s="1348"/>
      <c r="O147" s="1348"/>
      <c r="P147" s="1348"/>
      <c r="Q147" s="1348"/>
      <c r="R147" s="1876"/>
      <c r="S147" s="1348"/>
      <c r="T147" s="1348"/>
      <c r="U147" s="708"/>
      <c r="V147" s="1348"/>
      <c r="W147" s="1348"/>
      <c r="X147" s="1348"/>
      <c r="Y147" s="1348"/>
      <c r="Z147" s="1348"/>
      <c r="AA147" s="1872"/>
      <c r="AB147" s="730"/>
      <c r="AC147" s="730"/>
      <c r="AD147" s="730"/>
      <c r="AE147" s="730"/>
    </row>
    <row s="7114" customFormat="1" customHeight="1" ht="11.25">
      <c r="A148" s="1170"/>
      <c r="B148" s="1876"/>
      <c r="C148" s="1876"/>
      <c r="D148" s="499"/>
      <c r="K148" s="1348"/>
      <c r="L148" s="1876"/>
      <c r="M148" s="1876"/>
      <c r="N148" s="1348"/>
      <c r="O148" s="1348"/>
      <c r="P148" s="1348"/>
      <c r="Q148" s="1348"/>
      <c r="R148" s="1876"/>
      <c r="S148" s="1348"/>
      <c r="T148" s="1348"/>
      <c r="U148" s="708"/>
      <c r="V148" s="1348"/>
      <c r="W148" s="1348"/>
      <c r="X148" s="1348"/>
      <c r="Y148" s="1348"/>
      <c r="Z148" s="1348"/>
      <c r="AA148" s="1872"/>
      <c r="AB148" s="730"/>
      <c r="AC148" s="730"/>
      <c r="AD148" s="730"/>
      <c r="AE148" s="730"/>
    </row>
    <row s="7114" customFormat="1" customHeight="1" ht="11.25">
      <c r="A149" s="1170"/>
      <c r="B149" s="1876"/>
      <c r="C149" s="1876"/>
      <c r="D149" s="499"/>
      <c r="K149" s="1348"/>
      <c r="L149" s="1876"/>
      <c r="M149" s="1876"/>
      <c r="N149" s="1348"/>
      <c r="O149" s="1348"/>
      <c r="P149" s="1348"/>
      <c r="Q149" s="1348"/>
      <c r="R149" s="1876"/>
      <c r="S149" s="1348"/>
      <c r="T149" s="1348"/>
      <c r="U149" s="708"/>
      <c r="V149" s="1348"/>
      <c r="W149" s="1348"/>
      <c r="X149" s="1348"/>
      <c r="Y149" s="1348"/>
      <c r="Z149" s="1348"/>
      <c r="AA149" s="1872"/>
      <c r="AB149" s="730"/>
      <c r="AC149" s="730"/>
      <c r="AD149" s="730"/>
      <c r="AE149" s="730"/>
    </row>
    <row s="7114" customFormat="1" customHeight="1" ht="11.25">
      <c r="A150" s="1170"/>
      <c r="B150" s="1876"/>
      <c r="C150" s="1876"/>
      <c r="D150" s="499"/>
      <c r="K150" s="1348"/>
      <c r="L150" s="1876"/>
      <c r="M150" s="1876"/>
      <c r="N150" s="1348"/>
      <c r="O150" s="1348"/>
      <c r="P150" s="1348"/>
      <c r="Q150" s="1348"/>
      <c r="R150" s="1876"/>
      <c r="S150" s="1348"/>
      <c r="T150" s="1348"/>
      <c r="U150" s="708"/>
      <c r="V150" s="1348"/>
      <c r="W150" s="1348"/>
      <c r="X150" s="1348"/>
      <c r="Y150" s="1348"/>
      <c r="Z150" s="1348"/>
      <c r="AA150" s="1872"/>
      <c r="AB150" s="730"/>
      <c r="AC150" s="730"/>
      <c r="AD150" s="730"/>
      <c r="AE150" s="730"/>
    </row>
    <row s="7114" customFormat="1" customHeight="1" ht="11.25">
      <c r="A151" s="1170"/>
      <c r="B151" s="1876"/>
      <c r="C151" s="1876"/>
      <c r="D151" s="499"/>
      <c r="K151" s="1348"/>
      <c r="L151" s="1876"/>
      <c r="M151" s="1876"/>
      <c r="N151" s="1348"/>
      <c r="O151" s="1348"/>
      <c r="P151" s="1348"/>
      <c r="Q151" s="1348"/>
      <c r="R151" s="1876"/>
      <c r="S151" s="1348"/>
      <c r="T151" s="1348"/>
      <c r="U151" s="708"/>
      <c r="V151" s="1348"/>
      <c r="W151" s="1348"/>
      <c r="X151" s="1348"/>
      <c r="Y151" s="1348"/>
      <c r="Z151" s="1348"/>
      <c r="AA151" s="1872"/>
      <c r="AB151" s="730"/>
      <c r="AC151" s="730"/>
      <c r="AD151" s="730"/>
      <c r="AE151" s="730"/>
    </row>
    <row s="7114" customFormat="1" customHeight="1" ht="11.25">
      <c r="A152" s="1170"/>
      <c r="B152" s="1876"/>
      <c r="C152" s="1876"/>
      <c r="D152" s="499"/>
      <c r="K152" s="1348"/>
      <c r="L152" s="1876"/>
      <c r="M152" s="1876"/>
      <c r="N152" s="1348"/>
      <c r="O152" s="1348"/>
      <c r="P152" s="1348"/>
      <c r="Q152" s="1348"/>
      <c r="R152" s="1876"/>
      <c r="S152" s="1348"/>
      <c r="T152" s="1348"/>
      <c r="U152" s="708"/>
      <c r="V152" s="1348"/>
      <c r="W152" s="1348"/>
      <c r="X152" s="1348"/>
      <c r="Y152" s="1348"/>
      <c r="Z152" s="1348"/>
      <c r="AA152" s="1872"/>
      <c r="AB152" s="730"/>
      <c r="AC152" s="730"/>
      <c r="AD152" s="730"/>
      <c r="AE152" s="730"/>
    </row>
    <row s="7114" customFormat="1" customHeight="1" ht="11.25">
      <c r="A153" s="1170"/>
      <c r="B153" s="1876"/>
      <c r="C153" s="1876"/>
      <c r="D153" s="499"/>
      <c r="K153" s="1348"/>
      <c r="L153" s="1876"/>
      <c r="M153" s="1876"/>
      <c r="N153" s="1348"/>
      <c r="O153" s="1348"/>
      <c r="P153" s="1348"/>
      <c r="Q153" s="1348"/>
      <c r="R153" s="1876"/>
      <c r="S153" s="1348"/>
      <c r="T153" s="1348"/>
      <c r="U153" s="708"/>
      <c r="V153" s="1348"/>
      <c r="W153" s="1348"/>
      <c r="X153" s="1348"/>
      <c r="Y153" s="1348"/>
      <c r="Z153" s="1348"/>
      <c r="AA153" s="1872"/>
      <c r="AB153" s="730"/>
      <c r="AC153" s="730"/>
      <c r="AD153" s="730"/>
      <c r="AE153" s="730"/>
    </row>
    <row s="7114" customFormat="1" customHeight="1" ht="11.25">
      <c r="A154" s="1170"/>
      <c r="B154" s="1876"/>
      <c r="C154" s="1876"/>
      <c r="D154" s="499"/>
      <c r="K154" s="1348"/>
      <c r="L154" s="1876"/>
      <c r="M154" s="1876"/>
      <c r="N154" s="1348"/>
      <c r="O154" s="1348"/>
      <c r="P154" s="1348"/>
      <c r="Q154" s="1348"/>
      <c r="R154" s="1876"/>
      <c r="S154" s="1348"/>
      <c r="T154" s="1348"/>
      <c r="U154" s="708"/>
      <c r="V154" s="1348"/>
      <c r="W154" s="1348"/>
      <c r="X154" s="1348"/>
      <c r="Y154" s="1348"/>
      <c r="Z154" s="1348"/>
      <c r="AA154" s="1872"/>
      <c r="AB154" s="730"/>
      <c r="AC154" s="730"/>
      <c r="AD154" s="730"/>
      <c r="AE154" s="730"/>
    </row>
    <row s="7114" customFormat="1" customHeight="1" ht="11.25">
      <c r="A155" s="1170"/>
      <c r="B155" s="1876"/>
      <c r="C155" s="1876"/>
      <c r="D155" s="499"/>
      <c r="K155" s="1348"/>
      <c r="L155" s="1876"/>
      <c r="M155" s="1876"/>
      <c r="N155" s="1348"/>
      <c r="O155" s="1348"/>
      <c r="P155" s="1348"/>
      <c r="Q155" s="1348"/>
      <c r="R155" s="1876"/>
      <c r="S155" s="1348"/>
      <c r="T155" s="1348"/>
      <c r="U155" s="708"/>
      <c r="V155" s="1348"/>
      <c r="W155" s="1348"/>
      <c r="X155" s="1348"/>
      <c r="Y155" s="1348"/>
      <c r="Z155" s="1348"/>
      <c r="AA155" s="1872"/>
      <c r="AB155" s="730"/>
      <c r="AC155" s="730"/>
      <c r="AD155" s="730"/>
      <c r="AE155" s="730"/>
    </row>
    <row s="7114" customFormat="1" customHeight="1" ht="11.25">
      <c r="A156" s="1170"/>
      <c r="B156" s="1876"/>
      <c r="C156" s="1876"/>
      <c r="D156" s="499"/>
      <c r="K156" s="1348"/>
      <c r="L156" s="1876"/>
      <c r="M156" s="1876"/>
      <c r="N156" s="1348"/>
      <c r="O156" s="1348"/>
      <c r="P156" s="1348"/>
      <c r="Q156" s="1348"/>
      <c r="R156" s="1876"/>
      <c r="S156" s="1348"/>
      <c r="T156" s="1348"/>
      <c r="U156" s="708"/>
      <c r="V156" s="1348"/>
      <c r="W156" s="1348"/>
      <c r="X156" s="1348"/>
      <c r="Y156" s="1348"/>
      <c r="Z156" s="1348"/>
      <c r="AA156" s="1872"/>
      <c r="AB156" s="730"/>
      <c r="AC156" s="730"/>
      <c r="AD156" s="730"/>
      <c r="AE156" s="730"/>
    </row>
    <row s="7114" customFormat="1" customHeight="1" ht="11.25">
      <c r="A157" s="1170"/>
      <c r="B157" s="1876"/>
      <c r="C157" s="1876"/>
      <c r="D157" s="499"/>
      <c r="K157" s="1348"/>
      <c r="L157" s="1876"/>
      <c r="M157" s="1876"/>
      <c r="N157" s="1348"/>
      <c r="O157" s="1348"/>
      <c r="P157" s="1348"/>
      <c r="Q157" s="1348"/>
      <c r="R157" s="1876"/>
      <c r="S157" s="1348"/>
      <c r="T157" s="1348"/>
      <c r="U157" s="708"/>
      <c r="V157" s="1348"/>
      <c r="W157" s="1348"/>
      <c r="X157" s="1348"/>
      <c r="Y157" s="1348"/>
      <c r="Z157" s="1348"/>
      <c r="AA157" s="1872"/>
      <c r="AB157" s="730"/>
      <c r="AC157" s="730"/>
      <c r="AD157" s="730"/>
      <c r="AE157" s="730"/>
    </row>
    <row s="7114" customFormat="1" customHeight="1" ht="11.25">
      <c r="A158" s="1170"/>
      <c r="B158" s="1876"/>
      <c r="C158" s="1876"/>
      <c r="D158" s="499"/>
      <c r="K158" s="1348"/>
      <c r="L158" s="1876"/>
      <c r="M158" s="1876"/>
      <c r="N158" s="1348"/>
      <c r="O158" s="1348"/>
      <c r="P158" s="1348"/>
      <c r="Q158" s="1348"/>
      <c r="R158" s="1876"/>
      <c r="S158" s="1348"/>
      <c r="T158" s="1348"/>
      <c r="U158" s="708"/>
      <c r="V158" s="1348"/>
      <c r="W158" s="1348"/>
      <c r="X158" s="1348"/>
      <c r="Y158" s="1348"/>
      <c r="Z158" s="1348"/>
      <c r="AA158" s="1872"/>
      <c r="AB158" s="730"/>
      <c r="AC158" s="730"/>
      <c r="AD158" s="730"/>
      <c r="AE158" s="730"/>
    </row>
    <row s="7114" customFormat="1" customHeight="1" ht="11.25">
      <c r="A159" s="1170"/>
      <c r="B159" s="1876"/>
      <c r="C159" s="1876"/>
      <c r="D159" s="499"/>
      <c r="K159" s="1348"/>
      <c r="L159" s="1876"/>
      <c r="M159" s="1876"/>
      <c r="N159" s="1348"/>
      <c r="O159" s="1348"/>
      <c r="P159" s="1348"/>
      <c r="Q159" s="1348"/>
      <c r="R159" s="1876"/>
      <c r="S159" s="1348"/>
      <c r="T159" s="1348"/>
      <c r="U159" s="708"/>
      <c r="V159" s="1348"/>
      <c r="W159" s="1348"/>
      <c r="X159" s="1348"/>
      <c r="Y159" s="1348"/>
      <c r="Z159" s="1348"/>
      <c r="AA159" s="1872"/>
      <c r="AB159" s="730"/>
      <c r="AC159" s="730"/>
      <c r="AD159" s="730"/>
      <c r="AE159" s="730"/>
    </row>
    <row s="7114" customFormat="1" customHeight="1" ht="11.25">
      <c r="A160" s="1170"/>
      <c r="B160" s="1876"/>
      <c r="C160" s="1876"/>
      <c r="D160" s="499"/>
      <c r="K160" s="1348"/>
      <c r="L160" s="1876"/>
      <c r="M160" s="1876"/>
      <c r="N160" s="1348"/>
      <c r="O160" s="1348"/>
      <c r="P160" s="1348"/>
      <c r="Q160" s="1348"/>
      <c r="R160" s="1876"/>
      <c r="S160" s="1348"/>
      <c r="T160" s="1348"/>
      <c r="U160" s="708"/>
      <c r="V160" s="1348"/>
      <c r="W160" s="1348"/>
      <c r="X160" s="1348"/>
      <c r="Y160" s="1348"/>
      <c r="Z160" s="1348"/>
      <c r="AA160" s="1872"/>
      <c r="AB160" s="730"/>
      <c r="AC160" s="730"/>
      <c r="AD160" s="730"/>
      <c r="AE160" s="730"/>
    </row>
    <row s="7114" customFormat="1" customHeight="1" ht="11.25">
      <c r="A161" s="1170"/>
      <c r="B161" s="1876"/>
      <c r="C161" s="1876"/>
      <c r="D161" s="499"/>
      <c r="K161" s="1348"/>
      <c r="L161" s="1876"/>
      <c r="M161" s="1876"/>
      <c r="N161" s="1348"/>
      <c r="O161" s="1348"/>
      <c r="P161" s="1348"/>
      <c r="Q161" s="1348"/>
      <c r="R161" s="1876"/>
      <c r="S161" s="1348"/>
      <c r="T161" s="1348"/>
      <c r="U161" s="708"/>
      <c r="V161" s="1348"/>
      <c r="W161" s="1348"/>
      <c r="X161" s="1348"/>
      <c r="Y161" s="1348"/>
      <c r="Z161" s="1348"/>
      <c r="AA161" s="1872"/>
      <c r="AB161" s="730"/>
      <c r="AC161" s="730"/>
      <c r="AD161" s="730"/>
      <c r="AE161" s="730"/>
    </row>
    <row s="7114" customFormat="1" customHeight="1" ht="11.25">
      <c r="A162" s="1170"/>
      <c r="B162" s="1876"/>
      <c r="C162" s="1876"/>
      <c r="D162" s="499"/>
      <c r="K162" s="1348"/>
      <c r="L162" s="1876"/>
      <c r="M162" s="1876"/>
      <c r="N162" s="1348"/>
      <c r="O162" s="1348"/>
      <c r="P162" s="1348"/>
      <c r="Q162" s="1348"/>
      <c r="R162" s="1876"/>
      <c r="S162" s="1348"/>
      <c r="T162" s="1348"/>
      <c r="U162" s="708"/>
      <c r="V162" s="1348"/>
      <c r="W162" s="1348"/>
      <c r="X162" s="1348"/>
      <c r="Y162" s="1348"/>
      <c r="Z162" s="1348"/>
      <c r="AA162" s="1872"/>
      <c r="AB162" s="730"/>
      <c r="AC162" s="730"/>
      <c r="AD162" s="730"/>
      <c r="AE162" s="730"/>
    </row>
    <row s="7114" customFormat="1" customHeight="1" ht="11.25">
      <c r="A163" s="1170"/>
      <c r="B163" s="1876"/>
      <c r="C163" s="1876"/>
      <c r="D163" s="499"/>
      <c r="K163" s="1348"/>
      <c r="L163" s="1876"/>
      <c r="M163" s="1876"/>
      <c r="N163" s="1348"/>
      <c r="O163" s="1348"/>
      <c r="P163" s="1348"/>
      <c r="Q163" s="1348"/>
      <c r="R163" s="1876"/>
      <c r="S163" s="1348"/>
      <c r="T163" s="1348"/>
      <c r="U163" s="708"/>
      <c r="V163" s="1348"/>
      <c r="W163" s="1348"/>
      <c r="X163" s="1348"/>
      <c r="Y163" s="1348"/>
      <c r="Z163" s="1348"/>
      <c r="AA163" s="1872"/>
      <c r="AB163" s="730"/>
      <c r="AC163" s="730"/>
      <c r="AD163" s="730"/>
      <c r="AE163" s="730"/>
    </row>
    <row s="7114" customFormat="1" customHeight="1" ht="11.25">
      <c r="A164" s="1170"/>
      <c r="B164" s="1876"/>
      <c r="C164" s="1876"/>
      <c r="D164" s="499"/>
      <c r="K164" s="1348"/>
      <c r="L164" s="1876"/>
      <c r="M164" s="1876"/>
      <c r="N164" s="1348"/>
      <c r="O164" s="1348"/>
      <c r="P164" s="1348"/>
      <c r="Q164" s="1348"/>
      <c r="R164" s="1876"/>
      <c r="S164" s="1348"/>
      <c r="T164" s="1348"/>
      <c r="U164" s="708"/>
      <c r="V164" s="1348"/>
      <c r="W164" s="1348"/>
      <c r="X164" s="1348"/>
      <c r="Y164" s="1348"/>
      <c r="Z164" s="1348"/>
      <c r="AA164" s="1872"/>
      <c r="AB164" s="730"/>
      <c r="AC164" s="730"/>
      <c r="AD164" s="730"/>
      <c r="AE164" s="730"/>
    </row>
    <row s="7114" customFormat="1" customHeight="1" ht="11.25">
      <c r="A165" s="1170"/>
      <c r="B165" s="1876"/>
      <c r="C165" s="1876"/>
      <c r="D165" s="499"/>
      <c r="K165" s="1348"/>
      <c r="L165" s="1876"/>
      <c r="M165" s="1876"/>
      <c r="N165" s="1348"/>
      <c r="O165" s="1348"/>
      <c r="P165" s="1348"/>
      <c r="Q165" s="1348"/>
      <c r="R165" s="1876"/>
      <c r="S165" s="1348"/>
      <c r="T165" s="1348"/>
      <c r="U165" s="708"/>
      <c r="V165" s="1348"/>
      <c r="W165" s="1348"/>
      <c r="X165" s="1348"/>
      <c r="Y165" s="1348"/>
      <c r="Z165" s="1348"/>
      <c r="AA165" s="1872"/>
      <c r="AB165" s="730"/>
      <c r="AC165" s="730"/>
      <c r="AD165" s="730"/>
      <c r="AE165" s="730"/>
    </row>
    <row s="7114" customFormat="1" customHeight="1" ht="11.25">
      <c r="A166" s="1170"/>
      <c r="B166" s="1876"/>
      <c r="C166" s="1876"/>
      <c r="D166" s="499"/>
      <c r="K166" s="1348"/>
      <c r="L166" s="1876"/>
      <c r="M166" s="1876"/>
      <c r="N166" s="1348"/>
      <c r="O166" s="1348"/>
      <c r="P166" s="1348"/>
      <c r="Q166" s="1348"/>
      <c r="R166" s="1876"/>
      <c r="S166" s="1348"/>
      <c r="T166" s="1348"/>
      <c r="U166" s="708"/>
      <c r="V166" s="1348"/>
      <c r="W166" s="1348"/>
      <c r="X166" s="1348"/>
      <c r="Y166" s="1348"/>
      <c r="Z166" s="1348"/>
      <c r="AA166" s="1872"/>
      <c r="AB166" s="730"/>
      <c r="AC166" s="730"/>
      <c r="AD166" s="730"/>
      <c r="AE166" s="730"/>
    </row>
    <row s="7114" customFormat="1" customHeight="1" ht="11.25">
      <c r="A167" s="1170"/>
      <c r="B167" s="1876"/>
      <c r="C167" s="1876"/>
      <c r="D167" s="499"/>
      <c r="K167" s="1348"/>
      <c r="L167" s="1876"/>
      <c r="M167" s="1876"/>
      <c r="N167" s="1348"/>
      <c r="O167" s="1348"/>
      <c r="P167" s="1348"/>
      <c r="Q167" s="1348"/>
      <c r="R167" s="1876"/>
      <c r="S167" s="1348"/>
      <c r="T167" s="1348"/>
      <c r="U167" s="708"/>
      <c r="V167" s="1348"/>
      <c r="W167" s="1348"/>
      <c r="X167" s="1348"/>
      <c r="Y167" s="1348"/>
      <c r="Z167" s="1348"/>
      <c r="AA167" s="1872"/>
      <c r="AB167" s="730"/>
      <c r="AC167" s="730"/>
      <c r="AD167" s="730"/>
      <c r="AE167" s="730"/>
    </row>
    <row s="7114" customFormat="1" customHeight="1" ht="11.25">
      <c r="A168" s="1170"/>
      <c r="B168" s="1876"/>
      <c r="C168" s="1876"/>
      <c r="D168" s="499"/>
      <c r="K168" s="1348"/>
      <c r="L168" s="1876"/>
      <c r="M168" s="1876"/>
      <c r="N168" s="1348"/>
      <c r="O168" s="1348"/>
      <c r="P168" s="1348"/>
      <c r="Q168" s="1348"/>
      <c r="R168" s="1876"/>
      <c r="S168" s="1348"/>
      <c r="T168" s="1348"/>
      <c r="U168" s="708"/>
      <c r="V168" s="1348"/>
      <c r="W168" s="1348"/>
      <c r="X168" s="1348"/>
      <c r="Y168" s="1348"/>
      <c r="Z168" s="1348"/>
      <c r="AA168" s="1872"/>
      <c r="AB168" s="730"/>
      <c r="AC168" s="730"/>
      <c r="AD168" s="730"/>
      <c r="AE168" s="730"/>
    </row>
    <row s="7114" customFormat="1" customHeight="1" ht="11.25">
      <c r="A169" s="1170"/>
      <c r="B169" s="1876"/>
      <c r="C169" s="1876"/>
      <c r="D169" s="499"/>
      <c r="K169" s="1348"/>
      <c r="L169" s="1876"/>
      <c r="M169" s="1876"/>
      <c r="N169" s="1348"/>
      <c r="O169" s="1348"/>
      <c r="P169" s="1348"/>
      <c r="Q169" s="1348"/>
      <c r="R169" s="1876"/>
      <c r="S169" s="1348"/>
      <c r="T169" s="1348"/>
      <c r="U169" s="708"/>
      <c r="V169" s="1348"/>
      <c r="W169" s="1348"/>
      <c r="X169" s="1348"/>
      <c r="Y169" s="1348"/>
      <c r="Z169" s="1348"/>
      <c r="AA169" s="1872"/>
      <c r="AB169" s="730"/>
      <c r="AC169" s="730"/>
      <c r="AD169" s="730"/>
      <c r="AE169" s="730"/>
    </row>
    <row s="7114" customFormat="1" customHeight="1" ht="11.25">
      <c r="A170" s="1170"/>
      <c r="B170" s="1876"/>
      <c r="C170" s="1876"/>
      <c r="D170" s="499"/>
      <c r="K170" s="1348"/>
      <c r="L170" s="1876"/>
      <c r="M170" s="1876"/>
      <c r="N170" s="1348"/>
      <c r="O170" s="1348"/>
      <c r="P170" s="1348"/>
      <c r="Q170" s="1348"/>
      <c r="R170" s="1876"/>
      <c r="S170" s="1348"/>
      <c r="T170" s="1348"/>
      <c r="U170" s="708"/>
      <c r="V170" s="1348"/>
      <c r="W170" s="1348"/>
      <c r="X170" s="1348"/>
      <c r="Y170" s="1348"/>
      <c r="Z170" s="1348"/>
      <c r="AA170" s="1872"/>
      <c r="AB170" s="730"/>
      <c r="AC170" s="730"/>
      <c r="AD170" s="730"/>
      <c r="AE170" s="730"/>
    </row>
    <row s="7114" customFormat="1" customHeight="1" ht="11.25">
      <c r="A171" s="1170"/>
      <c r="B171" s="1876"/>
      <c r="C171" s="1876"/>
      <c r="D171" s="499"/>
      <c r="K171" s="1348"/>
      <c r="L171" s="1876"/>
      <c r="M171" s="1876"/>
      <c r="N171" s="1348"/>
      <c r="O171" s="1348"/>
      <c r="P171" s="1348"/>
      <c r="Q171" s="1348"/>
      <c r="R171" s="1876"/>
      <c r="S171" s="1348"/>
      <c r="T171" s="1348"/>
      <c r="U171" s="708"/>
      <c r="V171" s="1348"/>
      <c r="W171" s="1348"/>
      <c r="X171" s="1348"/>
      <c r="Y171" s="1348"/>
      <c r="Z171" s="1348"/>
      <c r="AA171" s="1872"/>
      <c r="AB171" s="730"/>
      <c r="AC171" s="730"/>
      <c r="AD171" s="730"/>
      <c r="AE171" s="730"/>
    </row>
    <row s="7114" customFormat="1" customHeight="1" ht="11.25">
      <c r="A172" s="1170"/>
      <c r="B172" s="1876"/>
      <c r="C172" s="1876"/>
      <c r="D172" s="499"/>
      <c r="K172" s="1348"/>
      <c r="L172" s="1876"/>
      <c r="M172" s="1876"/>
      <c r="N172" s="1348"/>
      <c r="O172" s="1348"/>
      <c r="P172" s="1348"/>
      <c r="Q172" s="1348"/>
      <c r="R172" s="1876"/>
      <c r="S172" s="1348"/>
      <c r="T172" s="1348"/>
      <c r="U172" s="708"/>
      <c r="V172" s="1348"/>
      <c r="W172" s="1348"/>
      <c r="X172" s="1348"/>
      <c r="Y172" s="1348"/>
      <c r="Z172" s="1348"/>
      <c r="AA172" s="1872"/>
      <c r="AB172" s="730"/>
      <c r="AC172" s="730"/>
      <c r="AD172" s="730"/>
      <c r="AE172" s="730"/>
    </row>
    <row s="7114" customFormat="1" customHeight="1" ht="11.25">
      <c r="A173" s="1170"/>
      <c r="B173" s="1876"/>
      <c r="C173" s="1876"/>
      <c r="D173" s="499"/>
      <c r="K173" s="1348"/>
      <c r="L173" s="1876"/>
      <c r="M173" s="1876"/>
      <c r="N173" s="1348"/>
      <c r="O173" s="1348"/>
      <c r="P173" s="1348"/>
      <c r="Q173" s="1348"/>
      <c r="R173" s="1876"/>
      <c r="S173" s="1348"/>
      <c r="T173" s="1348"/>
      <c r="U173" s="708"/>
      <c r="V173" s="1348"/>
      <c r="W173" s="1348"/>
      <c r="X173" s="1348"/>
      <c r="Y173" s="1348"/>
      <c r="Z173" s="1348"/>
      <c r="AA173" s="1872"/>
      <c r="AB173" s="730"/>
      <c r="AC173" s="730"/>
      <c r="AD173" s="730"/>
      <c r="AE173" s="730"/>
    </row>
    <row s="7114" customFormat="1" customHeight="1" ht="11.25">
      <c r="A174" s="1170"/>
      <c r="B174" s="1876"/>
      <c r="C174" s="1876"/>
      <c r="D174" s="499"/>
      <c r="K174" s="1348"/>
      <c r="L174" s="1876"/>
      <c r="M174" s="1876"/>
      <c r="N174" s="1348"/>
      <c r="O174" s="1348"/>
      <c r="P174" s="1348"/>
      <c r="Q174" s="1348"/>
      <c r="R174" s="1876"/>
      <c r="S174" s="1348"/>
      <c r="T174" s="1348"/>
      <c r="U174" s="708"/>
      <c r="V174" s="1348"/>
      <c r="W174" s="1348"/>
      <c r="X174" s="1348"/>
      <c r="Y174" s="1348"/>
      <c r="Z174" s="1348"/>
      <c r="AA174" s="1872"/>
      <c r="AB174" s="730"/>
      <c r="AC174" s="730"/>
      <c r="AD174" s="730"/>
      <c r="AE174" s="730"/>
    </row>
    <row s="7114" customFormat="1" customHeight="1" ht="11.25">
      <c r="A175" s="1170"/>
      <c r="B175" s="1876"/>
      <c r="C175" s="1876"/>
      <c r="D175" s="499"/>
      <c r="K175" s="1348"/>
      <c r="L175" s="1876"/>
      <c r="M175" s="1876"/>
      <c r="N175" s="1348"/>
      <c r="O175" s="1348"/>
      <c r="P175" s="1348"/>
      <c r="Q175" s="1348"/>
      <c r="R175" s="1876"/>
      <c r="S175" s="1348"/>
      <c r="T175" s="1348"/>
      <c r="U175" s="708"/>
      <c r="V175" s="1348"/>
      <c r="W175" s="1348"/>
      <c r="X175" s="1348"/>
      <c r="Y175" s="1348"/>
      <c r="Z175" s="1348"/>
      <c r="AA175" s="1872"/>
      <c r="AB175" s="730"/>
      <c r="AC175" s="730"/>
      <c r="AD175" s="730"/>
      <c r="AE175" s="730"/>
    </row>
    <row s="7114" customFormat="1" customHeight="1" ht="11.25">
      <c r="A176" s="1170"/>
      <c r="B176" s="1876"/>
      <c r="C176" s="1876"/>
      <c r="D176" s="499"/>
      <c r="K176" s="1348"/>
      <c r="L176" s="1876"/>
      <c r="M176" s="1876"/>
      <c r="N176" s="1348"/>
      <c r="O176" s="1348"/>
      <c r="P176" s="1348"/>
      <c r="Q176" s="1348"/>
      <c r="R176" s="1876"/>
      <c r="S176" s="1348"/>
      <c r="T176" s="1348"/>
      <c r="U176" s="708"/>
      <c r="V176" s="1348"/>
      <c r="W176" s="1348"/>
      <c r="X176" s="1348"/>
      <c r="Y176" s="1348"/>
      <c r="Z176" s="1348"/>
      <c r="AA176" s="1872"/>
      <c r="AB176" s="730"/>
      <c r="AC176" s="730"/>
      <c r="AD176" s="730"/>
      <c r="AE176" s="730"/>
    </row>
    <row s="7114" customFormat="1" customHeight="1" ht="11.25">
      <c r="A177" s="1170"/>
      <c r="B177" s="1876"/>
      <c r="C177" s="1876"/>
      <c r="D177" s="499"/>
      <c r="K177" s="1348"/>
      <c r="L177" s="1876"/>
      <c r="M177" s="1876"/>
      <c r="N177" s="1348"/>
      <c r="O177" s="1348"/>
      <c r="P177" s="1348"/>
      <c r="Q177" s="1348"/>
      <c r="R177" s="1876"/>
      <c r="S177" s="1348"/>
      <c r="T177" s="1348"/>
      <c r="U177" s="708"/>
      <c r="V177" s="1348"/>
      <c r="W177" s="1348"/>
      <c r="X177" s="1348"/>
      <c r="Y177" s="1348"/>
      <c r="Z177" s="1348"/>
      <c r="AA177" s="1872"/>
      <c r="AB177" s="730"/>
      <c r="AC177" s="730"/>
      <c r="AD177" s="730"/>
      <c r="AE177" s="730"/>
    </row>
    <row s="7114" customFormat="1" customHeight="1" ht="11.25">
      <c r="A178" s="1170"/>
      <c r="B178" s="1876"/>
      <c r="C178" s="1876"/>
      <c r="D178" s="499"/>
      <c r="K178" s="1348"/>
      <c r="L178" s="1876"/>
      <c r="M178" s="1876"/>
      <c r="N178" s="1348"/>
      <c r="O178" s="1348"/>
      <c r="P178" s="1348"/>
      <c r="Q178" s="1348"/>
      <c r="R178" s="1876"/>
      <c r="S178" s="1348"/>
      <c r="T178" s="1348"/>
      <c r="U178" s="708"/>
      <c r="V178" s="1348"/>
      <c r="W178" s="1348"/>
      <c r="X178" s="1348"/>
      <c r="Y178" s="1348"/>
      <c r="Z178" s="1348"/>
      <c r="AA178" s="1872"/>
      <c r="AB178" s="730"/>
      <c r="AC178" s="730"/>
      <c r="AD178" s="730"/>
      <c r="AE178" s="730"/>
    </row>
    <row s="7114" customFormat="1" customHeight="1" ht="11.25">
      <c r="A179" s="1170"/>
      <c r="B179" s="1876"/>
      <c r="C179" s="1876"/>
      <c r="D179" s="499"/>
      <c r="K179" s="1348"/>
      <c r="L179" s="1876"/>
      <c r="M179" s="1876"/>
      <c r="N179" s="1348"/>
      <c r="O179" s="1348"/>
      <c r="P179" s="1348"/>
      <c r="Q179" s="1348"/>
      <c r="R179" s="1876"/>
      <c r="S179" s="1348"/>
      <c r="T179" s="1348"/>
      <c r="U179" s="708"/>
      <c r="V179" s="1348"/>
      <c r="W179" s="1348"/>
      <c r="X179" s="1348"/>
      <c r="Y179" s="1348"/>
      <c r="Z179" s="1348"/>
      <c r="AA179" s="1872"/>
      <c r="AB179" s="730"/>
      <c r="AC179" s="730"/>
      <c r="AD179" s="730"/>
      <c r="AE179" s="730"/>
    </row>
    <row s="7114" customFormat="1" customHeight="1" ht="11.25">
      <c r="A180" s="1170"/>
      <c r="B180" s="1876"/>
      <c r="C180" s="1876"/>
      <c r="D180" s="499"/>
      <c r="K180" s="1348"/>
      <c r="L180" s="1876"/>
      <c r="M180" s="1876"/>
      <c r="N180" s="1348"/>
      <c r="O180" s="1348"/>
      <c r="P180" s="1348"/>
      <c r="Q180" s="1348"/>
      <c r="R180" s="1876"/>
      <c r="S180" s="1348"/>
      <c r="T180" s="1348"/>
      <c r="U180" s="708"/>
      <c r="V180" s="1348"/>
      <c r="W180" s="1348"/>
      <c r="X180" s="1348"/>
      <c r="Y180" s="1348"/>
      <c r="Z180" s="1348"/>
      <c r="AA180" s="1872"/>
      <c r="AB180" s="730"/>
      <c r="AC180" s="730"/>
      <c r="AD180" s="730"/>
      <c r="AE180" s="730"/>
    </row>
    <row s="7114" customFormat="1" customHeight="1" ht="11.25">
      <c r="A181" s="1170"/>
      <c r="B181" s="1876"/>
      <c r="C181" s="1876"/>
      <c r="D181" s="499"/>
      <c r="K181" s="1348"/>
      <c r="L181" s="1876"/>
      <c r="M181" s="1876"/>
      <c r="N181" s="1348"/>
      <c r="O181" s="1348"/>
      <c r="P181" s="1348"/>
      <c r="Q181" s="1348"/>
      <c r="R181" s="1876"/>
      <c r="S181" s="1348"/>
      <c r="T181" s="1348"/>
      <c r="U181" s="708"/>
      <c r="V181" s="1348"/>
      <c r="W181" s="1348"/>
      <c r="X181" s="1348"/>
      <c r="Y181" s="1348"/>
      <c r="Z181" s="1348"/>
      <c r="AA181" s="1872"/>
      <c r="AB181" s="730"/>
      <c r="AC181" s="730"/>
      <c r="AD181" s="730"/>
      <c r="AE181" s="730"/>
    </row>
    <row s="7114" customFormat="1" customHeight="1" ht="11.25">
      <c r="A182" s="1170"/>
      <c r="B182" s="1876"/>
      <c r="C182" s="1876"/>
      <c r="D182" s="499"/>
      <c r="K182" s="1348"/>
      <c r="L182" s="1876"/>
      <c r="M182" s="1876"/>
      <c r="N182" s="1348"/>
      <c r="O182" s="1348"/>
      <c r="P182" s="1348"/>
      <c r="Q182" s="1348"/>
      <c r="R182" s="1876"/>
      <c r="S182" s="1348"/>
      <c r="T182" s="1348"/>
      <c r="U182" s="708"/>
      <c r="V182" s="1348"/>
      <c r="W182" s="1348"/>
      <c r="X182" s="1348"/>
      <c r="Y182" s="1348"/>
      <c r="Z182" s="1348"/>
      <c r="AA182" s="1872"/>
      <c r="AB182" s="730"/>
      <c r="AC182" s="730"/>
      <c r="AD182" s="730"/>
      <c r="AE182" s="730"/>
    </row>
    <row s="7114" customFormat="1" customHeight="1" ht="11.25">
      <c r="A183" s="1170"/>
      <c r="B183" s="1876"/>
      <c r="C183" s="1876"/>
      <c r="D183" s="499"/>
      <c r="K183" s="1348"/>
      <c r="L183" s="1876"/>
      <c r="M183" s="1876"/>
      <c r="N183" s="1348"/>
      <c r="O183" s="1348"/>
      <c r="P183" s="1348"/>
      <c r="Q183" s="1348"/>
      <c r="R183" s="1876"/>
      <c r="S183" s="1348"/>
      <c r="T183" s="1348"/>
      <c r="U183" s="708"/>
      <c r="V183" s="1348"/>
      <c r="W183" s="1348"/>
      <c r="X183" s="1348"/>
      <c r="Y183" s="1348"/>
      <c r="Z183" s="1348"/>
      <c r="AA183" s="1872"/>
      <c r="AB183" s="730"/>
      <c r="AC183" s="730"/>
      <c r="AD183" s="730"/>
      <c r="AE183" s="730"/>
    </row>
    <row s="7114" customFormat="1" customHeight="1" ht="11.25">
      <c r="A184" s="1170"/>
      <c r="B184" s="1876"/>
      <c r="C184" s="1876"/>
      <c r="D184" s="499"/>
      <c r="K184" s="1348"/>
      <c r="L184" s="1876"/>
      <c r="M184" s="1876"/>
      <c r="N184" s="1348"/>
      <c r="O184" s="1348"/>
      <c r="P184" s="1348"/>
      <c r="Q184" s="1348"/>
      <c r="R184" s="1876"/>
      <c r="S184" s="1348"/>
      <c r="T184" s="1348"/>
      <c r="U184" s="708"/>
      <c r="V184" s="1348"/>
      <c r="W184" s="1348"/>
      <c r="X184" s="1348"/>
      <c r="Y184" s="1348"/>
      <c r="Z184" s="1348"/>
      <c r="AA184" s="1872"/>
      <c r="AB184" s="730"/>
      <c r="AC184" s="730"/>
      <c r="AD184" s="730"/>
      <c r="AE184" s="730"/>
    </row>
    <row s="7114" customFormat="1" customHeight="1" ht="11.25">
      <c r="A185" s="1170"/>
      <c r="B185" s="1876"/>
      <c r="C185" s="1876"/>
      <c r="D185" s="499"/>
      <c r="K185" s="1348"/>
      <c r="L185" s="1876"/>
      <c r="M185" s="1876"/>
      <c r="N185" s="1348"/>
      <c r="O185" s="1348"/>
      <c r="P185" s="1348"/>
      <c r="Q185" s="1348"/>
      <c r="R185" s="1876"/>
      <c r="S185" s="1348"/>
      <c r="T185" s="1348"/>
      <c r="U185" s="708"/>
      <c r="V185" s="1348"/>
      <c r="W185" s="1348"/>
      <c r="X185" s="1348"/>
      <c r="Y185" s="1348"/>
      <c r="Z185" s="1348"/>
      <c r="AA185" s="1872"/>
      <c r="AB185" s="730"/>
      <c r="AC185" s="730"/>
      <c r="AD185" s="730"/>
      <c r="AE185" s="730"/>
    </row>
    <row s="7114" customFormat="1" customHeight="1" ht="11.25">
      <c r="A186" s="1170"/>
      <c r="B186" s="1876"/>
      <c r="C186" s="1876"/>
      <c r="D186" s="499"/>
      <c r="K186" s="1348"/>
      <c r="L186" s="1876"/>
      <c r="M186" s="1876"/>
      <c r="N186" s="1348"/>
      <c r="O186" s="1348"/>
      <c r="P186" s="1348"/>
      <c r="Q186" s="1348"/>
      <c r="R186" s="1876"/>
      <c r="S186" s="1348"/>
      <c r="T186" s="1348"/>
      <c r="U186" s="708"/>
      <c r="V186" s="1348"/>
      <c r="W186" s="1348"/>
      <c r="X186" s="1348"/>
      <c r="Y186" s="1348"/>
      <c r="Z186" s="1348"/>
      <c r="AA186" s="1872"/>
      <c r="AB186" s="730"/>
      <c r="AC186" s="730"/>
      <c r="AD186" s="730"/>
      <c r="AE186" s="730"/>
    </row>
    <row s="7114" customFormat="1" customHeight="1" ht="11.25">
      <c r="A187" s="1170"/>
      <c r="B187" s="1876"/>
      <c r="C187" s="1876"/>
      <c r="D187" s="499"/>
      <c r="K187" s="1348"/>
      <c r="L187" s="1876"/>
      <c r="M187" s="1876"/>
      <c r="N187" s="1348"/>
      <c r="O187" s="1348"/>
      <c r="P187" s="1348"/>
      <c r="Q187" s="1348"/>
      <c r="R187" s="1876"/>
      <c r="S187" s="1348"/>
      <c r="T187" s="1348"/>
      <c r="U187" s="708"/>
      <c r="V187" s="1348"/>
      <c r="W187" s="1348"/>
      <c r="X187" s="1348"/>
      <c r="Y187" s="1348"/>
      <c r="Z187" s="1348"/>
      <c r="AA187" s="1872"/>
      <c r="AB187" s="730"/>
      <c r="AC187" s="730"/>
      <c r="AD187" s="730"/>
      <c r="AE187" s="730"/>
    </row>
    <row s="7114" customFormat="1" customHeight="1" ht="11.25">
      <c r="A188" s="1170"/>
      <c r="B188" s="1876"/>
      <c r="C188" s="1876"/>
      <c r="D188" s="499"/>
      <c r="K188" s="1348"/>
      <c r="L188" s="1876"/>
      <c r="M188" s="1876"/>
      <c r="N188" s="1348"/>
      <c r="O188" s="1348"/>
      <c r="P188" s="1348"/>
      <c r="Q188" s="1348"/>
      <c r="R188" s="1876"/>
      <c r="S188" s="1348"/>
      <c r="T188" s="1348"/>
      <c r="U188" s="708"/>
      <c r="V188" s="1348"/>
      <c r="W188" s="1348"/>
      <c r="X188" s="1348"/>
      <c r="Y188" s="1348"/>
      <c r="Z188" s="1348"/>
      <c r="AA188" s="1872"/>
      <c r="AB188" s="730"/>
      <c r="AC188" s="730"/>
      <c r="AD188" s="730"/>
      <c r="AE188" s="730"/>
    </row>
    <row s="7114" customFormat="1" customHeight="1" ht="11.25">
      <c r="A189" s="1170"/>
      <c r="B189" s="1876"/>
      <c r="C189" s="1876"/>
      <c r="D189" s="499"/>
      <c r="K189" s="1348"/>
      <c r="L189" s="1876"/>
      <c r="M189" s="1876"/>
      <c r="N189" s="1348"/>
      <c r="O189" s="1348"/>
      <c r="P189" s="1348"/>
      <c r="Q189" s="1348"/>
      <c r="R189" s="1876"/>
      <c r="S189" s="1348"/>
      <c r="T189" s="1348"/>
      <c r="U189" s="708"/>
      <c r="V189" s="1348"/>
      <c r="W189" s="1348"/>
      <c r="X189" s="1348"/>
      <c r="Y189" s="1348"/>
      <c r="Z189" s="1348"/>
      <c r="AA189" s="1872"/>
      <c r="AB189" s="730"/>
      <c r="AC189" s="730"/>
      <c r="AD189" s="730"/>
      <c r="AE189" s="730"/>
    </row>
    <row s="7114" customFormat="1" customHeight="1" ht="11.25">
      <c r="A190" s="1170"/>
      <c r="B190" s="1876"/>
      <c r="C190" s="1876"/>
      <c r="D190" s="499"/>
      <c r="K190" s="1348"/>
      <c r="L190" s="1876"/>
      <c r="M190" s="1876"/>
      <c r="N190" s="1348"/>
      <c r="O190" s="1348"/>
      <c r="P190" s="1348"/>
      <c r="Q190" s="1348"/>
      <c r="R190" s="1876"/>
      <c r="S190" s="1348"/>
      <c r="T190" s="1348"/>
      <c r="U190" s="708"/>
      <c r="V190" s="1348"/>
      <c r="W190" s="1348"/>
      <c r="X190" s="1348"/>
      <c r="Y190" s="1348"/>
      <c r="Z190" s="1348"/>
      <c r="AA190" s="1872"/>
      <c r="AB190" s="730"/>
      <c r="AC190" s="730"/>
      <c r="AD190" s="730"/>
      <c r="AE190" s="730"/>
    </row>
    <row s="7114" customFormat="1" customHeight="1" ht="11.25">
      <c r="A191" s="1170"/>
      <c r="B191" s="1876"/>
      <c r="C191" s="1876"/>
      <c r="D191" s="499"/>
      <c r="K191" s="1348"/>
      <c r="L191" s="1876"/>
      <c r="M191" s="1876"/>
      <c r="N191" s="1348"/>
      <c r="O191" s="1348"/>
      <c r="P191" s="1348"/>
      <c r="Q191" s="1348"/>
      <c r="R191" s="1876"/>
      <c r="S191" s="1348"/>
      <c r="T191" s="1348"/>
      <c r="U191" s="708"/>
      <c r="V191" s="1348"/>
      <c r="W191" s="1348"/>
      <c r="X191" s="1348"/>
      <c r="Y191" s="1348"/>
      <c r="Z191" s="1348"/>
      <c r="AA191" s="1872"/>
      <c r="AB191" s="730"/>
      <c r="AC191" s="730"/>
      <c r="AD191" s="730"/>
      <c r="AE191" s="730"/>
    </row>
    <row s="7114" customFormat="1" customHeight="1" ht="11.25">
      <c r="A192" s="1170"/>
      <c r="B192" s="1876"/>
      <c r="C192" s="1876"/>
      <c r="D192" s="499"/>
      <c r="K192" s="1348"/>
      <c r="L192" s="1876"/>
      <c r="M192" s="1876"/>
      <c r="N192" s="1348"/>
      <c r="O192" s="1348"/>
      <c r="P192" s="1348"/>
      <c r="Q192" s="1348"/>
      <c r="R192" s="1876"/>
      <c r="S192" s="1348"/>
      <c r="T192" s="1348"/>
      <c r="U192" s="708"/>
      <c r="V192" s="1348"/>
      <c r="W192" s="1348"/>
      <c r="X192" s="1348"/>
      <c r="Y192" s="1348"/>
      <c r="Z192" s="1348"/>
      <c r="AA192" s="1872"/>
      <c r="AB192" s="730"/>
      <c r="AC192" s="730"/>
      <c r="AD192" s="730"/>
      <c r="AE192" s="730"/>
    </row>
    <row s="7114" customFormat="1" customHeight="1" ht="11.25">
      <c r="A193" s="1170"/>
      <c r="B193" s="1876"/>
      <c r="C193" s="1876"/>
      <c r="D193" s="499"/>
      <c r="K193" s="1348"/>
      <c r="L193" s="1876"/>
      <c r="M193" s="1876"/>
      <c r="N193" s="1348"/>
      <c r="O193" s="1348"/>
      <c r="P193" s="1348"/>
      <c r="Q193" s="1348"/>
      <c r="R193" s="1876"/>
      <c r="S193" s="1348"/>
      <c r="T193" s="1348"/>
      <c r="U193" s="708"/>
      <c r="V193" s="1348"/>
      <c r="W193" s="1348"/>
      <c r="X193" s="1348"/>
      <c r="Y193" s="1348"/>
      <c r="Z193" s="1348"/>
      <c r="AA193" s="1872"/>
      <c r="AB193" s="730"/>
      <c r="AC193" s="730"/>
      <c r="AD193" s="730"/>
      <c r="AE193" s="730"/>
    </row>
    <row s="7114" customFormat="1" customHeight="1" ht="11.25">
      <c r="A194" s="1170"/>
      <c r="B194" s="1876"/>
      <c r="C194" s="1876"/>
      <c r="D194" s="499"/>
      <c r="K194" s="1348"/>
      <c r="L194" s="1876"/>
      <c r="M194" s="1876"/>
      <c r="N194" s="1348"/>
      <c r="O194" s="1348"/>
      <c r="P194" s="1348"/>
      <c r="Q194" s="1348"/>
      <c r="R194" s="1876"/>
      <c r="S194" s="1348"/>
      <c r="T194" s="1348"/>
      <c r="U194" s="708"/>
      <c r="V194" s="1348"/>
      <c r="W194" s="1348"/>
      <c r="X194" s="1348"/>
      <c r="Y194" s="1348"/>
      <c r="Z194" s="1348"/>
      <c r="AA194" s="1872"/>
      <c r="AB194" s="730"/>
      <c r="AC194" s="730"/>
      <c r="AD194" s="730"/>
      <c r="AE194" s="730"/>
    </row>
    <row s="7114" customFormat="1" customHeight="1" ht="11.25">
      <c r="A195" s="1170"/>
      <c r="B195" s="1876"/>
      <c r="C195" s="1876"/>
      <c r="D195" s="499"/>
      <c r="K195" s="1348"/>
      <c r="L195" s="1876"/>
      <c r="M195" s="1876"/>
      <c r="N195" s="1348"/>
      <c r="O195" s="1348"/>
      <c r="P195" s="1348"/>
      <c r="Q195" s="1348"/>
      <c r="R195" s="1876"/>
      <c r="S195" s="1348"/>
      <c r="T195" s="1348"/>
      <c r="U195" s="708"/>
      <c r="V195" s="1348"/>
      <c r="W195" s="1348"/>
      <c r="X195" s="1348"/>
      <c r="Y195" s="1348"/>
      <c r="Z195" s="1348"/>
      <c r="AA195" s="1872"/>
      <c r="AB195" s="730"/>
      <c r="AC195" s="730"/>
      <c r="AD195" s="730"/>
      <c r="AE195" s="730"/>
    </row>
    <row r="199" customHeight="1" ht="11.25">
      <c r="A199" s="1173"/>
      <c r="B199" s="1871"/>
      <c r="D199" s="1871"/>
      <c r="K199" s="1871"/>
      <c r="N199" s="1871"/>
      <c r="O199" s="1871"/>
      <c r="P199" s="1871"/>
      <c r="Q199" s="1871"/>
      <c r="S199" s="1871"/>
      <c r="T199" s="1871"/>
      <c r="U199" s="1871"/>
      <c r="V199" s="1871"/>
      <c r="W199" s="1871"/>
      <c r="X199" s="1871"/>
      <c r="Y199" s="1871"/>
      <c r="Z199" s="1871"/>
      <c r="AA199" s="1871"/>
      <c r="AB199" s="1871"/>
      <c r="AC199" s="1871"/>
      <c r="AD199" s="1871"/>
      <c r="AE199" s="1871"/>
    </row>
    <row customHeight="1" ht="11.25">
      <c r="A200" s="1173"/>
      <c r="B200" s="1871"/>
      <c r="D200" s="1871"/>
      <c r="K200" s="1871"/>
      <c r="N200" s="1871"/>
      <c r="O200" s="1871"/>
      <c r="P200" s="1871"/>
      <c r="Q200" s="1871"/>
      <c r="S200" s="1871"/>
      <c r="T200" s="1871"/>
      <c r="U200" s="1871"/>
      <c r="V200" s="1871"/>
      <c r="W200" s="1871"/>
      <c r="X200" s="1871"/>
      <c r="Y200" s="1871"/>
      <c r="Z200" s="1871"/>
      <c r="AA200" s="1871"/>
      <c r="AB200" s="1871"/>
      <c r="AC200" s="1871"/>
      <c r="AD200" s="1871"/>
      <c r="AE200" s="1871"/>
    </row>
    <row customHeight="1" ht="11.25">
      <c r="A201" s="1173"/>
      <c r="B201" s="1871"/>
      <c r="D201" s="1871"/>
      <c r="K201" s="1871"/>
      <c r="N201" s="1871"/>
      <c r="O201" s="1871"/>
      <c r="P201" s="1871"/>
      <c r="Q201" s="1871"/>
      <c r="S201" s="1871"/>
      <c r="T201" s="1871"/>
      <c r="U201" s="1871"/>
      <c r="V201" s="1871"/>
      <c r="W201" s="1871"/>
      <c r="X201" s="1871"/>
      <c r="Y201" s="1871"/>
      <c r="Z201" s="1871"/>
      <c r="AA201" s="1871"/>
      <c r="AB201" s="1871"/>
      <c r="AC201" s="1871"/>
      <c r="AD201" s="1871"/>
      <c r="AE201" s="1871"/>
    </row>
    <row customHeight="1" ht="11.25">
      <c r="A202" s="1173"/>
      <c r="B202" s="1871"/>
      <c r="D202" s="1871"/>
      <c r="K202" s="1871"/>
      <c r="N202" s="1871"/>
      <c r="O202" s="1871"/>
      <c r="P202" s="1871"/>
      <c r="Q202" s="1871"/>
      <c r="S202" s="1871"/>
      <c r="T202" s="1871"/>
      <c r="U202" s="1871"/>
      <c r="V202" s="1871"/>
      <c r="W202" s="1871"/>
      <c r="X202" s="1871"/>
      <c r="Y202" s="1871"/>
      <c r="Z202" s="1871"/>
      <c r="AA202" s="1871"/>
      <c r="AB202" s="1871"/>
      <c r="AC202" s="1871"/>
      <c r="AD202" s="1871"/>
      <c r="AE202" s="1871"/>
    </row>
    <row customHeight="1" ht="11.25">
      <c r="A203" s="1173"/>
      <c r="B203" s="1871"/>
      <c r="D203" s="1871"/>
      <c r="K203" s="1871"/>
      <c r="N203" s="1871"/>
      <c r="O203" s="1871"/>
      <c r="P203" s="1871"/>
      <c r="Q203" s="1871"/>
      <c r="S203" s="1871"/>
      <c r="T203" s="1871"/>
      <c r="U203" s="1871"/>
      <c r="V203" s="1871"/>
      <c r="W203" s="1871"/>
      <c r="X203" s="1871"/>
      <c r="Y203" s="1871"/>
      <c r="Z203" s="1871"/>
      <c r="AA203" s="1871"/>
      <c r="AB203" s="1871"/>
      <c r="AC203" s="1871"/>
      <c r="AD203" s="1871"/>
      <c r="AE203" s="1871"/>
    </row>
    <row customHeight="1" ht="11.25">
      <c r="A204" s="1173"/>
      <c r="B204" s="1871"/>
      <c r="D204" s="1871"/>
      <c r="K204" s="1871"/>
      <c r="N204" s="1871"/>
      <c r="O204" s="1871"/>
      <c r="P204" s="1871"/>
      <c r="Q204" s="1871"/>
      <c r="S204" s="1871"/>
      <c r="T204" s="1871"/>
      <c r="U204" s="1871"/>
      <c r="V204" s="1871"/>
      <c r="W204" s="1871"/>
      <c r="X204" s="1871"/>
      <c r="Y204" s="1871"/>
      <c r="Z204" s="1871"/>
      <c r="AA204" s="1871"/>
      <c r="AB204" s="1871"/>
      <c r="AC204" s="1871"/>
      <c r="AD204" s="1871"/>
      <c r="AE204" s="1871"/>
    </row>
    <row customHeight="1" ht="11.25">
      <c r="A205" s="1173"/>
      <c r="B205" s="1871"/>
      <c r="D205" s="1871"/>
      <c r="K205" s="1871"/>
      <c r="N205" s="1871"/>
      <c r="O205" s="1871"/>
      <c r="P205" s="1871"/>
      <c r="Q205" s="1871"/>
      <c r="S205" s="1871"/>
      <c r="T205" s="1871"/>
      <c r="U205" s="1871"/>
      <c r="V205" s="1871"/>
      <c r="W205" s="1871"/>
      <c r="X205" s="1871"/>
      <c r="Y205" s="1871"/>
      <c r="Z205" s="1871"/>
      <c r="AA205" s="1871"/>
      <c r="AB205" s="1871"/>
      <c r="AC205" s="1871"/>
      <c r="AD205" s="1871"/>
      <c r="AE205" s="1871"/>
    </row>
    <row customHeight="1" ht="11.25">
      <c r="A206" s="1173"/>
      <c r="B206" s="1871"/>
      <c r="D206" s="1871"/>
      <c r="K206" s="1871"/>
      <c r="N206" s="1871"/>
      <c r="O206" s="1871"/>
      <c r="P206" s="1871"/>
      <c r="Q206" s="1871"/>
      <c r="S206" s="1871"/>
      <c r="T206" s="1871"/>
      <c r="U206" s="1871"/>
      <c r="V206" s="1871"/>
      <c r="W206" s="1871"/>
      <c r="X206" s="1871"/>
      <c r="Y206" s="1871"/>
      <c r="Z206" s="1871"/>
      <c r="AA206" s="1871"/>
      <c r="AB206" s="1871"/>
      <c r="AC206" s="1871"/>
      <c r="AD206" s="1871"/>
      <c r="AE206" s="1871"/>
    </row>
    <row customHeight="1" ht="11.25">
      <c r="A207" s="1173"/>
      <c r="B207" s="1871"/>
      <c r="D207" s="1871"/>
      <c r="K207" s="1871"/>
      <c r="N207" s="1871"/>
      <c r="O207" s="1871"/>
      <c r="P207" s="1871"/>
      <c r="Q207" s="1871"/>
      <c r="S207" s="1871"/>
      <c r="T207" s="1871"/>
      <c r="U207" s="1871"/>
      <c r="V207" s="1871"/>
      <c r="W207" s="1871"/>
      <c r="X207" s="1871"/>
      <c r="Y207" s="1871"/>
      <c r="Z207" s="1871"/>
      <c r="AA207" s="1871"/>
      <c r="AB207" s="1871"/>
      <c r="AC207" s="1871"/>
      <c r="AD207" s="1871"/>
      <c r="AE207" s="1871"/>
    </row>
    <row customHeight="1" ht="11.25">
      <c r="A208" s="1173"/>
      <c r="B208" s="1871"/>
      <c r="D208" s="1871"/>
      <c r="K208" s="1871"/>
      <c r="N208" s="1871"/>
      <c r="O208" s="1871"/>
      <c r="P208" s="1871"/>
      <c r="Q208" s="1871"/>
      <c r="S208" s="1871"/>
      <c r="T208" s="1871"/>
      <c r="U208" s="1871"/>
      <c r="V208" s="1871"/>
      <c r="W208" s="1871"/>
      <c r="X208" s="1871"/>
      <c r="Y208" s="1871"/>
      <c r="Z208" s="1871"/>
      <c r="AA208" s="1871"/>
      <c r="AB208" s="1871"/>
      <c r="AC208" s="1871"/>
      <c r="AD208" s="1871"/>
      <c r="AE208" s="1871"/>
    </row>
    <row customHeight="1" ht="11.25">
      <c r="A209" s="1173"/>
      <c r="B209" s="1871"/>
      <c r="D209" s="1871"/>
      <c r="K209" s="1871"/>
      <c r="N209" s="1871"/>
      <c r="O209" s="1871"/>
      <c r="P209" s="1871"/>
      <c r="Q209" s="1871"/>
      <c r="S209" s="1871"/>
      <c r="T209" s="1871"/>
      <c r="U209" s="1871"/>
      <c r="V209" s="1871"/>
      <c r="W209" s="1871"/>
      <c r="X209" s="1871"/>
      <c r="Y209" s="1871"/>
      <c r="Z209" s="1871"/>
      <c r="AA209" s="1871"/>
      <c r="AB209" s="1871"/>
      <c r="AC209" s="1871"/>
      <c r="AD209" s="1871"/>
      <c r="AE209" s="1871"/>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3A9586-911F-2296-8B2D-B14CC1387D73}"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7317" width="9.140625" hidden="1" customWidth="1"/>
    <col min="2" max="2" style="6608" width="3.57421875" hidden="1" customWidth="1"/>
    <col min="3" max="3" style="5817" width="3.7109375" customWidth="1"/>
    <col min="4" max="4" style="5817" width="7.7109375" customWidth="1"/>
    <col min="5" max="5" style="5817" width="69.8515625" customWidth="1"/>
    <col min="6" max="6" style="5817" width="11.140625" customWidth="1"/>
    <col min="7" max="8" style="5817" width="44.00390625" hidden="1" customWidth="1"/>
    <col min="9" max="10" style="5367" width="44.00390625" customWidth="1"/>
    <col min="11" max="11" style="5817" width="74.00390625" customWidth="1"/>
    <col min="12" max="12" style="5817" width="3.7109375" customWidth="1"/>
    <col min="13" max="23" style="5817" width="10.57421875"/>
  </cols>
  <sheetData>
    <row s="5368" customFormat="1" customHeight="1" ht="11.25" hidden="1">
      <c r="A1" s="700"/>
      <c r="B1" s="675"/>
      <c r="G1" s="580">
        <v>4</v>
      </c>
      <c r="I1" s="580">
        <v>4</v>
      </c>
      <c r="K1" s="580">
        <v>5</v>
      </c>
    </row>
    <row customHeight="1" ht="3"/>
    <row customHeight="1" ht="35.25">
      <c r="D3" s="2531"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2532"/>
      <c r="F3" s="2533"/>
    </row>
    <row s="5367" customFormat="1" customHeight="1" ht="20.25">
      <c r="A4" s="1134"/>
      <c r="B4" s="675"/>
      <c r="D4" s="2539"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E4" s="2540"/>
      <c r="F4" s="2541"/>
    </row>
    <row customHeight="1" ht="11.25">
      <c r="C5" s="673"/>
      <c r="D5" s="752"/>
      <c r="E5" s="752"/>
      <c r="F5" s="752"/>
      <c r="G5" s="752"/>
      <c r="H5" s="918"/>
      <c r="I5" s="752"/>
      <c r="J5" s="918"/>
      <c r="K5" s="752"/>
    </row>
    <row customHeight="1" ht="0.75">
      <c r="C6" s="673"/>
      <c r="D6" s="673"/>
      <c r="E6" s="686"/>
      <c r="F6" s="778"/>
      <c r="G6" s="1207"/>
      <c r="H6" s="1207"/>
      <c r="I6" s="1207" t="s">
        <v>125</v>
      </c>
      <c r="J6" s="1207"/>
    </row>
    <row customHeight="1" ht="11.25">
      <c r="D7" s="875"/>
      <c r="E7" s="2472" t="s">
        <v>114</v>
      </c>
      <c r="F7" s="2473"/>
      <c r="G7" s="2537" t="str">
        <f>IF(G6="","",INDEX(DIFFERENTIATION_UNMERGE_VD,MATCH(G6,DIFFERENTIATION_ID_DIFF,0)))</f>
        <v/>
      </c>
      <c r="H7" s="2538"/>
      <c r="I7" s="2537" t="str">
        <f>IF(I6="","",INDEX(DIFFERENTIATION_UNMERGE_VD,MATCH(I6,DIFFERENTIATION_ID_DIFF,0)))</f>
        <v>Водоотведение</v>
      </c>
      <c r="J7" s="2538"/>
      <c r="K7" s="2534"/>
      <c r="L7" s="673"/>
    </row>
    <row customHeight="1" ht="11.25">
      <c r="A8" s="868"/>
      <c r="D8" s="875"/>
      <c r="E8" s="2472" t="s">
        <v>1428</v>
      </c>
      <c r="F8" s="2473"/>
      <c r="G8" s="2537" t="str">
        <f>IF(G6="","",INDEX(DIFFERENTIATION_UNMERGE_AREA,MATCH(G6,DIFFERENTIATION_ID_DIFF,0)))</f>
        <v/>
      </c>
      <c r="H8" s="2538"/>
      <c r="I8" s="2537" t="str">
        <f>IF(I6="","",INDEX(DIFFERENTIATION_UNMERGE_AREA,MATCH(I6,DIFFERENTIATION_ID_DIFF,0)))</f>
        <v>Краснодарский край (тариф на водоотведение)  </v>
      </c>
      <c r="J8" s="2538"/>
      <c r="K8" s="2535"/>
      <c r="L8" s="673"/>
    </row>
    <row customHeight="1" ht="11.25">
      <c r="A9" s="868"/>
      <c r="D9" s="875"/>
      <c r="E9" s="2472" t="s">
        <v>1429</v>
      </c>
      <c r="F9" s="2473"/>
      <c r="G9" s="2537" t="str">
        <f>IF(G6="","",INDEX(DIFFERENTIATION_UNMERGE_SYSTEM,MATCH(G6,DIFFERENTIATION_ID_DIFF,0)))</f>
        <v/>
      </c>
      <c r="H9" s="2538"/>
      <c r="I9" s="2537" t="str">
        <f>IF(I6="","",INDEX(DIFFERENTIATION_UNMERGE_SYSTEM,MATCH(I6,DIFFERENTIATION_ID_DIFF,0)))</f>
        <v>без дифференциации</v>
      </c>
      <c r="J9" s="2538"/>
      <c r="K9" s="2535"/>
      <c r="L9" s="673"/>
    </row>
    <row s="5367" customFormat="1" customHeight="1" ht="11.25">
      <c r="A10" s="1206"/>
      <c r="B10" s="675"/>
      <c r="D10" s="2063" t="s">
        <v>300</v>
      </c>
      <c r="E10" s="2064"/>
      <c r="F10" s="2064"/>
      <c r="G10" s="2064"/>
      <c r="H10" s="2064"/>
      <c r="I10" s="2064"/>
      <c r="J10" s="2065"/>
      <c r="K10" s="2535"/>
      <c r="L10" s="673"/>
    </row>
    <row s="6905" customFormat="1" customHeight="1" ht="22.5">
      <c r="A11" s="2530"/>
      <c r="B11" s="2530"/>
      <c r="C11" s="821"/>
      <c r="D11" s="867" t="s">
        <v>87</v>
      </c>
      <c r="E11" s="869" t="s">
        <v>1855</v>
      </c>
      <c r="F11" s="869" t="s">
        <v>1607</v>
      </c>
      <c r="G11" s="629" t="s">
        <v>303</v>
      </c>
      <c r="H11" s="629" t="s">
        <v>392</v>
      </c>
      <c r="I11" s="977" t="s">
        <v>303</v>
      </c>
      <c r="J11" s="978" t="s">
        <v>392</v>
      </c>
      <c r="K11" s="2536"/>
      <c r="L11" s="822"/>
    </row>
    <row s="6608" customFormat="1" customHeight="1" ht="10.5">
      <c r="A12" s="1135"/>
      <c r="D12" s="1210" t="s">
        <v>118</v>
      </c>
      <c r="E12" s="1210" t="s">
        <v>102</v>
      </c>
      <c r="F12" s="1210" t="s">
        <v>89</v>
      </c>
      <c r="G12" s="1211" t="str">
        <f>G1&amp;".1"</f>
        <v>4.1</v>
      </c>
      <c r="H12" s="1211" t="str">
        <f>G1&amp;".2"</f>
        <v>4.2</v>
      </c>
      <c r="I12" s="1211" t="str">
        <f>I1&amp;".1"</f>
        <v>4.1</v>
      </c>
      <c r="J12" s="1211" t="str">
        <f>I1&amp;".2"</f>
        <v>4.2</v>
      </c>
      <c r="K12" s="1211"/>
    </row>
    <row customHeight="1" ht="22.5" hidden="1">
      <c r="A13" s="2529" t="s">
        <v>400</v>
      </c>
      <c r="D13" s="1136" t="s">
        <v>118</v>
      </c>
      <c r="E13" s="416" t="s">
        <v>1608</v>
      </c>
      <c r="F13" s="824" t="s">
        <v>1609</v>
      </c>
      <c r="G13" s="721"/>
      <c r="H13" s="825"/>
      <c r="I13" s="721"/>
      <c r="J13" s="825"/>
      <c r="K13" s="426" t="s">
        <v>1610</v>
      </c>
      <c r="L13" s="884"/>
    </row>
    <row customHeight="1" ht="22.5" hidden="1">
      <c r="A14" s="2529"/>
      <c r="D14" s="703" t="s">
        <v>102</v>
      </c>
      <c r="E14" s="416" t="s">
        <v>1611</v>
      </c>
      <c r="F14" s="824" t="s">
        <v>1612</v>
      </c>
      <c r="G14" s="721"/>
      <c r="H14" s="826"/>
      <c r="I14" s="721"/>
      <c r="J14" s="826"/>
      <c r="K14" s="426" t="s">
        <v>1613</v>
      </c>
      <c r="L14" s="884"/>
    </row>
    <row s="5367" customFormat="1" customHeight="1" ht="78.75" hidden="1">
      <c r="A15" s="2529"/>
      <c r="B15" s="675"/>
      <c r="D15" s="1136" t="s">
        <v>89</v>
      </c>
      <c r="E15" s="871" t="s">
        <v>1616</v>
      </c>
      <c r="F15" s="1133" t="s">
        <v>306</v>
      </c>
      <c r="G15" s="1133" t="s">
        <v>306</v>
      </c>
      <c r="H15" s="238"/>
      <c r="I15" s="1133" t="s">
        <v>306</v>
      </c>
      <c r="J15" s="238"/>
      <c r="K15" s="426" t="s">
        <v>1856</v>
      </c>
      <c r="L15" s="884"/>
    </row>
    <row s="5367" customFormat="1" customHeight="1" ht="22.5" hidden="1">
      <c r="A16" s="2529"/>
      <c r="B16" s="675"/>
      <c r="D16" s="1136" t="s">
        <v>326</v>
      </c>
      <c r="E16" s="1137" t="s">
        <v>1618</v>
      </c>
      <c r="F16" s="1133" t="s">
        <v>1619</v>
      </c>
      <c r="G16" s="987"/>
      <c r="H16" s="238"/>
      <c r="I16" s="987"/>
      <c r="J16" s="238"/>
      <c r="K16" s="426"/>
      <c r="L16" s="884"/>
    </row>
    <row s="5367" customFormat="1" customHeight="1" ht="22.5" hidden="1">
      <c r="A17" s="2529"/>
      <c r="B17" s="675"/>
      <c r="D17" s="1136" t="s">
        <v>334</v>
      </c>
      <c r="E17" s="1137" t="s">
        <v>1620</v>
      </c>
      <c r="F17" s="1133" t="s">
        <v>1621</v>
      </c>
      <c r="G17" s="987"/>
      <c r="H17" s="238"/>
      <c r="I17" s="987"/>
      <c r="J17" s="238"/>
      <c r="K17" s="426"/>
      <c r="L17" s="884"/>
    </row>
    <row s="5367" customFormat="1" customHeight="1" ht="33.75" hidden="1">
      <c r="A18" s="2529"/>
      <c r="B18" s="675"/>
      <c r="D18" s="1136" t="s">
        <v>336</v>
      </c>
      <c r="E18" s="1137" t="s">
        <v>1623</v>
      </c>
      <c r="F18" s="1133" t="s">
        <v>1624</v>
      </c>
      <c r="G18" s="844"/>
      <c r="H18" s="238"/>
      <c r="I18" s="844"/>
      <c r="J18" s="238"/>
      <c r="K18" s="426"/>
      <c r="L18" s="884"/>
    </row>
    <row customHeight="1" ht="101.25" hidden="1">
      <c r="A19" s="2529"/>
      <c r="D19" s="1136" t="s">
        <v>90</v>
      </c>
      <c r="E19" s="416" t="s">
        <v>1857</v>
      </c>
      <c r="F19" s="824" t="s">
        <v>1440</v>
      </c>
      <c r="G19" s="827"/>
      <c r="H19" s="826"/>
      <c r="I19" s="1138"/>
      <c r="J19" s="826"/>
      <c r="K19" s="426" t="s">
        <v>1858</v>
      </c>
      <c r="L19" s="884"/>
    </row>
    <row s="5367" customFormat="1" customHeight="1" ht="18.75" hidden="1">
      <c r="A20" s="2529"/>
      <c r="C20" s="1139"/>
      <c r="D20" s="1136" t="s">
        <v>620</v>
      </c>
      <c r="E20" s="1137" t="s">
        <v>1859</v>
      </c>
      <c r="F20" s="1133" t="s">
        <v>306</v>
      </c>
      <c r="G20" s="1133" t="s">
        <v>306</v>
      </c>
      <c r="H20" s="1132" t="s">
        <v>306</v>
      </c>
      <c r="I20" s="1133" t="s">
        <v>306</v>
      </c>
      <c r="J20" s="1132" t="s">
        <v>306</v>
      </c>
      <c r="K20" s="1131"/>
      <c r="L20" s="884"/>
      <c r="W20" s="839"/>
    </row>
    <row s="5367" customFormat="1" customHeight="1" ht="33.75" hidden="1">
      <c r="A21" s="2529"/>
      <c r="C21" s="1139"/>
      <c r="D21" s="1136" t="s">
        <v>629</v>
      </c>
      <c r="E21" s="740" t="s">
        <v>1860</v>
      </c>
      <c r="F21" s="1133" t="s">
        <v>1861</v>
      </c>
      <c r="G21" s="1125"/>
      <c r="H21" s="238"/>
      <c r="I21" s="1125"/>
      <c r="J21" s="238"/>
      <c r="K21" s="1131"/>
      <c r="L21" s="884"/>
      <c r="W21" s="839"/>
    </row>
    <row s="5367" customFormat="1" customHeight="1" ht="33.75" hidden="1">
      <c r="A22" s="2529"/>
      <c r="C22" s="1139"/>
      <c r="D22" s="1136" t="s">
        <v>635</v>
      </c>
      <c r="E22" s="740" t="s">
        <v>1862</v>
      </c>
      <c r="F22" s="1133" t="s">
        <v>1863</v>
      </c>
      <c r="G22" s="1125"/>
      <c r="H22" s="238"/>
      <c r="I22" s="1125"/>
      <c r="J22" s="238"/>
      <c r="K22" s="1131"/>
      <c r="L22" s="884"/>
      <c r="W22" s="839"/>
    </row>
    <row s="5367" customFormat="1" customHeight="1" ht="22.5" hidden="1">
      <c r="A23" s="2529"/>
      <c r="C23" s="1139"/>
      <c r="D23" s="1136" t="s">
        <v>639</v>
      </c>
      <c r="E23" s="1137" t="s">
        <v>1864</v>
      </c>
      <c r="F23" s="1133" t="s">
        <v>306</v>
      </c>
      <c r="G23" s="1133" t="s">
        <v>306</v>
      </c>
      <c r="H23" s="1132" t="s">
        <v>306</v>
      </c>
      <c r="I23" s="1133" t="s">
        <v>306</v>
      </c>
      <c r="J23" s="1132" t="s">
        <v>306</v>
      </c>
      <c r="K23" s="1131"/>
      <c r="L23" s="884"/>
      <c r="W23" s="839"/>
    </row>
    <row s="5367" customFormat="1" customHeight="1" ht="22.5" hidden="1">
      <c r="A24" s="2529"/>
      <c r="C24" s="1139"/>
      <c r="D24" s="1136" t="s">
        <v>1865</v>
      </c>
      <c r="E24" s="740" t="s">
        <v>1866</v>
      </c>
      <c r="F24" s="1133" t="s">
        <v>1867</v>
      </c>
      <c r="G24" s="1125"/>
      <c r="H24" s="850"/>
      <c r="I24" s="1125"/>
      <c r="J24" s="850"/>
      <c r="K24" s="1131"/>
      <c r="L24" s="884"/>
      <c r="W24" s="839"/>
    </row>
    <row s="5367" customFormat="1" customHeight="1" ht="22.5" hidden="1">
      <c r="A25" s="2529"/>
      <c r="C25" s="1139"/>
      <c r="D25" s="1136" t="s">
        <v>1868</v>
      </c>
      <c r="E25" s="740" t="s">
        <v>1869</v>
      </c>
      <c r="F25" s="1133" t="s">
        <v>306</v>
      </c>
      <c r="G25" s="1133" t="s">
        <v>306</v>
      </c>
      <c r="H25" s="1132" t="s">
        <v>306</v>
      </c>
      <c r="I25" s="1133" t="s">
        <v>306</v>
      </c>
      <c r="J25" s="1132" t="s">
        <v>306</v>
      </c>
      <c r="K25" s="1131"/>
      <c r="L25" s="884"/>
      <c r="W25" s="839"/>
    </row>
    <row s="5367" customFormat="1" customHeight="1" ht="18.75" hidden="1">
      <c r="A26" s="2529"/>
      <c r="C26" s="1139"/>
      <c r="D26" s="1136" t="s">
        <v>1870</v>
      </c>
      <c r="E26" s="717" t="s">
        <v>1871</v>
      </c>
      <c r="F26" s="1133" t="s">
        <v>1872</v>
      </c>
      <c r="G26" s="844"/>
      <c r="H26" s="850"/>
      <c r="I26" s="844"/>
      <c r="J26" s="850"/>
      <c r="K26" s="1131"/>
      <c r="L26" s="884"/>
      <c r="W26" s="839"/>
    </row>
    <row s="5367" customFormat="1" customHeight="1" ht="18.75" hidden="1">
      <c r="A27" s="2529"/>
      <c r="C27" s="1139"/>
      <c r="D27" s="1136" t="s">
        <v>1873</v>
      </c>
      <c r="E27" s="717" t="s">
        <v>1874</v>
      </c>
      <c r="F27" s="1133" t="s">
        <v>1875</v>
      </c>
      <c r="G27" s="844"/>
      <c r="H27" s="850"/>
      <c r="I27" s="844"/>
      <c r="J27" s="850"/>
      <c r="K27" s="1131"/>
      <c r="L27" s="884"/>
      <c r="W27" s="839"/>
    </row>
    <row s="5367" customFormat="1" customHeight="1" ht="18.75" hidden="1">
      <c r="A28" s="2529"/>
      <c r="C28" s="1139"/>
      <c r="D28" s="1136" t="s">
        <v>1876</v>
      </c>
      <c r="E28" s="740" t="s">
        <v>1877</v>
      </c>
      <c r="F28" s="1133" t="s">
        <v>306</v>
      </c>
      <c r="G28" s="1133" t="s">
        <v>306</v>
      </c>
      <c r="H28" s="1132" t="s">
        <v>306</v>
      </c>
      <c r="I28" s="1133" t="s">
        <v>306</v>
      </c>
      <c r="J28" s="1132" t="s">
        <v>306</v>
      </c>
      <c r="K28" s="1131"/>
      <c r="L28" s="884"/>
      <c r="W28" s="839"/>
    </row>
    <row s="5367" customFormat="1" customHeight="1" ht="18.75" hidden="1">
      <c r="A29" s="2529"/>
      <c r="C29" s="1139"/>
      <c r="D29" s="1136" t="s">
        <v>1878</v>
      </c>
      <c r="E29" s="717" t="s">
        <v>1871</v>
      </c>
      <c r="F29" s="1133" t="s">
        <v>1879</v>
      </c>
      <c r="G29" s="844"/>
      <c r="H29" s="850"/>
      <c r="I29" s="844"/>
      <c r="J29" s="850"/>
      <c r="K29" s="1131"/>
      <c r="L29" s="884"/>
      <c r="W29" s="839"/>
    </row>
    <row s="5367" customFormat="1" customHeight="1" ht="18.75" hidden="1">
      <c r="A30" s="2529"/>
      <c r="C30" s="1139"/>
      <c r="D30" s="1136" t="s">
        <v>1880</v>
      </c>
      <c r="E30" s="717" t="s">
        <v>1881</v>
      </c>
      <c r="F30" s="1133" t="s">
        <v>1882</v>
      </c>
      <c r="G30" s="844"/>
      <c r="H30" s="850"/>
      <c r="I30" s="844"/>
      <c r="J30" s="850"/>
      <c r="K30" s="1131"/>
      <c r="L30" s="884"/>
      <c r="W30" s="839"/>
    </row>
    <row customHeight="1" ht="126.75" hidden="1">
      <c r="A31" s="2529"/>
      <c r="D31" s="1136" t="s">
        <v>119</v>
      </c>
      <c r="E31" s="416" t="s">
        <v>1883</v>
      </c>
      <c r="F31" s="824" t="s">
        <v>1626</v>
      </c>
      <c r="G31" s="721"/>
      <c r="H31" s="826"/>
      <c r="I31" s="721"/>
      <c r="J31" s="826"/>
      <c r="K31" s="426" t="s">
        <v>1884</v>
      </c>
      <c r="L31" s="884"/>
    </row>
    <row customHeight="1" ht="56.25" hidden="1">
      <c r="A32" s="2529"/>
      <c r="D32" s="1136" t="s">
        <v>91</v>
      </c>
      <c r="E32" s="416" t="s">
        <v>1885</v>
      </c>
      <c r="F32" s="703" t="s">
        <v>1621</v>
      </c>
      <c r="G32" s="721"/>
      <c r="H32" s="826"/>
      <c r="I32" s="721"/>
      <c r="J32" s="826"/>
      <c r="K32" s="426" t="s">
        <v>1886</v>
      </c>
      <c r="L32" s="884"/>
    </row>
    <row customHeight="1" ht="11.25" hidden="1">
      <c r="A33" s="2529"/>
      <c r="E33" s="828"/>
      <c r="F33" s="316"/>
      <c r="G33" s="316"/>
      <c r="H33" s="316"/>
      <c r="I33" s="316"/>
      <c r="J33" s="316"/>
      <c r="K33" s="316"/>
    </row>
    <row customHeight="1" ht="12.75" hidden="1">
      <c r="A34" s="2529"/>
      <c r="D34" s="193">
        <v>1</v>
      </c>
      <c r="E34" s="483" t="s">
        <v>1887</v>
      </c>
    </row>
    <row customHeight="1" ht="11.25" hidden="1">
      <c r="A35" s="2529"/>
      <c r="D35" s="521"/>
      <c r="E35" s="483" t="s">
        <v>1888</v>
      </c>
    </row>
    <row s="6905" customFormat="1" customHeight="1" ht="11.25">
      <c r="A36" s="1218"/>
      <c r="B36" s="682"/>
      <c r="D36" s="1219"/>
      <c r="E36" s="1220"/>
    </row>
    <row s="5367" customFormat="1" customHeight="1" ht="22.5" hidden="1">
      <c r="A37" s="2529" t="s">
        <v>401</v>
      </c>
      <c r="B37" s="675"/>
      <c r="D37" s="1136">
        <v>1</v>
      </c>
      <c r="E37" s="871" t="s">
        <v>1889</v>
      </c>
      <c r="F37" s="824" t="s">
        <v>1609</v>
      </c>
      <c r="G37" s="721"/>
      <c r="H37" s="683"/>
      <c r="I37" s="721"/>
      <c r="J37" s="683"/>
      <c r="K37" s="426" t="s">
        <v>1890</v>
      </c>
    </row>
    <row s="5367" customFormat="1" customHeight="1" ht="22.5" hidden="1">
      <c r="A38" s="2529"/>
      <c r="B38" s="675"/>
      <c r="D38" s="833" t="s">
        <v>102</v>
      </c>
      <c r="E38" s="1217" t="s">
        <v>1891</v>
      </c>
      <c r="F38" s="1221" t="s">
        <v>1440</v>
      </c>
      <c r="G38" s="1221" t="s">
        <v>1440</v>
      </c>
      <c r="H38" s="1215"/>
      <c r="I38" s="1221" t="s">
        <v>1440</v>
      </c>
      <c r="J38" s="1215"/>
      <c r="K38" s="1216"/>
    </row>
    <row s="5367" customFormat="1" customHeight="1" ht="33.75" hidden="1">
      <c r="A39" s="2529"/>
      <c r="B39" s="675"/>
      <c r="D39" s="829" t="s">
        <v>1465</v>
      </c>
      <c r="E39" s="888" t="s">
        <v>1892</v>
      </c>
      <c r="F39" s="824" t="s">
        <v>1893</v>
      </c>
      <c r="G39" s="832"/>
      <c r="H39" s="1208"/>
      <c r="I39" s="832"/>
      <c r="J39" s="1208"/>
      <c r="K39" s="426" t="s">
        <v>1894</v>
      </c>
    </row>
    <row s="5367" customFormat="1" customHeight="1" ht="33.75" hidden="1">
      <c r="A40" s="2529"/>
      <c r="B40" s="675"/>
      <c r="D40" s="829" t="s">
        <v>1786</v>
      </c>
      <c r="E40" s="888" t="s">
        <v>1895</v>
      </c>
      <c r="F40" s="1212" t="s">
        <v>1896</v>
      </c>
      <c r="G40" s="906"/>
      <c r="H40" s="1208"/>
      <c r="I40" s="906"/>
      <c r="J40" s="1208"/>
      <c r="K40" s="426" t="s">
        <v>1897</v>
      </c>
    </row>
    <row s="5367" customFormat="1" customHeight="1" ht="22.5" hidden="1">
      <c r="A41" s="2529"/>
      <c r="B41" s="675"/>
      <c r="D41" s="829" t="s">
        <v>89</v>
      </c>
      <c r="E41" s="887" t="s">
        <v>1898</v>
      </c>
      <c r="F41" s="824" t="s">
        <v>1440</v>
      </c>
      <c r="G41" s="824" t="s">
        <v>1440</v>
      </c>
      <c r="H41" s="1209"/>
      <c r="I41" s="824" t="s">
        <v>1440</v>
      </c>
      <c r="J41" s="1209"/>
      <c r="K41" s="439"/>
    </row>
    <row s="5367" customFormat="1" customHeight="1" ht="45" hidden="1">
      <c r="A42" s="2529"/>
      <c r="B42" s="675"/>
      <c r="D42" s="829" t="s">
        <v>326</v>
      </c>
      <c r="E42" s="888" t="s">
        <v>1899</v>
      </c>
      <c r="F42" s="824" t="s">
        <v>1626</v>
      </c>
      <c r="G42" s="721"/>
      <c r="H42" s="1209"/>
      <c r="I42" s="721"/>
      <c r="J42" s="1209"/>
      <c r="K42" s="439" t="s">
        <v>1900</v>
      </c>
    </row>
    <row s="5367" customFormat="1" customHeight="1" ht="45" hidden="1">
      <c r="A43" s="2529"/>
      <c r="B43" s="675"/>
      <c r="D43" s="829" t="s">
        <v>334</v>
      </c>
      <c r="E43" s="831" t="s">
        <v>1901</v>
      </c>
      <c r="F43" s="1213" t="s">
        <v>1626</v>
      </c>
      <c r="G43" s="907"/>
      <c r="H43" s="1208"/>
      <c r="I43" s="907"/>
      <c r="J43" s="1208"/>
      <c r="K43" s="439" t="s">
        <v>1902</v>
      </c>
    </row>
    <row s="5367" customFormat="1" customHeight="1" ht="11.25" hidden="1">
      <c r="A44" s="2529"/>
      <c r="B44" s="675"/>
      <c r="D44" s="829" t="s">
        <v>90</v>
      </c>
      <c r="E44" s="830" t="s">
        <v>1903</v>
      </c>
      <c r="F44" s="824" t="s">
        <v>1893</v>
      </c>
      <c r="G44" s="832"/>
      <c r="H44" s="1208"/>
      <c r="I44" s="832"/>
      <c r="J44" s="1208"/>
      <c r="K44" s="426"/>
    </row>
    <row s="5367" customFormat="1" customHeight="1" ht="11.25" hidden="1">
      <c r="A45" s="2529"/>
      <c r="B45" s="675"/>
      <c r="D45" s="829" t="s">
        <v>620</v>
      </c>
      <c r="E45" s="831" t="s">
        <v>1904</v>
      </c>
      <c r="F45" s="824" t="s">
        <v>1893</v>
      </c>
      <c r="G45" s="832"/>
      <c r="H45" s="1208"/>
      <c r="I45" s="832"/>
      <c r="J45" s="1208"/>
      <c r="K45" s="426"/>
    </row>
    <row s="5367" customFormat="1" customHeight="1" ht="11.25" hidden="1">
      <c r="A46" s="2529"/>
      <c r="B46" s="675"/>
      <c r="D46" s="829" t="s">
        <v>639</v>
      </c>
      <c r="E46" s="831" t="s">
        <v>1905</v>
      </c>
      <c r="F46" s="824" t="s">
        <v>1893</v>
      </c>
      <c r="G46" s="832"/>
      <c r="H46" s="1208"/>
      <c r="I46" s="832"/>
      <c r="J46" s="1208"/>
      <c r="K46" s="426"/>
    </row>
    <row s="5367" customFormat="1" customHeight="1" ht="11.25" hidden="1">
      <c r="A47" s="2529"/>
      <c r="B47" s="675"/>
      <c r="D47" s="829" t="s">
        <v>1622</v>
      </c>
      <c r="E47" s="831" t="s">
        <v>1906</v>
      </c>
      <c r="F47" s="824" t="s">
        <v>1893</v>
      </c>
      <c r="G47" s="832"/>
      <c r="H47" s="1208"/>
      <c r="I47" s="832"/>
      <c r="J47" s="1208"/>
      <c r="K47" s="426"/>
    </row>
    <row s="5367" customFormat="1" customHeight="1" ht="11.25" hidden="1">
      <c r="A48" s="2529"/>
      <c r="B48" s="675"/>
      <c r="D48" s="829" t="s">
        <v>1907</v>
      </c>
      <c r="E48" s="835" t="s">
        <v>1908</v>
      </c>
      <c r="F48" s="824" t="s">
        <v>1893</v>
      </c>
      <c r="G48" s="832"/>
      <c r="H48" s="1208"/>
      <c r="I48" s="832"/>
      <c r="J48" s="1208"/>
      <c r="K48" s="426"/>
    </row>
    <row s="5367" customFormat="1" customHeight="1" ht="11.25" hidden="1">
      <c r="A49" s="2529"/>
      <c r="B49" s="675"/>
      <c r="D49" s="829" t="s">
        <v>1909</v>
      </c>
      <c r="E49" s="835" t="s">
        <v>1910</v>
      </c>
      <c r="F49" s="824" t="s">
        <v>1893</v>
      </c>
      <c r="G49" s="832"/>
      <c r="H49" s="1208"/>
      <c r="I49" s="832"/>
      <c r="J49" s="1208"/>
      <c r="K49" s="426"/>
    </row>
    <row s="5367" customFormat="1" customHeight="1" ht="11.25" hidden="1">
      <c r="A50" s="2529"/>
      <c r="B50" s="675"/>
      <c r="D50" s="829" t="s">
        <v>1911</v>
      </c>
      <c r="E50" s="831" t="s">
        <v>1912</v>
      </c>
      <c r="F50" s="824" t="s">
        <v>1893</v>
      </c>
      <c r="G50" s="832"/>
      <c r="H50" s="1208"/>
      <c r="I50" s="832"/>
      <c r="J50" s="1208"/>
      <c r="K50" s="426"/>
    </row>
    <row s="5367" customFormat="1" customHeight="1" ht="11.25" hidden="1">
      <c r="A51" s="2529"/>
      <c r="B51" s="675"/>
      <c r="D51" s="829" t="s">
        <v>1913</v>
      </c>
      <c r="E51" s="831" t="s">
        <v>1914</v>
      </c>
      <c r="F51" s="824" t="s">
        <v>1893</v>
      </c>
      <c r="G51" s="832"/>
      <c r="H51" s="1208"/>
      <c r="I51" s="832"/>
      <c r="J51" s="1208"/>
      <c r="K51" s="426"/>
    </row>
    <row s="5367" customFormat="1" customHeight="1" ht="45" hidden="1">
      <c r="A52" s="2529"/>
      <c r="B52" s="675"/>
      <c r="D52" s="829" t="s">
        <v>119</v>
      </c>
      <c r="E52" s="830" t="s">
        <v>1915</v>
      </c>
      <c r="F52" s="824" t="s">
        <v>1893</v>
      </c>
      <c r="G52" s="832"/>
      <c r="H52" s="1208"/>
      <c r="I52" s="832"/>
      <c r="J52" s="1208"/>
      <c r="K52" s="426"/>
    </row>
    <row s="5367" customFormat="1" customHeight="1" ht="11.25" hidden="1">
      <c r="A53" s="2529"/>
      <c r="B53" s="675"/>
      <c r="D53" s="829" t="s">
        <v>315</v>
      </c>
      <c r="E53" s="831" t="s">
        <v>1904</v>
      </c>
      <c r="F53" s="824" t="s">
        <v>1893</v>
      </c>
      <c r="G53" s="832"/>
      <c r="H53" s="1208"/>
      <c r="I53" s="832"/>
      <c r="J53" s="1208"/>
      <c r="K53" s="426"/>
    </row>
    <row s="5367" customFormat="1" customHeight="1" ht="11.25" hidden="1">
      <c r="A54" s="2529"/>
      <c r="B54" s="675"/>
      <c r="D54" s="829" t="s">
        <v>317</v>
      </c>
      <c r="E54" s="831" t="s">
        <v>1905</v>
      </c>
      <c r="F54" s="824" t="s">
        <v>1893</v>
      </c>
      <c r="G54" s="832"/>
      <c r="H54" s="1208"/>
      <c r="I54" s="832"/>
      <c r="J54" s="1208"/>
      <c r="K54" s="426"/>
    </row>
    <row s="5367" customFormat="1" customHeight="1" ht="11.25" hidden="1">
      <c r="A55" s="2529"/>
      <c r="B55" s="675"/>
      <c r="D55" s="829" t="s">
        <v>320</v>
      </c>
      <c r="E55" s="831" t="s">
        <v>1906</v>
      </c>
      <c r="F55" s="824" t="s">
        <v>1893</v>
      </c>
      <c r="G55" s="832"/>
      <c r="H55" s="1208"/>
      <c r="I55" s="832"/>
      <c r="J55" s="1208"/>
      <c r="K55" s="426"/>
    </row>
    <row s="5367" customFormat="1" customHeight="1" ht="11.25" hidden="1">
      <c r="A56" s="2529"/>
      <c r="B56" s="675"/>
      <c r="D56" s="829" t="s">
        <v>1602</v>
      </c>
      <c r="E56" s="835" t="s">
        <v>1908</v>
      </c>
      <c r="F56" s="824" t="s">
        <v>1893</v>
      </c>
      <c r="G56" s="832"/>
      <c r="H56" s="1208"/>
      <c r="I56" s="832"/>
      <c r="J56" s="1208"/>
      <c r="K56" s="426"/>
    </row>
    <row s="5367" customFormat="1" customHeight="1" ht="11.25" hidden="1">
      <c r="A57" s="2529"/>
      <c r="B57" s="675"/>
      <c r="D57" s="829" t="s">
        <v>1916</v>
      </c>
      <c r="E57" s="835" t="s">
        <v>1910</v>
      </c>
      <c r="F57" s="824" t="s">
        <v>1893</v>
      </c>
      <c r="G57" s="832"/>
      <c r="H57" s="1208"/>
      <c r="I57" s="832"/>
      <c r="J57" s="1208"/>
      <c r="K57" s="426"/>
    </row>
    <row s="5367" customFormat="1" customHeight="1" ht="11.25" hidden="1">
      <c r="A58" s="2529"/>
      <c r="B58" s="675"/>
      <c r="D58" s="829" t="s">
        <v>322</v>
      </c>
      <c r="E58" s="831" t="s">
        <v>1912</v>
      </c>
      <c r="F58" s="824" t="s">
        <v>1893</v>
      </c>
      <c r="G58" s="832"/>
      <c r="H58" s="1208"/>
      <c r="I58" s="832"/>
      <c r="J58" s="1208"/>
      <c r="K58" s="426"/>
    </row>
    <row s="5367" customFormat="1" customHeight="1" ht="11.25" hidden="1">
      <c r="A59" s="2529"/>
      <c r="B59" s="675"/>
      <c r="D59" s="829" t="s">
        <v>1917</v>
      </c>
      <c r="E59" s="831" t="s">
        <v>1914</v>
      </c>
      <c r="F59" s="824" t="s">
        <v>1893</v>
      </c>
      <c r="G59" s="832"/>
      <c r="H59" s="1208"/>
      <c r="I59" s="832"/>
      <c r="J59" s="1208"/>
      <c r="K59" s="426"/>
    </row>
    <row s="5367" customFormat="1" customHeight="1" ht="33.75" hidden="1">
      <c r="A60" s="2529"/>
      <c r="B60" s="675"/>
      <c r="D60" s="829" t="s">
        <v>91</v>
      </c>
      <c r="E60" s="830" t="s">
        <v>1918</v>
      </c>
      <c r="F60" s="886" t="s">
        <v>1626</v>
      </c>
      <c r="G60" s="907"/>
      <c r="H60" s="1208"/>
      <c r="I60" s="907"/>
      <c r="J60" s="1208"/>
      <c r="K60" s="439" t="s">
        <v>1919</v>
      </c>
    </row>
    <row s="5367" customFormat="1" customHeight="1" ht="33.75" hidden="1">
      <c r="A61" s="2529"/>
      <c r="B61" s="675"/>
      <c r="D61" s="829" t="s">
        <v>92</v>
      </c>
      <c r="E61" s="830" t="s">
        <v>1920</v>
      </c>
      <c r="F61" s="891" t="s">
        <v>1621</v>
      </c>
      <c r="G61" s="832"/>
      <c r="H61" s="1208"/>
      <c r="I61" s="832"/>
      <c r="J61" s="1208"/>
      <c r="K61" s="426"/>
    </row>
    <row s="5367" customFormat="1" customHeight="1" ht="22.5" hidden="1">
      <c r="A62" s="2529"/>
      <c r="B62" s="675" t="s">
        <v>1754</v>
      </c>
      <c r="D62" s="829" t="s">
        <v>120</v>
      </c>
      <c r="E62" s="830" t="s">
        <v>1921</v>
      </c>
      <c r="F62" s="891" t="s">
        <v>306</v>
      </c>
      <c r="G62" s="540"/>
      <c r="H62" s="1208"/>
      <c r="I62" s="540"/>
      <c r="J62" s="1208"/>
      <c r="K62" s="426" t="s">
        <v>720</v>
      </c>
    </row>
    <row s="5367" customFormat="1" customHeight="1" ht="45" hidden="1">
      <c r="A63" s="2529"/>
      <c r="B63" s="675" t="s">
        <v>1754</v>
      </c>
      <c r="D63" s="829" t="s">
        <v>1922</v>
      </c>
      <c r="E63" s="831" t="s">
        <v>1923</v>
      </c>
      <c r="F63" s="886" t="s">
        <v>306</v>
      </c>
      <c r="G63" s="540"/>
      <c r="H63" s="1208"/>
      <c r="I63" s="540"/>
      <c r="J63" s="1208"/>
      <c r="K63" s="426" t="s">
        <v>720</v>
      </c>
    </row>
    <row s="6905" customFormat="1" customHeight="1" ht="11.25">
      <c r="A64" s="1218"/>
      <c r="B64" s="682"/>
      <c r="D64" s="1219"/>
      <c r="E64" s="1220"/>
    </row>
    <row s="5367" customFormat="1" customHeight="1" ht="22.5" hidden="1">
      <c r="A65" s="2529" t="s">
        <v>403</v>
      </c>
      <c r="B65" s="675"/>
      <c r="D65" s="829">
        <v>1</v>
      </c>
      <c r="E65" s="909" t="s">
        <v>1924</v>
      </c>
      <c r="F65" s="905" t="s">
        <v>1609</v>
      </c>
      <c r="G65" s="906"/>
      <c r="H65" s="1214"/>
      <c r="I65" s="906"/>
      <c r="J65" s="1214"/>
      <c r="K65" s="438" t="s">
        <v>1925</v>
      </c>
    </row>
    <row s="5367" customFormat="1" customHeight="1" ht="56.25" hidden="1">
      <c r="A66" s="2529"/>
      <c r="B66" s="675"/>
      <c r="D66" s="908" t="s">
        <v>102</v>
      </c>
      <c r="E66" s="871" t="s">
        <v>1926</v>
      </c>
      <c r="F66" s="824" t="s">
        <v>1440</v>
      </c>
      <c r="G66" s="824" t="s">
        <v>1440</v>
      </c>
      <c r="H66" s="683"/>
      <c r="I66" s="824" t="s">
        <v>1440</v>
      </c>
      <c r="J66" s="683"/>
      <c r="K66" s="426"/>
    </row>
    <row s="5367" customFormat="1" customHeight="1" ht="33.75" hidden="1">
      <c r="A67" s="2529"/>
      <c r="B67" s="675"/>
      <c r="D67" s="908" t="s">
        <v>512</v>
      </c>
      <c r="E67" s="1137" t="s">
        <v>1927</v>
      </c>
      <c r="F67" s="824" t="s">
        <v>1896</v>
      </c>
      <c r="G67" s="892"/>
      <c r="H67" s="683"/>
      <c r="I67" s="892"/>
      <c r="J67" s="683"/>
      <c r="K67" s="426"/>
    </row>
    <row s="5367" customFormat="1" customHeight="1" ht="22.5" hidden="1">
      <c r="A68" s="2529"/>
      <c r="B68" s="675"/>
      <c r="D68" s="908" t="s">
        <v>307</v>
      </c>
      <c r="E68" s="1137" t="s">
        <v>1928</v>
      </c>
      <c r="F68" s="824" t="s">
        <v>1896</v>
      </c>
      <c r="G68" s="892"/>
      <c r="H68" s="683"/>
      <c r="I68" s="892"/>
      <c r="J68" s="683"/>
      <c r="K68" s="426"/>
    </row>
    <row s="5367" customFormat="1" customHeight="1" ht="22.5" hidden="1">
      <c r="A69" s="2529"/>
      <c r="B69" s="675"/>
      <c r="D69" s="908" t="s">
        <v>310</v>
      </c>
      <c r="E69" s="1137" t="s">
        <v>1929</v>
      </c>
      <c r="F69" s="886" t="s">
        <v>1626</v>
      </c>
      <c r="G69" s="907"/>
      <c r="H69" s="683"/>
      <c r="I69" s="907"/>
      <c r="J69" s="683"/>
      <c r="K69" s="426"/>
    </row>
    <row s="5367" customFormat="1" customHeight="1" ht="22.5" hidden="1">
      <c r="A70" s="2529"/>
      <c r="B70" s="675"/>
      <c r="D70" s="908" t="s">
        <v>521</v>
      </c>
      <c r="E70" s="1137" t="s">
        <v>1930</v>
      </c>
      <c r="F70" s="886" t="s">
        <v>1626</v>
      </c>
      <c r="G70" s="907"/>
      <c r="H70" s="683"/>
      <c r="I70" s="907"/>
      <c r="J70" s="683"/>
      <c r="K70" s="426"/>
    </row>
    <row s="5367" customFormat="1" customHeight="1" ht="22.5" hidden="1">
      <c r="A71" s="2529"/>
      <c r="B71" s="675"/>
      <c r="D71" s="829" t="s">
        <v>89</v>
      </c>
      <c r="E71" s="830" t="s">
        <v>1931</v>
      </c>
      <c r="F71" s="824" t="s">
        <v>1896</v>
      </c>
      <c r="G71" s="721"/>
      <c r="H71" s="1215"/>
      <c r="I71" s="721"/>
      <c r="J71" s="1215"/>
      <c r="K71" s="439"/>
    </row>
    <row s="5367" customFormat="1" customHeight="1" ht="56.25" hidden="1">
      <c r="A72" s="2529"/>
      <c r="B72" s="675"/>
      <c r="D72" s="829" t="s">
        <v>90</v>
      </c>
      <c r="E72" s="830" t="s">
        <v>1932</v>
      </c>
      <c r="F72" s="886" t="s">
        <v>1626</v>
      </c>
      <c r="G72" s="907"/>
      <c r="H72" s="1208"/>
      <c r="I72" s="907"/>
      <c r="J72" s="1208"/>
      <c r="K72" s="439"/>
    </row>
    <row s="5367" customFormat="1" customHeight="1" ht="33.75" hidden="1">
      <c r="A73" s="2529"/>
      <c r="B73" s="675"/>
      <c r="D73" s="829" t="s">
        <v>119</v>
      </c>
      <c r="E73" s="830" t="s">
        <v>1933</v>
      </c>
      <c r="F73" s="891" t="s">
        <v>1621</v>
      </c>
      <c r="G73" s="832"/>
      <c r="H73" s="1208"/>
      <c r="I73" s="832"/>
      <c r="J73" s="1208"/>
      <c r="K73" s="426"/>
    </row>
    <row s="5367" customFormat="1" customHeight="1" ht="22.5" hidden="1">
      <c r="A74" s="2529"/>
      <c r="B74" s="675" t="s">
        <v>1754</v>
      </c>
      <c r="D74" s="829" t="s">
        <v>91</v>
      </c>
      <c r="E74" s="830" t="s">
        <v>1934</v>
      </c>
      <c r="F74" s="891" t="s">
        <v>306</v>
      </c>
      <c r="G74" s="540"/>
      <c r="H74" s="1208"/>
      <c r="I74" s="540"/>
      <c r="J74" s="1208"/>
      <c r="K74" s="426" t="s">
        <v>720</v>
      </c>
    </row>
    <row s="5367" customFormat="1" customHeight="1" ht="45" hidden="1">
      <c r="A75" s="2529"/>
      <c r="B75" s="675" t="s">
        <v>1754</v>
      </c>
      <c r="D75" s="829" t="s">
        <v>525</v>
      </c>
      <c r="E75" s="831" t="s">
        <v>1935</v>
      </c>
      <c r="F75" s="886" t="s">
        <v>306</v>
      </c>
      <c r="G75" s="540"/>
      <c r="H75" s="1208"/>
      <c r="I75" s="540"/>
      <c r="J75" s="1208"/>
      <c r="K75" s="426" t="s">
        <v>720</v>
      </c>
    </row>
    <row s="6905" customFormat="1" customHeight="1" ht="11.25">
      <c r="A76" s="1218"/>
      <c r="B76" s="682"/>
      <c r="D76" s="1219"/>
      <c r="E76" s="1220"/>
    </row>
    <row s="5367" customFormat="1" customHeight="1" ht="11.25">
      <c r="A77" s="2529" t="s">
        <v>402</v>
      </c>
      <c r="B77" s="675"/>
      <c r="D77" s="829">
        <v>1</v>
      </c>
      <c r="E77" s="830" t="s">
        <v>1936</v>
      </c>
      <c r="F77" s="886" t="s">
        <v>1609</v>
      </c>
      <c r="G77" s="889"/>
      <c r="H77" s="1208"/>
      <c r="I77" s="889"/>
      <c r="J77" s="1208"/>
      <c r="K77" s="426" t="s">
        <v>1937</v>
      </c>
    </row>
    <row s="5367" customFormat="1" customHeight="1" ht="11.25">
      <c r="A78" s="2529"/>
      <c r="B78" s="675"/>
      <c r="D78" s="829" t="s">
        <v>102</v>
      </c>
      <c r="E78" s="830" t="s">
        <v>1938</v>
      </c>
      <c r="F78" s="886" t="s">
        <v>1609</v>
      </c>
      <c r="G78" s="889"/>
      <c r="H78" s="1208"/>
      <c r="I78" s="889"/>
      <c r="J78" s="1208"/>
      <c r="K78" s="426" t="s">
        <v>1939</v>
      </c>
    </row>
    <row s="5367" customFormat="1" customHeight="1" ht="22.5">
      <c r="A79" s="2529"/>
      <c r="B79" s="675"/>
      <c r="D79" s="829" t="s">
        <v>89</v>
      </c>
      <c r="E79" s="887" t="s">
        <v>1940</v>
      </c>
      <c r="F79" s="824" t="s">
        <v>1893</v>
      </c>
      <c r="G79" s="889"/>
      <c r="H79" s="1208"/>
      <c r="I79" s="889"/>
      <c r="J79" s="1208"/>
      <c r="K79" s="426" t="s">
        <v>1941</v>
      </c>
    </row>
    <row s="5367" customFormat="1" customHeight="1" ht="11.25">
      <c r="A80" s="2529"/>
      <c r="B80" s="675"/>
      <c r="D80" s="829" t="s">
        <v>326</v>
      </c>
      <c r="E80" s="888" t="s">
        <v>1942</v>
      </c>
      <c r="F80" s="824" t="s">
        <v>1893</v>
      </c>
      <c r="G80" s="889"/>
      <c r="H80" s="1208"/>
      <c r="I80" s="889"/>
      <c r="J80" s="1208"/>
      <c r="K80" s="426"/>
    </row>
    <row s="5367" customFormat="1" customHeight="1" ht="11.25">
      <c r="A81" s="2529"/>
      <c r="B81" s="675"/>
      <c r="D81" s="829" t="s">
        <v>334</v>
      </c>
      <c r="E81" s="888" t="s">
        <v>1943</v>
      </c>
      <c r="F81" s="824" t="s">
        <v>1893</v>
      </c>
      <c r="G81" s="889"/>
      <c r="H81" s="1208"/>
      <c r="I81" s="889"/>
      <c r="J81" s="1208"/>
      <c r="K81" s="426"/>
    </row>
    <row s="5367" customFormat="1" customHeight="1" ht="11.25">
      <c r="A82" s="2529"/>
      <c r="B82" s="675"/>
      <c r="D82" s="829" t="s">
        <v>336</v>
      </c>
      <c r="E82" s="888" t="s">
        <v>1944</v>
      </c>
      <c r="F82" s="824" t="s">
        <v>1893</v>
      </c>
      <c r="G82" s="889"/>
      <c r="H82" s="1208"/>
      <c r="I82" s="889"/>
      <c r="J82" s="1208"/>
      <c r="K82" s="426"/>
    </row>
    <row s="5367" customFormat="1" customHeight="1" ht="11.25">
      <c r="A83" s="2529"/>
      <c r="B83" s="675"/>
      <c r="D83" s="829" t="s">
        <v>338</v>
      </c>
      <c r="E83" s="888" t="s">
        <v>1945</v>
      </c>
      <c r="F83" s="824" t="s">
        <v>1893</v>
      </c>
      <c r="G83" s="889"/>
      <c r="H83" s="1208"/>
      <c r="I83" s="889"/>
      <c r="J83" s="1208"/>
      <c r="K83" s="426"/>
    </row>
    <row s="5367" customFormat="1" customHeight="1" ht="11.25">
      <c r="A84" s="2529"/>
      <c r="B84" s="675"/>
      <c r="D84" s="829" t="s">
        <v>1946</v>
      </c>
      <c r="E84" s="888" t="s">
        <v>1947</v>
      </c>
      <c r="F84" s="824" t="s">
        <v>1893</v>
      </c>
      <c r="G84" s="889"/>
      <c r="H84" s="1208"/>
      <c r="I84" s="889"/>
      <c r="J84" s="1208"/>
      <c r="K84" s="426"/>
    </row>
    <row s="5367" customFormat="1" customHeight="1" ht="11.25">
      <c r="A85" s="2529"/>
      <c r="B85" s="675"/>
      <c r="D85" s="829" t="s">
        <v>1948</v>
      </c>
      <c r="E85" s="888" t="s">
        <v>1949</v>
      </c>
      <c r="F85" s="824" t="s">
        <v>1893</v>
      </c>
      <c r="G85" s="889"/>
      <c r="H85" s="1208"/>
      <c r="I85" s="889"/>
      <c r="J85" s="1208"/>
      <c r="K85" s="426"/>
    </row>
    <row s="5367" customFormat="1" customHeight="1" ht="11.25">
      <c r="A86" s="2529"/>
      <c r="B86" s="675"/>
      <c r="D86" s="829" t="s">
        <v>1950</v>
      </c>
      <c r="E86" s="888" t="s">
        <v>1951</v>
      </c>
      <c r="F86" s="824" t="s">
        <v>1893</v>
      </c>
      <c r="G86" s="889"/>
      <c r="H86" s="1208"/>
      <c r="I86" s="889"/>
      <c r="J86" s="1208"/>
      <c r="K86" s="426"/>
    </row>
    <row s="5367" customFormat="1" customHeight="1" ht="45">
      <c r="A87" s="2529"/>
      <c r="B87" s="675"/>
      <c r="D87" s="829" t="s">
        <v>90</v>
      </c>
      <c r="E87" s="830" t="s">
        <v>1952</v>
      </c>
      <c r="F87" s="824" t="s">
        <v>1893</v>
      </c>
      <c r="G87" s="889"/>
      <c r="H87" s="1208"/>
      <c r="I87" s="889"/>
      <c r="J87" s="1208"/>
      <c r="K87" s="426" t="s">
        <v>1953</v>
      </c>
    </row>
    <row s="5367" customFormat="1" customHeight="1" ht="11.25">
      <c r="A88" s="2529"/>
      <c r="B88" s="675"/>
      <c r="D88" s="829" t="s">
        <v>620</v>
      </c>
      <c r="E88" s="888" t="s">
        <v>1942</v>
      </c>
      <c r="F88" s="824" t="s">
        <v>1893</v>
      </c>
      <c r="G88" s="889"/>
      <c r="H88" s="1208"/>
      <c r="I88" s="889"/>
      <c r="J88" s="1208"/>
      <c r="K88" s="426"/>
    </row>
    <row s="5367" customFormat="1" customHeight="1" ht="11.25">
      <c r="A89" s="2529"/>
      <c r="B89" s="675"/>
      <c r="D89" s="829" t="s">
        <v>639</v>
      </c>
      <c r="E89" s="888" t="s">
        <v>1943</v>
      </c>
      <c r="F89" s="824" t="s">
        <v>1893</v>
      </c>
      <c r="G89" s="889"/>
      <c r="H89" s="1208"/>
      <c r="I89" s="889"/>
      <c r="J89" s="1208"/>
      <c r="K89" s="426"/>
    </row>
    <row s="5367" customFormat="1" customHeight="1" ht="11.25">
      <c r="A90" s="2529"/>
      <c r="B90" s="675"/>
      <c r="D90" s="829" t="s">
        <v>1622</v>
      </c>
      <c r="E90" s="888" t="s">
        <v>1944</v>
      </c>
      <c r="F90" s="824" t="s">
        <v>1893</v>
      </c>
      <c r="G90" s="889"/>
      <c r="H90" s="1208"/>
      <c r="I90" s="889"/>
      <c r="J90" s="1208"/>
      <c r="K90" s="426"/>
    </row>
    <row s="5367" customFormat="1" customHeight="1" ht="11.25">
      <c r="A91" s="2529"/>
      <c r="B91" s="675"/>
      <c r="D91" s="829" t="s">
        <v>1911</v>
      </c>
      <c r="E91" s="888" t="s">
        <v>1945</v>
      </c>
      <c r="F91" s="824" t="s">
        <v>1893</v>
      </c>
      <c r="G91" s="889"/>
      <c r="H91" s="1208"/>
      <c r="I91" s="889"/>
      <c r="J91" s="1208"/>
      <c r="K91" s="426"/>
    </row>
    <row s="5367" customFormat="1" customHeight="1" ht="11.25">
      <c r="A92" s="2529"/>
      <c r="B92" s="675"/>
      <c r="D92" s="829" t="s">
        <v>1913</v>
      </c>
      <c r="E92" s="888" t="s">
        <v>1947</v>
      </c>
      <c r="F92" s="824" t="s">
        <v>1893</v>
      </c>
      <c r="G92" s="889"/>
      <c r="H92" s="1208"/>
      <c r="I92" s="889"/>
      <c r="J92" s="1208"/>
      <c r="K92" s="426"/>
    </row>
    <row s="5367" customFormat="1" customHeight="1" ht="11.25">
      <c r="A93" s="2529"/>
      <c r="B93" s="675"/>
      <c r="D93" s="829" t="s">
        <v>1954</v>
      </c>
      <c r="E93" s="888" t="s">
        <v>1949</v>
      </c>
      <c r="F93" s="824" t="s">
        <v>1893</v>
      </c>
      <c r="G93" s="889"/>
      <c r="H93" s="1208"/>
      <c r="I93" s="889"/>
      <c r="J93" s="1208"/>
      <c r="K93" s="426"/>
    </row>
    <row s="5367" customFormat="1" customHeight="1" ht="11.25">
      <c r="A94" s="2529"/>
      <c r="B94" s="675"/>
      <c r="D94" s="829" t="s">
        <v>1955</v>
      </c>
      <c r="E94" s="888" t="s">
        <v>1951</v>
      </c>
      <c r="F94" s="824" t="s">
        <v>1893</v>
      </c>
      <c r="G94" s="889"/>
      <c r="H94" s="1208"/>
      <c r="I94" s="889"/>
      <c r="J94" s="1208"/>
      <c r="K94" s="426"/>
    </row>
    <row s="5367" customFormat="1" customHeight="1" ht="24.75">
      <c r="A95" s="2529"/>
      <c r="B95" s="675"/>
      <c r="D95" s="829" t="s">
        <v>119</v>
      </c>
      <c r="E95" s="830" t="s">
        <v>1956</v>
      </c>
      <c r="F95" s="890" t="s">
        <v>1626</v>
      </c>
      <c r="G95" s="892"/>
      <c r="H95" s="1208"/>
      <c r="I95" s="892"/>
      <c r="J95" s="1208"/>
      <c r="K95" s="426" t="s">
        <v>1957</v>
      </c>
    </row>
    <row s="5367" customFormat="1" customHeight="1" ht="33.75">
      <c r="A96" s="2529"/>
      <c r="B96" s="675"/>
      <c r="D96" s="829" t="s">
        <v>91</v>
      </c>
      <c r="E96" s="830" t="s">
        <v>1958</v>
      </c>
      <c r="F96" s="891" t="s">
        <v>1621</v>
      </c>
      <c r="G96" s="893"/>
      <c r="H96" s="1208"/>
      <c r="I96" s="893"/>
      <c r="J96" s="1208"/>
      <c r="K96" s="426"/>
    </row>
    <row s="5367" customFormat="1" customHeight="1" ht="22.5">
      <c r="A97" s="2529"/>
      <c r="B97" s="675" t="s">
        <v>1754</v>
      </c>
      <c r="D97" s="829" t="s">
        <v>92</v>
      </c>
      <c r="E97" s="830" t="s">
        <v>1959</v>
      </c>
      <c r="F97" s="891" t="s">
        <v>306</v>
      </c>
      <c r="G97" s="543"/>
      <c r="H97" s="1208"/>
      <c r="I97" s="543"/>
      <c r="J97" s="1208"/>
      <c r="K97" s="426" t="s">
        <v>720</v>
      </c>
    </row>
    <row s="5367" customFormat="1" customHeight="1" ht="45">
      <c r="A98" s="2529"/>
      <c r="B98" s="675" t="s">
        <v>1754</v>
      </c>
      <c r="D98" s="829" t="s">
        <v>1682</v>
      </c>
      <c r="E98" s="831" t="s">
        <v>1960</v>
      </c>
      <c r="F98" s="886" t="s">
        <v>306</v>
      </c>
      <c r="G98" s="543"/>
      <c r="H98" s="1208"/>
      <c r="I98" s="543"/>
      <c r="J98" s="1208"/>
      <c r="K98" s="426" t="s">
        <v>720</v>
      </c>
    </row>
    <row s="5367" customFormat="1" customHeight="1" ht="95.25">
      <c r="A99" s="2529"/>
      <c r="B99" s="675" t="s">
        <v>1754</v>
      </c>
      <c r="D99" s="829" t="s">
        <v>120</v>
      </c>
      <c r="E99" s="830" t="s">
        <v>1961</v>
      </c>
      <c r="F99" s="886" t="s">
        <v>306</v>
      </c>
      <c r="G99" s="543"/>
      <c r="H99" s="1208"/>
      <c r="I99" s="543"/>
      <c r="J99" s="1208"/>
      <c r="K99" s="426" t="s">
        <v>720</v>
      </c>
    </row>
    <row s="5367" customFormat="1" customHeight="1" ht="22.5">
      <c r="A100" s="2529"/>
      <c r="B100" s="675" t="s">
        <v>1754</v>
      </c>
      <c r="D100" s="829" t="s">
        <v>157</v>
      </c>
      <c r="E100" s="830" t="s">
        <v>1962</v>
      </c>
      <c r="F100" s="886" t="s">
        <v>306</v>
      </c>
      <c r="G100" s="543"/>
      <c r="H100" s="1208"/>
      <c r="I100" s="543"/>
      <c r="J100" s="1208"/>
      <c r="K100" s="426" t="s">
        <v>720</v>
      </c>
    </row>
    <row s="6905" customFormat="1" customHeight="1" ht="11.25">
      <c r="A101" s="1218"/>
      <c r="B101" s="682"/>
      <c r="D101" s="1219"/>
      <c r="E101" s="1220"/>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EDC19E-A442-E1CE-7BF4-6D174781A7F9}"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7347" width="6.7109375" hidden="1" customWidth="1"/>
    <col min="4" max="4" style="5368" width="6.7109375" hidden="1" customWidth="1"/>
    <col min="5" max="5" style="6905" width="3.7109375" customWidth="1"/>
    <col min="6" max="6" style="5367" width="6.28125" customWidth="1"/>
    <col min="7" max="7" style="5367" width="37.7109375" customWidth="1"/>
    <col min="8" max="8" style="6104" width="16.57421875" customWidth="1"/>
    <col min="9" max="10" style="5367" width="19.7109375" customWidth="1"/>
    <col min="11" max="11" style="5367" width="25.00390625" customWidth="1"/>
    <col min="12" max="13" style="5367" width="25.7109375" customWidth="1"/>
    <col min="14" max="16" style="5367" width="17.7109375" customWidth="1"/>
    <col min="17" max="24" style="5367" width="19.7109375" customWidth="1"/>
    <col min="25" max="25" style="5367" width="8.00390625" customWidth="1"/>
    <col min="26" max="26" style="5367" width="3.28125" customWidth="1"/>
    <col min="27" max="27" style="5367" width="6.28125" customWidth="1"/>
    <col min="28" max="28" style="5367" width="34.140625" customWidth="1"/>
    <col min="29" max="30" style="5367" width="9.140625"/>
  </cols>
  <sheetData>
    <row s="5368" customFormat="1" customHeight="1" ht="10.5" hidden="1">
      <c r="A1" s="1072"/>
      <c r="B1" s="1072"/>
      <c r="C1" s="1072"/>
      <c r="E1" s="701"/>
      <c r="H1" s="1348"/>
    </row>
    <row customHeight="1" ht="10.5" hidden="1"/>
    <row s="7319" customFormat="1" customHeight="1" ht="10.5" hidden="1">
      <c r="A3" s="1072"/>
      <c r="B3" s="1072"/>
      <c r="C3" s="1072"/>
      <c r="D3" s="580"/>
      <c r="E3" s="512"/>
      <c r="H3" s="1344"/>
    </row>
    <row customHeight="1" ht="3"/>
    <row customHeight="1" ht="30">
      <c r="F5" s="2551" t="s">
        <v>1963</v>
      </c>
      <c r="G5" s="2551"/>
      <c r="H5" s="2551"/>
      <c r="I5" s="2551"/>
      <c r="J5" s="2551"/>
      <c r="K5" s="2551"/>
      <c r="M5" s="746"/>
      <c r="AB5" s="1088"/>
    </row>
    <row s="6130" customFormat="1" customHeight="1" ht="15.75">
      <c r="A6" s="1354"/>
      <c r="B6" s="1354"/>
      <c r="C6" s="1354"/>
      <c r="D6" s="1348"/>
      <c r="E6" s="1875"/>
      <c r="F6" s="25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42"/>
      <c r="H6" s="2542"/>
      <c r="I6" s="2542"/>
      <c r="J6" s="2542"/>
      <c r="K6" s="2542"/>
      <c r="M6" s="746"/>
      <c r="AB6" s="1336"/>
    </row>
    <row r="8" customHeight="1" ht="10.5">
      <c r="A8" s="1237"/>
      <c r="B8" s="1237"/>
      <c r="C8" s="1237"/>
      <c r="F8" s="2063" t="s">
        <v>300</v>
      </c>
      <c r="G8" s="2064"/>
      <c r="H8" s="2064"/>
      <c r="I8" s="2064"/>
      <c r="J8" s="2064"/>
      <c r="K8" s="2064"/>
      <c r="L8" s="2064"/>
      <c r="M8" s="2064"/>
      <c r="N8" s="2064"/>
      <c r="O8" s="2064"/>
      <c r="P8" s="2064"/>
      <c r="Q8" s="2064"/>
      <c r="R8" s="2064"/>
      <c r="S8" s="2064"/>
      <c r="T8" s="2064"/>
      <c r="U8" s="2064"/>
      <c r="V8" s="2064"/>
      <c r="W8" s="2064"/>
      <c r="X8" s="2064"/>
      <c r="Y8" s="2064"/>
      <c r="Z8" s="2064"/>
      <c r="AA8" s="2064"/>
      <c r="AB8" s="2065"/>
    </row>
    <row customHeight="1" ht="41.25">
      <c r="A9" s="1087"/>
      <c r="B9" s="1087"/>
      <c r="C9" s="1087"/>
      <c r="F9" s="2204" t="s">
        <v>87</v>
      </c>
      <c r="G9" s="2204" t="s">
        <v>1964</v>
      </c>
      <c r="H9" s="2221" t="s">
        <v>1965</v>
      </c>
      <c r="I9" s="2204" t="s">
        <v>1966</v>
      </c>
      <c r="J9" s="2204" t="s">
        <v>1967</v>
      </c>
      <c r="K9" s="2204" t="s">
        <v>1968</v>
      </c>
      <c r="L9" s="2204" t="s">
        <v>1969</v>
      </c>
      <c r="M9" s="2204" t="s">
        <v>1970</v>
      </c>
      <c r="N9" s="2552" t="s">
        <v>1971</v>
      </c>
      <c r="O9" s="2552"/>
      <c r="P9" s="2552"/>
      <c r="Q9" s="2543" t="s">
        <v>1972</v>
      </c>
      <c r="R9" s="2544"/>
      <c r="S9" s="2544"/>
      <c r="T9" s="2545"/>
      <c r="U9" s="2543" t="s">
        <v>1973</v>
      </c>
      <c r="V9" s="2544"/>
      <c r="W9" s="2544"/>
      <c r="X9" s="2545"/>
      <c r="Y9" s="2063" t="s">
        <v>1974</v>
      </c>
      <c r="Z9" s="2064"/>
      <c r="AA9" s="2064"/>
      <c r="AB9" s="2065"/>
    </row>
    <row customHeight="1" ht="41.25">
      <c r="A10" s="1087"/>
      <c r="B10" s="1087"/>
      <c r="C10" s="1087"/>
      <c r="F10" s="2221"/>
      <c r="G10" s="2221"/>
      <c r="H10" s="2222"/>
      <c r="I10" s="2221"/>
      <c r="J10" s="2221"/>
      <c r="K10" s="2221"/>
      <c r="L10" s="2221"/>
      <c r="M10" s="2221"/>
      <c r="N10" s="1085" t="s">
        <v>1975</v>
      </c>
      <c r="O10" s="1085" t="s">
        <v>1976</v>
      </c>
      <c r="P10" s="1086" t="s">
        <v>1977</v>
      </c>
      <c r="Q10" s="1097" t="s">
        <v>88</v>
      </c>
      <c r="R10" s="1097" t="s">
        <v>1978</v>
      </c>
      <c r="S10" s="1097" t="s">
        <v>1979</v>
      </c>
      <c r="T10" s="1098" t="s">
        <v>1980</v>
      </c>
      <c r="U10" s="1097" t="s">
        <v>88</v>
      </c>
      <c r="V10" s="1097" t="s">
        <v>1981</v>
      </c>
      <c r="W10" s="1097" t="s">
        <v>1979</v>
      </c>
      <c r="X10" s="1098" t="s">
        <v>1980</v>
      </c>
      <c r="Y10" s="438" t="s">
        <v>1982</v>
      </c>
      <c r="Z10" s="2063" t="s">
        <v>87</v>
      </c>
      <c r="AA10" s="2065"/>
      <c r="AB10" s="1235" t="s">
        <v>1983</v>
      </c>
    </row>
    <row s="6608" customFormat="1" customHeight="1" ht="5.25" hidden="1">
      <c r="A11" s="1238"/>
      <c r="B11" s="1238"/>
      <c r="C11" s="1238"/>
      <c r="E11" s="1236"/>
      <c r="F11" s="2553" t="s">
        <v>378</v>
      </c>
      <c r="G11" s="2547"/>
      <c r="H11" s="2546"/>
      <c r="I11" s="2546"/>
      <c r="J11" s="2546"/>
      <c r="K11" s="2548"/>
      <c r="L11" s="2554"/>
      <c r="M11" s="2554"/>
      <c r="N11" s="2546"/>
      <c r="O11" s="2546"/>
      <c r="P11" s="2396"/>
      <c r="Q11" s="2311"/>
      <c r="R11" s="2311"/>
      <c r="S11" s="2311"/>
      <c r="T11" s="2546"/>
      <c r="U11" s="2311"/>
      <c r="V11" s="2311"/>
      <c r="W11" s="2311"/>
      <c r="X11" s="2546"/>
      <c r="Y11" s="2549"/>
      <c r="Z11" s="2549"/>
      <c r="AA11" s="2549"/>
      <c r="AB11" s="2549"/>
      <c r="AD11" s="675" t="s">
        <v>1984</v>
      </c>
    </row>
    <row s="6608" customFormat="1" customHeight="1" ht="5.25" hidden="1">
      <c r="A12" s="1073"/>
      <c r="B12" s="1073"/>
      <c r="C12" s="1073"/>
      <c r="E12" s="682"/>
      <c r="F12" s="2553"/>
      <c r="G12" s="2547"/>
      <c r="H12" s="2546"/>
      <c r="I12" s="2546"/>
      <c r="J12" s="2546"/>
      <c r="K12" s="2548"/>
      <c r="L12" s="2554"/>
      <c r="M12" s="2554"/>
      <c r="N12" s="2546"/>
      <c r="O12" s="2546"/>
      <c r="P12" s="2396"/>
      <c r="Q12" s="2311"/>
      <c r="R12" s="2311"/>
      <c r="S12" s="2311"/>
      <c r="T12" s="2546"/>
      <c r="U12" s="2311"/>
      <c r="V12" s="2311"/>
      <c r="W12" s="2311"/>
      <c r="X12" s="2546"/>
      <c r="Y12" s="2550"/>
      <c r="Z12" s="2550"/>
      <c r="AA12" s="2550"/>
      <c r="AB12" s="2550"/>
    </row>
    <row customHeight="1" ht="10.5">
      <c r="F13" s="1084"/>
      <c r="G13" s="814" t="s">
        <v>1985</v>
      </c>
      <c r="H13" s="1356"/>
      <c r="I13" s="736"/>
      <c r="J13" s="736"/>
      <c r="K13" s="736"/>
      <c r="L13" s="736"/>
      <c r="M13" s="736"/>
      <c r="N13" s="736"/>
      <c r="O13" s="736"/>
      <c r="P13" s="736"/>
      <c r="Q13" s="736"/>
      <c r="R13" s="736"/>
      <c r="S13" s="736"/>
      <c r="T13" s="736"/>
      <c r="U13" s="736"/>
      <c r="V13" s="736"/>
      <c r="W13" s="736"/>
      <c r="X13" s="736"/>
      <c r="Y13" s="736"/>
      <c r="Z13" s="860"/>
      <c r="AA13" s="860"/>
      <c r="AB13" s="1099"/>
    </row>
    <row r="15" s="6608" customFormat="1" customHeight="1" ht="10.5">
      <c r="A15" s="1355"/>
      <c r="B15" s="1355"/>
      <c r="C15" s="1355"/>
      <c r="E15" s="682"/>
      <c r="H15" s="675">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54BB72-7F77-E8B1-5BE8-D80AEDA1FCEE}"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7347" width="4.140625" hidden="1" customWidth="1"/>
    <col min="4" max="4" style="5368" width="4.140625" hidden="1" customWidth="1"/>
    <col min="5" max="5" style="6905" width="3.7109375" customWidth="1"/>
    <col min="6" max="6" style="5367" width="14.421875" customWidth="1"/>
    <col min="7" max="7" style="5367" width="3.7109375" customWidth="1"/>
    <col min="8" max="8" style="6104" width="7.7109375" customWidth="1"/>
    <col min="9" max="10" style="5367" width="16.7109375" customWidth="1"/>
    <col min="11" max="11" style="5367" width="25.7109375" customWidth="1"/>
    <col min="12" max="12" style="7380" width="8.00390625" customWidth="1"/>
    <col min="13" max="13" style="7380" width="15.57421875" customWidth="1"/>
    <col min="14" max="14" style="5367" width="3.28125" customWidth="1"/>
    <col min="15" max="15" style="5367" width="4.7109375" customWidth="1"/>
    <col min="16" max="16" style="5367" width="9.00390625" customWidth="1"/>
    <col min="17" max="17" style="5367" width="21.7109375" customWidth="1"/>
    <col min="18" max="18" style="5367" width="14.7109375" customWidth="1"/>
    <col min="19" max="20" style="5367" width="17.7109375" customWidth="1"/>
    <col min="21" max="21" style="5367" width="9.7109375" customWidth="1"/>
    <col min="22" max="22" style="5367" width="12.7109375" customWidth="1"/>
    <col min="23" max="23" style="5367" width="9.7109375" customWidth="1"/>
    <col min="24" max="24" style="5367" width="21.7109375" customWidth="1"/>
    <col min="25" max="25" style="5367" width="12.7109375" customWidth="1"/>
    <col min="26" max="26" style="5367" width="3.28125" customWidth="1"/>
    <col min="27" max="27" style="5367" width="7.140625" customWidth="1"/>
    <col min="28" max="28" style="5367" width="38.421875" customWidth="1"/>
    <col min="29" max="29" style="5367" width="15.7109375" customWidth="1"/>
    <col min="30" max="30" style="7380" width="37.57421875" customWidth="1"/>
    <col min="31" max="31" style="5367" width="15.7109375" customWidth="1"/>
    <col min="32" max="33" style="5367" width="16.7109375" customWidth="1"/>
    <col min="34" max="34" style="7401" width="16.7109375" customWidth="1"/>
    <col min="35" max="35" style="7402" width="16.7109375" customWidth="1"/>
    <col min="36" max="37" style="5367" width="16.7109375" customWidth="1"/>
    <col min="38" max="58" style="5367" width="9.140625"/>
  </cols>
  <sheetData>
    <row s="5368" customFormat="1" customHeight="1" ht="10.5" hidden="1">
      <c r="A1" s="1072"/>
      <c r="B1" s="1072"/>
      <c r="C1" s="1072"/>
      <c r="E1" s="701"/>
      <c r="H1" s="1348"/>
      <c r="L1" s="1316"/>
      <c r="M1" s="1316"/>
      <c r="AD1" s="1316"/>
      <c r="AH1" s="1335"/>
      <c r="AI1" s="1328"/>
    </row>
    <row customHeight="1" ht="10.5" hidden="1"/>
    <row s="7319" customFormat="1" customHeight="1" ht="10.5" hidden="1">
      <c r="A3" s="1072"/>
      <c r="B3" s="1072"/>
      <c r="C3" s="1072"/>
      <c r="D3" s="580"/>
      <c r="E3" s="512"/>
      <c r="H3" s="1344"/>
      <c r="L3" s="1314"/>
      <c r="M3" s="1314"/>
      <c r="AD3" s="1314"/>
      <c r="AH3" s="1333"/>
      <c r="AI3" s="1326"/>
    </row>
    <row customHeight="1" ht="3"/>
    <row customHeight="1" ht="30">
      <c r="F5" s="2551" t="s">
        <v>1963</v>
      </c>
      <c r="G5" s="2551"/>
      <c r="H5" s="2551"/>
      <c r="I5" s="2551"/>
      <c r="J5" s="2551"/>
      <c r="K5" s="2551"/>
      <c r="L5" s="1323"/>
      <c r="M5" s="1323"/>
      <c r="AG5" s="1088"/>
      <c r="AH5" s="1336"/>
    </row>
    <row customHeight="1" ht="10.5">
      <c r="F6" s="256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63"/>
      <c r="H6" s="2563"/>
      <c r="I6" s="2563"/>
      <c r="J6" s="2563"/>
      <c r="K6" s="2563"/>
      <c r="L6" s="1324"/>
      <c r="M6" s="1324"/>
    </row>
    <row customHeight="1" ht="11.25">
      <c r="E7" s="1090"/>
      <c r="F7" s="1101"/>
      <c r="G7" s="1101"/>
      <c r="H7" s="1376"/>
      <c r="I7" s="1101"/>
      <c r="J7" s="1101"/>
      <c r="K7" s="1103"/>
      <c r="L7" s="1321"/>
      <c r="M7" s="1321"/>
      <c r="N7" s="1101"/>
      <c r="O7" s="1101"/>
      <c r="P7" s="1101"/>
      <c r="Q7" s="1103"/>
      <c r="R7" s="1101"/>
      <c r="S7" s="1101"/>
      <c r="T7" s="1101"/>
      <c r="U7" s="1101"/>
      <c r="V7" s="1101"/>
      <c r="W7" s="1101"/>
      <c r="X7" s="1101"/>
      <c r="Y7" s="1101"/>
      <c r="Z7" s="1101"/>
      <c r="AA7" s="1101"/>
      <c r="AB7" s="1101"/>
      <c r="AC7" s="1102"/>
      <c r="AD7" s="1320"/>
      <c r="AE7" s="1102"/>
      <c r="AF7" s="1101"/>
      <c r="AG7" s="1101"/>
      <c r="AH7" s="1338"/>
      <c r="AI7" s="1331"/>
      <c r="AJ7" s="1101"/>
      <c r="AK7" s="1101"/>
      <c r="AL7" s="1092"/>
      <c r="AM7" s="1092"/>
      <c r="AN7" s="1092"/>
      <c r="AO7" s="1089"/>
      <c r="AP7" s="1089"/>
      <c r="AQ7" s="1089"/>
      <c r="AR7" s="1089"/>
      <c r="AS7" s="1089"/>
      <c r="AT7" s="1089"/>
      <c r="AU7" s="1089"/>
      <c r="AV7" s="1089"/>
      <c r="AW7" s="1089"/>
      <c r="AX7" s="1089"/>
      <c r="AY7" s="1089"/>
      <c r="AZ7" s="1089"/>
      <c r="BA7" s="1089"/>
      <c r="BB7" s="1089"/>
      <c r="BC7" s="1089"/>
      <c r="BD7" s="1089"/>
      <c r="BE7" s="1089"/>
      <c r="BF7" s="1089"/>
    </row>
    <row customHeight="1" ht="10.5">
      <c r="E8" s="1090"/>
      <c r="F8" s="2564" t="s">
        <v>300</v>
      </c>
      <c r="G8" s="2565"/>
      <c r="H8" s="2565"/>
      <c r="I8" s="2565"/>
      <c r="J8" s="2565"/>
      <c r="K8" s="2565"/>
      <c r="L8" s="2565"/>
      <c r="M8" s="2565"/>
      <c r="N8" s="2565"/>
      <c r="O8" s="2565"/>
      <c r="P8" s="2565"/>
      <c r="Q8" s="2565"/>
      <c r="R8" s="2565"/>
      <c r="S8" s="2565"/>
      <c r="T8" s="2565"/>
      <c r="U8" s="2565"/>
      <c r="V8" s="2565"/>
      <c r="W8" s="2565"/>
      <c r="X8" s="2565"/>
      <c r="Y8" s="2565"/>
      <c r="Z8" s="2565"/>
      <c r="AA8" s="2565"/>
      <c r="AB8" s="2565"/>
      <c r="AC8" s="2565"/>
      <c r="AD8" s="2565"/>
      <c r="AE8" s="2565"/>
      <c r="AF8" s="2565"/>
      <c r="AG8" s="2565"/>
      <c r="AH8" s="2565"/>
      <c r="AI8" s="2565"/>
      <c r="AJ8" s="2565"/>
      <c r="AK8" s="2566"/>
      <c r="AL8" s="1091"/>
      <c r="AM8" s="1089"/>
      <c r="AN8" s="1089"/>
      <c r="AO8" s="1089"/>
      <c r="AP8" s="1089"/>
      <c r="AQ8" s="1089"/>
      <c r="AR8" s="1089"/>
      <c r="AS8" s="1089"/>
      <c r="AT8" s="1089"/>
      <c r="AU8" s="1089"/>
      <c r="AV8" s="1089"/>
      <c r="AW8" s="1089"/>
      <c r="AX8" s="1089"/>
      <c r="AY8" s="1089"/>
      <c r="AZ8" s="1089"/>
      <c r="BA8" s="1089"/>
      <c r="BB8" s="1089"/>
      <c r="BC8" s="1089"/>
      <c r="BD8" s="1089"/>
      <c r="BE8" s="1089"/>
      <c r="BF8" s="1089"/>
    </row>
    <row customHeight="1" ht="23.25">
      <c r="A9" s="1087"/>
      <c r="B9" s="1087"/>
      <c r="C9" s="1087"/>
      <c r="E9" s="1090"/>
      <c r="F9" s="2556" t="s">
        <v>1986</v>
      </c>
      <c r="G9" s="2557" t="s">
        <v>1987</v>
      </c>
      <c r="H9" s="2558"/>
      <c r="I9" s="2204" t="s">
        <v>1988</v>
      </c>
      <c r="J9" s="2204"/>
      <c r="K9" s="2204" t="s">
        <v>1989</v>
      </c>
      <c r="L9" s="2204"/>
      <c r="M9" s="2204"/>
      <c r="N9" s="2204"/>
      <c r="O9" s="2204"/>
      <c r="P9" s="2204"/>
      <c r="Q9" s="2204"/>
      <c r="R9" s="2204"/>
      <c r="S9" s="2204"/>
      <c r="T9" s="2204"/>
      <c r="U9" s="2204"/>
      <c r="V9" s="2204"/>
      <c r="W9" s="2204"/>
      <c r="X9" s="2204"/>
      <c r="Y9" s="2204"/>
      <c r="Z9" s="2217" t="s">
        <v>1990</v>
      </c>
      <c r="AA9" s="2218"/>
      <c r="AB9" s="2204" t="s">
        <v>1991</v>
      </c>
      <c r="AC9" s="2204"/>
      <c r="AD9" s="2204"/>
      <c r="AE9" s="2204"/>
      <c r="AF9" s="2534" t="s">
        <v>1992</v>
      </c>
      <c r="AG9" s="2569" t="s">
        <v>1993</v>
      </c>
      <c r="AH9" s="2569"/>
      <c r="AI9" s="2534" t="s">
        <v>1994</v>
      </c>
      <c r="AJ9" s="2569" t="s">
        <v>1995</v>
      </c>
      <c r="AK9" s="2569"/>
      <c r="AL9" s="1330"/>
      <c r="AM9" s="1089"/>
      <c r="AN9" s="1089"/>
      <c r="AO9" s="1089"/>
      <c r="AP9" s="1089"/>
      <c r="AQ9" s="1089"/>
      <c r="AR9" s="1089"/>
      <c r="AS9" s="1089"/>
      <c r="AT9" s="1089"/>
      <c r="AU9" s="1089"/>
      <c r="AV9" s="1089"/>
      <c r="AW9" s="1089"/>
      <c r="AX9" s="1089"/>
      <c r="AY9" s="1089"/>
      <c r="AZ9" s="1089"/>
      <c r="BA9" s="1089"/>
      <c r="BB9" s="1089"/>
      <c r="BC9" s="1089"/>
      <c r="BD9" s="1089"/>
      <c r="BE9" s="1089"/>
      <c r="BF9" s="1089"/>
    </row>
    <row customHeight="1" ht="23.25">
      <c r="A10" s="1087"/>
      <c r="B10" s="1087"/>
      <c r="C10" s="1087"/>
      <c r="E10" s="1094"/>
      <c r="F10" s="2556"/>
      <c r="G10" s="2559"/>
      <c r="H10" s="2560"/>
      <c r="I10" s="2204"/>
      <c r="J10" s="2204"/>
      <c r="K10" s="2204" t="s">
        <v>1996</v>
      </c>
      <c r="L10" s="2063" t="s">
        <v>1997</v>
      </c>
      <c r="M10" s="2065"/>
      <c r="N10" s="2204" t="s">
        <v>1998</v>
      </c>
      <c r="O10" s="2204"/>
      <c r="P10" s="2204"/>
      <c r="Q10" s="2204"/>
      <c r="R10" s="2204"/>
      <c r="S10" s="2204"/>
      <c r="T10" s="2204"/>
      <c r="U10" s="2204"/>
      <c r="V10" s="2204"/>
      <c r="W10" s="2204"/>
      <c r="X10" s="2204"/>
      <c r="Y10" s="2204"/>
      <c r="Z10" s="2568"/>
      <c r="AA10" s="2480"/>
      <c r="AB10" s="2204"/>
      <c r="AC10" s="2204"/>
      <c r="AD10" s="2204"/>
      <c r="AE10" s="2204"/>
      <c r="AF10" s="2535"/>
      <c r="AG10" s="2569"/>
      <c r="AH10" s="2569"/>
      <c r="AI10" s="2535"/>
      <c r="AJ10" s="2569"/>
      <c r="AK10" s="2569"/>
      <c r="AL10" s="1330"/>
      <c r="AM10" s="1095"/>
      <c r="AN10" s="1095"/>
      <c r="AO10" s="1095"/>
      <c r="AP10" s="1095"/>
      <c r="AQ10" s="1095"/>
      <c r="AR10" s="1095"/>
      <c r="AS10" s="1095"/>
      <c r="AT10" s="1095"/>
      <c r="AU10" s="1095"/>
      <c r="AV10" s="1095"/>
      <c r="AW10" s="1095"/>
      <c r="AX10" s="1095"/>
      <c r="AY10" s="1095"/>
      <c r="AZ10" s="1095"/>
      <c r="BA10" s="1095"/>
      <c r="BB10" s="1095"/>
      <c r="BC10" s="1095"/>
      <c r="BD10" s="1095"/>
      <c r="BE10" s="1095"/>
      <c r="BF10" s="1095"/>
    </row>
    <row s="7380" customFormat="1" customHeight="1" ht="23.25">
      <c r="A11" s="1317"/>
      <c r="B11" s="1317"/>
      <c r="C11" s="1317"/>
      <c r="D11" s="1316"/>
      <c r="E11" s="1318"/>
      <c r="F11" s="2556"/>
      <c r="G11" s="2559"/>
      <c r="H11" s="2560"/>
      <c r="I11" s="2204"/>
      <c r="J11" s="2204"/>
      <c r="K11" s="2204"/>
      <c r="L11" s="2221" t="s">
        <v>1999</v>
      </c>
      <c r="M11" s="2221" t="s">
        <v>2000</v>
      </c>
      <c r="N11" s="2204" t="s">
        <v>2001</v>
      </c>
      <c r="O11" s="2204"/>
      <c r="P11" s="2567" t="s">
        <v>1982</v>
      </c>
      <c r="Q11" s="2567" t="s">
        <v>2002</v>
      </c>
      <c r="R11" s="2567" t="s">
        <v>2003</v>
      </c>
      <c r="S11" s="2567" t="s">
        <v>2004</v>
      </c>
      <c r="T11" s="2567"/>
      <c r="U11" s="2567"/>
      <c r="V11" s="2567"/>
      <c r="W11" s="2567"/>
      <c r="X11" s="2567"/>
      <c r="Y11" s="2567"/>
      <c r="Z11" s="2568"/>
      <c r="AA11" s="2480"/>
      <c r="AB11" s="2204" t="s">
        <v>2005</v>
      </c>
      <c r="AC11" s="2204"/>
      <c r="AD11" s="2063" t="s">
        <v>2006</v>
      </c>
      <c r="AE11" s="2065"/>
      <c r="AF11" s="2535"/>
      <c r="AG11" s="2569"/>
      <c r="AH11" s="2569"/>
      <c r="AI11" s="2535"/>
      <c r="AJ11" s="2569"/>
      <c r="AK11" s="2569"/>
      <c r="AL11" s="1330"/>
      <c r="AM11" s="1315"/>
      <c r="AN11" s="1315"/>
      <c r="AO11" s="1315"/>
      <c r="AP11" s="1315"/>
      <c r="AQ11" s="1315"/>
      <c r="AR11" s="1315"/>
      <c r="AS11" s="1315"/>
      <c r="AT11" s="1315"/>
      <c r="AU11" s="1315"/>
      <c r="AV11" s="1315"/>
      <c r="AW11" s="1315"/>
      <c r="AX11" s="1315"/>
      <c r="AY11" s="1315"/>
      <c r="AZ11" s="1315"/>
      <c r="BA11" s="1315"/>
      <c r="BB11" s="1315"/>
      <c r="BC11" s="1315"/>
      <c r="BD11" s="1315"/>
      <c r="BE11" s="1315"/>
      <c r="BF11" s="1315"/>
    </row>
    <row customHeight="1" ht="33.75">
      <c r="A12" s="1087"/>
      <c r="B12" s="1087"/>
      <c r="C12" s="1087"/>
      <c r="E12" s="1090"/>
      <c r="F12" s="2556"/>
      <c r="G12" s="2561"/>
      <c r="H12" s="2562"/>
      <c r="I12" s="1341" t="s">
        <v>88</v>
      </c>
      <c r="J12" s="1341" t="s">
        <v>2007</v>
      </c>
      <c r="K12" s="2204"/>
      <c r="L12" s="2222"/>
      <c r="M12" s="2222"/>
      <c r="N12" s="2204"/>
      <c r="O12" s="2204"/>
      <c r="P12" s="2567"/>
      <c r="Q12" s="2567"/>
      <c r="R12" s="2567"/>
      <c r="S12" s="1322" t="s">
        <v>85</v>
      </c>
      <c r="T12" s="1322" t="s">
        <v>86</v>
      </c>
      <c r="U12" s="1322" t="s">
        <v>84</v>
      </c>
      <c r="V12" s="1322" t="s">
        <v>2008</v>
      </c>
      <c r="W12" s="1322" t="s">
        <v>84</v>
      </c>
      <c r="X12" s="1322" t="s">
        <v>2009</v>
      </c>
      <c r="Y12" s="1322" t="s">
        <v>2010</v>
      </c>
      <c r="Z12" s="2219"/>
      <c r="AA12" s="2220"/>
      <c r="AB12" s="1329" t="s">
        <v>2011</v>
      </c>
      <c r="AC12" s="1329" t="s">
        <v>2012</v>
      </c>
      <c r="AD12" s="1329" t="s">
        <v>2011</v>
      </c>
      <c r="AE12" s="1329" t="s">
        <v>2012</v>
      </c>
      <c r="AF12" s="2536"/>
      <c r="AG12" s="1342" t="s">
        <v>2013</v>
      </c>
      <c r="AH12" s="1342" t="s">
        <v>2014</v>
      </c>
      <c r="AI12" s="2536"/>
      <c r="AJ12" s="1342" t="s">
        <v>2013</v>
      </c>
      <c r="AK12" s="1342" t="s">
        <v>2014</v>
      </c>
      <c r="AL12" s="1330"/>
      <c r="AM12" s="1089"/>
      <c r="AN12" s="1089"/>
      <c r="AO12" s="1089"/>
      <c r="AP12" s="1089"/>
      <c r="AQ12" s="1089"/>
      <c r="AR12" s="1089"/>
      <c r="AS12" s="1089"/>
      <c r="AT12" s="1089"/>
      <c r="AU12" s="1089"/>
      <c r="AV12" s="1089"/>
      <c r="AW12" s="1089"/>
      <c r="AX12" s="1089"/>
      <c r="AY12" s="1089"/>
      <c r="AZ12" s="1089"/>
      <c r="BA12" s="1089"/>
      <c r="BB12" s="1089"/>
      <c r="BC12" s="1089"/>
      <c r="BD12" s="1089"/>
      <c r="BE12" s="1089"/>
      <c r="BF12" s="1089"/>
    </row>
    <row customHeight="1" ht="0.75">
      <c r="E13" s="1090"/>
      <c r="F13" s="1312">
        <v>0</v>
      </c>
      <c r="G13" s="1312"/>
      <c r="H13" s="1312"/>
      <c r="I13" s="1312"/>
      <c r="J13" s="1312"/>
      <c r="K13" s="1319"/>
      <c r="L13" s="1319"/>
      <c r="M13" s="1319"/>
      <c r="N13" s="1319"/>
      <c r="O13" s="1319"/>
      <c r="P13" s="1319"/>
      <c r="Q13" s="1319"/>
      <c r="R13" s="1319"/>
      <c r="S13" s="1319"/>
      <c r="T13" s="1319"/>
      <c r="U13" s="1319"/>
      <c r="V13" s="1319"/>
      <c r="W13" s="1319"/>
      <c r="X13" s="1319"/>
      <c r="Y13" s="1319"/>
      <c r="Z13" s="1319"/>
      <c r="AA13" s="1319"/>
      <c r="AB13" s="1319"/>
      <c r="AC13" s="1319"/>
      <c r="AD13" s="1319"/>
      <c r="AE13" s="1319"/>
      <c r="AF13" s="1319"/>
      <c r="AG13" s="1319"/>
      <c r="AH13" s="1337"/>
      <c r="AI13" s="1330"/>
      <c r="AJ13" s="1319"/>
      <c r="AK13" s="1319"/>
      <c r="AL13" s="1091"/>
      <c r="AM13" s="1089"/>
      <c r="AN13" s="1089"/>
      <c r="AO13" s="1089"/>
      <c r="AP13" s="1089"/>
      <c r="AQ13" s="1089"/>
      <c r="AR13" s="1089"/>
      <c r="AS13" s="1089"/>
      <c r="AT13" s="1089"/>
      <c r="AU13" s="1089"/>
      <c r="AV13" s="1089"/>
      <c r="AW13" s="1089"/>
      <c r="AX13" s="1089"/>
      <c r="AY13" s="1089"/>
      <c r="AZ13" s="1089"/>
      <c r="BA13" s="1089"/>
      <c r="BB13" s="1089"/>
      <c r="BC13" s="1089"/>
      <c r="BD13" s="1089"/>
      <c r="BE13" s="1089"/>
      <c r="BF13" s="1089"/>
    </row>
    <row customHeight="1" ht="10.5">
      <c r="E14" s="1089"/>
      <c r="F14" s="1100"/>
      <c r="G14" s="1100"/>
      <c r="H14" s="1361"/>
      <c r="I14" s="1100"/>
      <c r="J14" s="1100"/>
      <c r="K14" s="1100"/>
      <c r="L14" s="1319"/>
      <c r="M14" s="1319"/>
      <c r="N14" s="1100"/>
      <c r="O14" s="1100"/>
      <c r="P14" s="1100"/>
      <c r="Q14" s="1100"/>
      <c r="R14" s="1100"/>
      <c r="S14" s="1100"/>
      <c r="T14" s="1100"/>
      <c r="U14" s="1100"/>
      <c r="V14" s="1100"/>
      <c r="W14" s="1100"/>
      <c r="X14" s="1100"/>
      <c r="Y14" s="1100"/>
      <c r="Z14" s="1100"/>
      <c r="AA14" s="1100"/>
      <c r="AB14" s="1100"/>
      <c r="AC14" s="1100"/>
      <c r="AD14" s="1319"/>
      <c r="AE14" s="1100"/>
      <c r="AF14" s="1100"/>
      <c r="AG14" s="1100"/>
      <c r="AH14" s="1337"/>
      <c r="AI14" s="1330"/>
      <c r="AJ14" s="1100"/>
      <c r="AK14" s="1100"/>
      <c r="AL14" s="1089"/>
      <c r="AM14" s="1089"/>
      <c r="AN14" s="1089"/>
      <c r="AO14" s="1089"/>
      <c r="AP14" s="1089"/>
      <c r="AQ14" s="1089"/>
      <c r="AR14" s="1089"/>
      <c r="AS14" s="1089"/>
      <c r="AT14" s="1089"/>
      <c r="AU14" s="1089"/>
      <c r="AV14" s="1089"/>
      <c r="AW14" s="1089"/>
      <c r="AX14" s="1089"/>
      <c r="AY14" s="1089"/>
      <c r="AZ14" s="1089"/>
      <c r="BA14" s="1089"/>
      <c r="BB14" s="1089"/>
      <c r="BC14" s="1089"/>
      <c r="BD14" s="1089"/>
      <c r="BE14" s="1089"/>
      <c r="BF14" s="1089"/>
    </row>
    <row customHeight="1" ht="12.75">
      <c r="E15" s="1089"/>
      <c r="F15" s="1096" t="s">
        <v>2015</v>
      </c>
      <c r="G15" s="1096"/>
      <c r="H15" s="1360"/>
      <c r="I15" s="1096"/>
      <c r="J15" s="1096"/>
      <c r="K15" s="1093"/>
      <c r="L15" s="1315"/>
      <c r="M15" s="1315"/>
      <c r="N15" s="1095"/>
      <c r="O15" s="1095"/>
      <c r="P15" s="1095"/>
      <c r="Q15" s="1095"/>
      <c r="R15" s="1095"/>
      <c r="S15" s="1095"/>
      <c r="T15" s="1095"/>
      <c r="U15" s="1095"/>
      <c r="V15" s="1095"/>
      <c r="W15" s="1095"/>
      <c r="X15" s="1095"/>
      <c r="Y15" s="1095"/>
      <c r="Z15" s="1093"/>
      <c r="AA15" s="1093"/>
      <c r="AB15" s="1093"/>
      <c r="AC15" s="1093"/>
      <c r="AD15" s="1315"/>
      <c r="AE15" s="1093"/>
      <c r="AF15" s="1093"/>
      <c r="AG15" s="1093"/>
      <c r="AH15" s="1334"/>
      <c r="AI15" s="1327"/>
      <c r="AJ15" s="1093"/>
      <c r="AK15" s="1093"/>
      <c r="AL15" s="1089"/>
      <c r="AM15" s="1089"/>
      <c r="AN15" s="1089"/>
      <c r="AO15" s="1089"/>
      <c r="AP15" s="1089"/>
      <c r="AQ15" s="1089"/>
      <c r="AR15" s="1089"/>
      <c r="AS15" s="1089"/>
      <c r="AT15" s="1089"/>
      <c r="AU15" s="1089"/>
      <c r="AV15" s="1089"/>
      <c r="AW15" s="1089"/>
      <c r="AX15" s="1089"/>
      <c r="AY15" s="1089"/>
      <c r="AZ15" s="1089"/>
      <c r="BA15" s="1089"/>
      <c r="BB15" s="1089"/>
      <c r="BC15" s="1089"/>
      <c r="BD15" s="1089"/>
      <c r="BE15" s="1089"/>
      <c r="BF15" s="1089"/>
    </row>
    <row r="17" customHeight="1" ht="10.5">
      <c r="E17" s="1089"/>
      <c r="F17" s="2555"/>
      <c r="G17" s="2555"/>
      <c r="H17" s="2555"/>
      <c r="I17" s="2555"/>
      <c r="J17" s="2555"/>
      <c r="K17" s="1093"/>
      <c r="L17" s="1315"/>
      <c r="M17" s="1315"/>
      <c r="N17" s="1095"/>
      <c r="O17" s="1095"/>
      <c r="P17" s="1095"/>
      <c r="Q17" s="1095"/>
      <c r="R17" s="1095"/>
      <c r="S17" s="1095"/>
      <c r="T17" s="1095"/>
      <c r="U17" s="1095"/>
      <c r="V17" s="1095"/>
      <c r="W17" s="1095"/>
      <c r="X17" s="1095"/>
      <c r="Y17" s="1095"/>
      <c r="Z17" s="1093"/>
      <c r="AA17" s="1093"/>
      <c r="AB17" s="1093"/>
      <c r="AC17" s="1093"/>
      <c r="AD17" s="1315"/>
      <c r="AE17" s="1093"/>
      <c r="AF17" s="1093"/>
      <c r="AG17" s="1093"/>
      <c r="AH17" s="1334"/>
      <c r="AI17" s="1327"/>
      <c r="AJ17" s="1093"/>
      <c r="AK17" s="1093"/>
      <c r="AL17" s="1089"/>
      <c r="AM17" s="1089"/>
      <c r="AN17" s="1089"/>
      <c r="AO17" s="1089"/>
      <c r="AP17" s="1089"/>
      <c r="AQ17" s="1089"/>
      <c r="AR17" s="1089"/>
      <c r="AS17" s="1089"/>
      <c r="AT17" s="1089"/>
      <c r="AU17" s="1089"/>
      <c r="AV17" s="1089"/>
      <c r="AW17" s="1089"/>
      <c r="AX17" s="1089"/>
      <c r="AY17" s="1089"/>
      <c r="AZ17" s="1089"/>
      <c r="BA17" s="1089"/>
      <c r="BB17" s="1089"/>
      <c r="BC17" s="1089"/>
      <c r="BD17" s="1089"/>
      <c r="BE17" s="1089"/>
      <c r="BF17" s="1089"/>
    </row>
    <row customHeight="1" ht="10.5">
      <c r="E18" s="1089"/>
      <c r="F18" s="2555"/>
      <c r="G18" s="2555"/>
      <c r="H18" s="2555"/>
      <c r="I18" s="2555"/>
      <c r="J18" s="2555"/>
      <c r="K18" s="1093"/>
      <c r="L18" s="1315"/>
      <c r="M18" s="1315"/>
      <c r="N18" s="1095"/>
      <c r="O18" s="1095"/>
      <c r="P18" s="1095"/>
      <c r="Q18" s="1095"/>
      <c r="R18" s="1095"/>
      <c r="S18" s="1095"/>
      <c r="T18" s="1095"/>
      <c r="U18" s="1095"/>
      <c r="V18" s="1095"/>
      <c r="W18" s="1095"/>
      <c r="X18" s="1095"/>
      <c r="Y18" s="1095"/>
      <c r="Z18" s="1093"/>
      <c r="AA18" s="1093"/>
      <c r="AB18" s="1093"/>
      <c r="AC18" s="1093"/>
      <c r="AD18" s="1315"/>
      <c r="AE18" s="1093"/>
      <c r="AF18" s="1093"/>
      <c r="AG18" s="1093"/>
      <c r="AH18" s="1334"/>
      <c r="AI18" s="1327"/>
      <c r="AJ18" s="1093"/>
      <c r="AK18" s="1093"/>
      <c r="AL18" s="1089"/>
      <c r="AM18" s="1089"/>
      <c r="AN18" s="1089"/>
      <c r="AO18" s="1089"/>
      <c r="AP18" s="1089"/>
      <c r="AQ18" s="1089"/>
      <c r="AR18" s="1089"/>
      <c r="AS18" s="1089"/>
      <c r="AT18" s="1089"/>
      <c r="AU18" s="1089"/>
      <c r="AV18" s="1089"/>
      <c r="AW18" s="1089"/>
      <c r="AX18" s="1089"/>
      <c r="AY18" s="1089"/>
      <c r="AZ18" s="1089"/>
      <c r="BA18" s="1089"/>
      <c r="BB18" s="1089"/>
      <c r="BC18" s="1089"/>
      <c r="BD18" s="1089"/>
      <c r="BE18" s="1089"/>
      <c r="BF18" s="1089"/>
    </row>
    <row customHeight="1" ht="10.5">
      <c r="E19" s="1089"/>
      <c r="F19" s="2555"/>
      <c r="G19" s="2555"/>
      <c r="H19" s="2555"/>
      <c r="I19" s="2555"/>
      <c r="J19" s="2555"/>
      <c r="K19" s="1093"/>
      <c r="L19" s="1315"/>
      <c r="M19" s="1315"/>
      <c r="N19" s="1095"/>
      <c r="O19" s="1095"/>
      <c r="P19" s="1095"/>
      <c r="Q19" s="1095"/>
      <c r="R19" s="1095"/>
      <c r="S19" s="1095"/>
      <c r="T19" s="1095"/>
      <c r="U19" s="1095"/>
      <c r="V19" s="1095"/>
      <c r="W19" s="1095"/>
      <c r="X19" s="1095"/>
      <c r="Y19" s="1095"/>
      <c r="Z19" s="1093"/>
      <c r="AA19" s="1093"/>
      <c r="AB19" s="1093"/>
      <c r="AC19" s="1093"/>
      <c r="AD19" s="1315"/>
      <c r="AE19" s="1093"/>
      <c r="AF19" s="1093"/>
      <c r="AG19" s="1093"/>
      <c r="AH19" s="1334"/>
      <c r="AI19" s="1327"/>
      <c r="AJ19" s="1093"/>
      <c r="AK19" s="1093"/>
      <c r="AL19" s="1089"/>
      <c r="AM19" s="1089"/>
      <c r="AN19" s="1089"/>
      <c r="AO19" s="1089"/>
      <c r="AP19" s="1089"/>
      <c r="AQ19" s="1089"/>
      <c r="AR19" s="1089"/>
      <c r="AS19" s="1089"/>
      <c r="AT19" s="1089"/>
      <c r="AU19" s="1089"/>
      <c r="AV19" s="1089"/>
      <c r="AW19" s="1089"/>
      <c r="AX19" s="1089"/>
      <c r="AY19" s="1089"/>
      <c r="AZ19" s="1089"/>
      <c r="BA19" s="1089"/>
      <c r="BB19" s="1089"/>
      <c r="BC19" s="1089"/>
      <c r="BD19" s="1089"/>
      <c r="BE19" s="1089"/>
      <c r="BF19" s="1089"/>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B5662F-A442-1B94-FC1D-04AA600FD138}"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7430" width="4.140625" hidden="1" customWidth="1"/>
    <col min="4" max="4" style="6539" width="4.140625" hidden="1" customWidth="1"/>
    <col min="5" max="5" style="6905" width="3.7109375" customWidth="1"/>
    <col min="6" max="6" style="6104" width="6.28125" customWidth="1"/>
    <col min="7" max="7" style="6104" width="60.140625" customWidth="1"/>
    <col min="8" max="9" style="6104" width="21.7109375" hidden="1" customWidth="1"/>
    <col min="10" max="10" style="6104" width="0.140625" customWidth="1"/>
    <col min="11" max="11" style="6104" width="1.7109375" customWidth="1"/>
    <col min="12" max="22" style="6104" width="9.140625"/>
  </cols>
  <sheetData>
    <row s="6539" customFormat="1" customHeight="1" ht="10.5" hidden="1">
      <c r="A1" s="1354"/>
      <c r="B1" s="1354"/>
      <c r="C1" s="1354"/>
      <c r="E1" s="701"/>
    </row>
    <row customHeight="1" ht="10.5" hidden="1"/>
    <row s="7403" customFormat="1" customHeight="1" ht="10.5" hidden="1">
      <c r="A3" s="1354"/>
      <c r="B3" s="1354"/>
      <c r="C3" s="1354"/>
      <c r="D3" s="1348"/>
      <c r="E3" s="512"/>
    </row>
    <row customHeight="1" ht="3"/>
    <row customHeight="1" ht="30">
      <c r="F5" s="2551" t="s">
        <v>2016</v>
      </c>
      <c r="G5" s="2551"/>
      <c r="H5" s="2551"/>
      <c r="I5" s="2551"/>
      <c r="J5" s="2551"/>
    </row>
    <row customHeight="1" ht="10.5">
      <c r="F6" s="2563"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63"/>
      <c r="H6" s="2563"/>
      <c r="I6" s="2563"/>
      <c r="J6" s="2563"/>
    </row>
    <row customHeight="1" ht="11.25">
      <c r="E7" s="1358"/>
      <c r="F7" s="1432"/>
      <c r="G7" s="1432"/>
      <c r="H7" s="1432"/>
      <c r="I7" s="1432"/>
      <c r="J7" s="1432"/>
      <c r="K7" s="1345"/>
      <c r="L7" s="1345"/>
      <c r="M7" s="1345"/>
      <c r="N7" s="1345"/>
      <c r="O7" s="1345"/>
      <c r="P7" s="1345"/>
      <c r="Q7" s="1345"/>
      <c r="R7" s="1345"/>
      <c r="S7" s="1345"/>
      <c r="T7" s="1345"/>
      <c r="U7" s="1345"/>
      <c r="V7" s="1345"/>
    </row>
    <row s="6608" customFormat="1" customHeight="1" ht="5.25">
      <c r="A8" s="1355"/>
      <c r="B8" s="1355"/>
      <c r="C8" s="1355"/>
      <c r="E8" s="1433"/>
      <c r="F8" s="1434"/>
      <c r="G8" s="1434"/>
      <c r="H8" s="1434"/>
      <c r="I8" s="1434"/>
      <c r="J8" s="1434"/>
      <c r="K8" s="1433"/>
      <c r="L8" s="1433"/>
      <c r="M8" s="1433"/>
      <c r="N8" s="1433"/>
      <c r="O8" s="1433"/>
      <c r="P8" s="1433"/>
      <c r="Q8" s="1433"/>
      <c r="R8" s="1433"/>
      <c r="S8" s="1433"/>
      <c r="T8" s="1433"/>
      <c r="U8" s="1433"/>
      <c r="V8" s="1433"/>
    </row>
    <row customHeight="1" ht="10.5">
      <c r="E9" s="1358"/>
      <c r="F9" s="2570" t="s">
        <v>300</v>
      </c>
      <c r="G9" s="2571"/>
      <c r="H9" s="2571"/>
      <c r="I9" s="2571"/>
      <c r="J9" s="2571"/>
      <c r="K9" s="1445"/>
      <c r="L9" s="1345"/>
      <c r="M9" s="1345"/>
      <c r="N9" s="1345"/>
      <c r="O9" s="1345"/>
      <c r="P9" s="1345"/>
      <c r="Q9" s="1345"/>
      <c r="R9" s="1345"/>
      <c r="S9" s="1345"/>
      <c r="T9" s="1345"/>
      <c r="U9" s="1345"/>
      <c r="V9" s="1345"/>
    </row>
    <row customHeight="1" ht="24">
      <c r="E10" s="1345"/>
      <c r="F10" s="2574" t="s">
        <v>87</v>
      </c>
      <c r="G10" s="2579" t="s">
        <v>2017</v>
      </c>
      <c r="H10" s="2577" t="s">
        <v>2018</v>
      </c>
      <c r="I10" s="2577"/>
      <c r="J10" s="2577"/>
      <c r="K10" s="1438"/>
      <c r="L10" s="1345"/>
      <c r="M10" s="1345"/>
      <c r="N10" s="1345"/>
      <c r="O10" s="1345"/>
      <c r="P10" s="1345"/>
      <c r="Q10" s="1345"/>
      <c r="R10" s="1345"/>
      <c r="S10" s="1345"/>
      <c r="T10" s="1345"/>
      <c r="U10" s="1345"/>
      <c r="V10" s="1345"/>
    </row>
    <row customHeight="1" ht="24">
      <c r="E11" s="1345"/>
      <c r="F11" s="2575"/>
      <c r="G11" s="2579"/>
      <c r="H11" s="2578">
        <f>INDEX(IP_MAIN_LIST_NAME_IP,MATCH(H8,IP_MAIN_LIST_IP_ID,0))&amp;" ("&amp;INDEX(IP_MAIN_START_DATE,MATCH(H8,IP_MAIN_LIST_IP_ID,0))&amp;"-"&amp;INDEX(IP_MAIN_END_DATE,MATCH(H8,IP_MAIN_LIST_IP_ID,0))&amp;")"</f>
      </c>
      <c r="I11" s="2578"/>
      <c r="J11" s="2578"/>
      <c r="K11" s="1438"/>
      <c r="L11" s="1345"/>
      <c r="M11" s="1345"/>
      <c r="N11" s="1345"/>
      <c r="O11" s="1345"/>
      <c r="P11" s="1345"/>
      <c r="Q11" s="1345"/>
      <c r="R11" s="1345"/>
      <c r="S11" s="1345"/>
      <c r="T11" s="1345"/>
      <c r="U11" s="1345"/>
      <c r="V11" s="1345"/>
    </row>
    <row customHeight="1" ht="10.5">
      <c r="F12" s="2576"/>
      <c r="G12" s="2579"/>
      <c r="H12" s="1431" t="s">
        <v>2019</v>
      </c>
      <c r="I12" s="1437"/>
      <c r="J12" s="1431"/>
      <c r="K12" s="1439"/>
    </row>
    <row customHeight="1" ht="10.5" hidden="1">
      <c r="F13" s="1431">
        <v>1</v>
      </c>
      <c r="G13" s="1431">
        <v>2</v>
      </c>
      <c r="H13" s="1431">
        <v>3</v>
      </c>
      <c r="I13" s="1431">
        <v>4</v>
      </c>
      <c r="J13" s="1431">
        <v>5</v>
      </c>
      <c r="K13" s="1439"/>
    </row>
    <row customHeight="1" ht="11.25">
      <c r="F14" s="1430" t="s">
        <v>1227</v>
      </c>
      <c r="G14" s="2572" t="s">
        <v>2020</v>
      </c>
      <c r="H14" s="2572"/>
      <c r="I14" s="2572"/>
      <c r="J14" s="2572"/>
      <c r="K14" s="1439"/>
    </row>
    <row customHeight="1" ht="11.25">
      <c r="F15" s="1435">
        <v>1</v>
      </c>
      <c r="G15" s="854" t="s">
        <v>2021</v>
      </c>
      <c r="H15" s="1441">
        <f>SUM(I15:J15)</f>
        <v>0</v>
      </c>
      <c r="I15" s="1441">
        <f>SUM(I16:I27)</f>
        <v>0</v>
      </c>
      <c r="J15" s="1430"/>
      <c r="K15" s="1439"/>
    </row>
    <row customHeight="1" ht="22.5">
      <c r="F16" s="1435" t="s">
        <v>627</v>
      </c>
      <c r="G16" s="1442" t="s">
        <v>1180</v>
      </c>
      <c r="H16" s="1441">
        <f>SUM(I16:J16)</f>
        <v>0</v>
      </c>
      <c r="I16" s="1440"/>
      <c r="J16" s="1430"/>
      <c r="K16" s="1439"/>
    </row>
    <row customHeight="1" ht="22.5">
      <c r="F17" s="1435" t="s">
        <v>633</v>
      </c>
      <c r="G17" s="1442" t="s">
        <v>1185</v>
      </c>
      <c r="H17" s="1441">
        <f>SUM(I17:J17)</f>
        <v>0</v>
      </c>
      <c r="I17" s="1440"/>
      <c r="J17" s="1430"/>
      <c r="K17" s="1439"/>
    </row>
    <row customHeight="1" ht="33.75">
      <c r="F18" s="1435" t="s">
        <v>1457</v>
      </c>
      <c r="G18" s="1442" t="s">
        <v>1173</v>
      </c>
      <c r="H18" s="1441">
        <f>SUM(I18:J18)</f>
        <v>0</v>
      </c>
      <c r="I18" s="1440"/>
      <c r="J18" s="1430"/>
      <c r="K18" s="1439"/>
    </row>
    <row customHeight="1" ht="33.75">
      <c r="F19" s="1435" t="s">
        <v>2022</v>
      </c>
      <c r="G19" s="1442" t="s">
        <v>1211</v>
      </c>
      <c r="H19" s="1441">
        <f>SUM(I19:J19)</f>
        <v>0</v>
      </c>
      <c r="I19" s="1440"/>
      <c r="J19" s="1430"/>
      <c r="K19" s="1439"/>
    </row>
    <row customHeight="1" ht="45">
      <c r="F20" s="1435" t="s">
        <v>2023</v>
      </c>
      <c r="G20" s="1442" t="s">
        <v>1214</v>
      </c>
      <c r="H20" s="1441">
        <f>SUM(I20:J20)</f>
        <v>0</v>
      </c>
      <c r="I20" s="1440"/>
      <c r="J20" s="1430"/>
      <c r="K20" s="1439"/>
    </row>
    <row customHeight="1" ht="33.75">
      <c r="F21" s="1435" t="s">
        <v>2024</v>
      </c>
      <c r="G21" s="1442" t="s">
        <v>1220</v>
      </c>
      <c r="H21" s="1441">
        <f>SUM(I21:J21)</f>
        <v>0</v>
      </c>
      <c r="I21" s="1440"/>
      <c r="J21" s="1430"/>
      <c r="K21" s="1439"/>
    </row>
    <row customHeight="1" ht="33.75">
      <c r="F22" s="1435" t="s">
        <v>2025</v>
      </c>
      <c r="G22" s="1442" t="s">
        <v>1225</v>
      </c>
      <c r="H22" s="1441">
        <f>SUM(I22:J22)</f>
        <v>0</v>
      </c>
      <c r="I22" s="1440"/>
      <c r="J22" s="1430"/>
      <c r="K22" s="1439"/>
    </row>
    <row customHeight="1" ht="22.5">
      <c r="F23" s="1435" t="s">
        <v>2026</v>
      </c>
      <c r="G23" s="1442" t="s">
        <v>1229</v>
      </c>
      <c r="H23" s="1441">
        <f>SUM(I23:J23)</f>
        <v>0</v>
      </c>
      <c r="I23" s="1440"/>
      <c r="J23" s="1430"/>
      <c r="K23" s="1439"/>
    </row>
    <row customHeight="1" ht="22.5">
      <c r="F24" s="1435" t="s">
        <v>2027</v>
      </c>
      <c r="G24" s="1442" t="s">
        <v>1206</v>
      </c>
      <c r="H24" s="1441">
        <f>SUM(I24:J24)</f>
        <v>0</v>
      </c>
      <c r="I24" s="1440"/>
      <c r="J24" s="1430"/>
      <c r="K24" s="1439"/>
    </row>
    <row customHeight="1" ht="33.75">
      <c r="F25" s="1435" t="s">
        <v>2028</v>
      </c>
      <c r="G25" s="1442" t="s">
        <v>1266</v>
      </c>
      <c r="H25" s="1441">
        <f>SUM(I25:J25)</f>
        <v>0</v>
      </c>
      <c r="I25" s="1440"/>
      <c r="J25" s="1430"/>
      <c r="K25" s="1439"/>
    </row>
    <row customHeight="1" ht="33.75">
      <c r="F26" s="1435" t="s">
        <v>2029</v>
      </c>
      <c r="G26" s="1442" t="s">
        <v>1268</v>
      </c>
      <c r="H26" s="1441">
        <f>SUM(I26:J26)</f>
        <v>0</v>
      </c>
      <c r="I26" s="1440"/>
      <c r="J26" s="1430"/>
      <c r="K26" s="1439"/>
    </row>
    <row customHeight="1" ht="11.25">
      <c r="F27" s="1435" t="s">
        <v>2030</v>
      </c>
      <c r="G27" s="1442" t="s">
        <v>1184</v>
      </c>
      <c r="H27" s="1441">
        <f>SUM(I27:J27)</f>
        <v>0</v>
      </c>
      <c r="I27" s="1440"/>
      <c r="J27" s="1430"/>
      <c r="K27" s="1439"/>
    </row>
    <row customHeight="1" ht="11.25">
      <c r="F28" s="1435">
        <v>2</v>
      </c>
      <c r="G28" s="854" t="s">
        <v>2031</v>
      </c>
      <c r="H28" s="1441">
        <f>SUM(I28:J28)</f>
        <v>0</v>
      </c>
      <c r="I28" s="1441">
        <f>SUM(I29:I31)</f>
        <v>0</v>
      </c>
      <c r="J28" s="1430"/>
      <c r="K28" s="1439"/>
    </row>
    <row customHeight="1" ht="11.25">
      <c r="F29" s="1435" t="s">
        <v>512</v>
      </c>
      <c r="G29" s="1442" t="s">
        <v>2032</v>
      </c>
      <c r="H29" s="1441">
        <f>SUM(I29:J29)</f>
        <v>0</v>
      </c>
      <c r="I29" s="1440"/>
      <c r="J29" s="1430"/>
      <c r="K29" s="1439"/>
    </row>
    <row customHeight="1" ht="11.25">
      <c r="F30" s="1435" t="s">
        <v>307</v>
      </c>
      <c r="G30" s="1442" t="s">
        <v>1181</v>
      </c>
      <c r="H30" s="1441">
        <f>SUM(I30:J30)</f>
        <v>0</v>
      </c>
      <c r="I30" s="1440"/>
      <c r="J30" s="1430"/>
      <c r="K30" s="1439"/>
    </row>
    <row customHeight="1" ht="11.25">
      <c r="F31" s="1435" t="s">
        <v>310</v>
      </c>
      <c r="G31" s="1442" t="s">
        <v>1224</v>
      </c>
      <c r="H31" s="1441">
        <f>SUM(I31:J31)</f>
        <v>0</v>
      </c>
      <c r="I31" s="1440"/>
      <c r="J31" s="1430"/>
      <c r="K31" s="1439"/>
    </row>
    <row customHeight="1" ht="11.25">
      <c r="F32" s="1435">
        <v>3</v>
      </c>
      <c r="G32" s="854" t="s">
        <v>2033</v>
      </c>
      <c r="H32" s="1441">
        <f>SUM(I32:J32)</f>
        <v>0</v>
      </c>
      <c r="I32" s="1441">
        <f>SUM(I33:I34)</f>
        <v>0</v>
      </c>
      <c r="J32" s="1430"/>
      <c r="K32" s="1439"/>
    </row>
    <row customHeight="1" ht="33.75">
      <c r="F33" s="1435" t="s">
        <v>326</v>
      </c>
      <c r="G33" s="1442" t="s">
        <v>2034</v>
      </c>
      <c r="H33" s="1441">
        <f>SUM(I33:J33)</f>
        <v>0</v>
      </c>
      <c r="I33" s="1440"/>
      <c r="J33" s="1430"/>
      <c r="K33" s="1439"/>
    </row>
    <row customHeight="1" ht="11.25">
      <c r="F34" s="1435" t="s">
        <v>334</v>
      </c>
      <c r="G34" s="1442" t="s">
        <v>2035</v>
      </c>
      <c r="H34" s="1441">
        <f>SUM(I34:J34)</f>
        <v>0</v>
      </c>
      <c r="I34" s="1440"/>
      <c r="J34" s="1430"/>
      <c r="K34" s="1439"/>
    </row>
    <row customHeight="1" ht="11.25">
      <c r="F35" s="1435">
        <v>4</v>
      </c>
      <c r="G35" s="854" t="s">
        <v>2036</v>
      </c>
      <c r="H35" s="1441">
        <f>SUM(I35:J35)</f>
        <v>0</v>
      </c>
      <c r="I35" s="1440"/>
      <c r="J35" s="1430"/>
      <c r="K35" s="1439"/>
    </row>
    <row customHeight="1" ht="11.25">
      <c r="F36" s="1435"/>
      <c r="G36" s="857" t="s">
        <v>2037</v>
      </c>
      <c r="H36" s="1441">
        <f>SUM(I36:J36)</f>
        <v>0</v>
      </c>
      <c r="I36" s="1441">
        <f>SUM(I15,I28,I32,I35)</f>
        <v>0</v>
      </c>
      <c r="J36" s="1430"/>
      <c r="K36" s="1439"/>
    </row>
    <row customHeight="1" ht="27.75">
      <c r="F37" s="1436" t="s">
        <v>1357</v>
      </c>
      <c r="G37" s="2573" t="s">
        <v>2038</v>
      </c>
      <c r="H37" s="2573"/>
      <c r="I37" s="2573"/>
      <c r="J37" s="2573"/>
      <c r="K37" s="1439"/>
    </row>
    <row customHeight="1" ht="22.5">
      <c r="F38" s="1435" t="s">
        <v>118</v>
      </c>
      <c r="G38" s="854" t="s">
        <v>2039</v>
      </c>
      <c r="H38" s="1441">
        <f>SUM(I38:J38)</f>
        <v>0</v>
      </c>
      <c r="I38" s="1441">
        <f>SUM(I39,I44,I47)</f>
        <v>0</v>
      </c>
      <c r="J38" s="1430"/>
      <c r="K38" s="1439"/>
    </row>
    <row customHeight="1" ht="11.25">
      <c r="F39" s="1435" t="s">
        <v>627</v>
      </c>
      <c r="G39" s="1442" t="s">
        <v>2021</v>
      </c>
      <c r="H39" s="1441">
        <f>SUM(I39:J39)</f>
        <v>0</v>
      </c>
      <c r="I39" s="1441">
        <f>SUM(I40:I43)</f>
        <v>0</v>
      </c>
      <c r="J39" s="1430"/>
      <c r="K39" s="1439"/>
    </row>
    <row customHeight="1" ht="22.5">
      <c r="F40" s="1435" t="s">
        <v>1453</v>
      </c>
      <c r="G40" s="1443" t="s">
        <v>2040</v>
      </c>
      <c r="H40" s="1441">
        <f>SUM(I40:J40)</f>
        <v>0</v>
      </c>
      <c r="I40" s="1440"/>
      <c r="J40" s="1430"/>
      <c r="K40" s="1439"/>
    </row>
    <row customHeight="1" ht="11.25">
      <c r="F41" s="1435" t="s">
        <v>2041</v>
      </c>
      <c r="G41" s="1443" t="s">
        <v>1174</v>
      </c>
      <c r="H41" s="1441">
        <f>SUM(I41:J41)</f>
        <v>0</v>
      </c>
      <c r="I41" s="1440"/>
      <c r="J41" s="1430"/>
      <c r="K41" s="1439"/>
    </row>
    <row customHeight="1" ht="11.25">
      <c r="F42" s="1435" t="s">
        <v>2042</v>
      </c>
      <c r="G42" s="1443" t="s">
        <v>2043</v>
      </c>
      <c r="H42" s="1441">
        <f>SUM(I42:J42)</f>
        <v>0</v>
      </c>
      <c r="I42" s="1440"/>
      <c r="J42" s="1430"/>
      <c r="K42" s="1439"/>
    </row>
    <row customHeight="1" ht="33.75">
      <c r="F43" s="1435" t="s">
        <v>2044</v>
      </c>
      <c r="G43" s="1443" t="s">
        <v>2045</v>
      </c>
      <c r="H43" s="1441">
        <f>SUM(I43:J43)</f>
        <v>0</v>
      </c>
      <c r="I43" s="1440"/>
      <c r="J43" s="1430"/>
      <c r="K43" s="1439"/>
    </row>
    <row customHeight="1" ht="11.25">
      <c r="F44" s="1435" t="s">
        <v>633</v>
      </c>
      <c r="G44" s="1442" t="s">
        <v>2033</v>
      </c>
      <c r="H44" s="1441">
        <f>SUM(I44:J44)</f>
        <v>0</v>
      </c>
      <c r="I44" s="1441">
        <f>SUM(I45:I46)</f>
        <v>0</v>
      </c>
      <c r="J44" s="1430"/>
      <c r="K44" s="1439"/>
    </row>
    <row customHeight="1" ht="45">
      <c r="F45" s="1435" t="s">
        <v>1455</v>
      </c>
      <c r="G45" s="1443" t="s">
        <v>2034</v>
      </c>
      <c r="H45" s="1441">
        <f>SUM(I45:J45)</f>
        <v>0</v>
      </c>
      <c r="I45" s="1440"/>
      <c r="J45" s="1430"/>
      <c r="K45" s="1439"/>
    </row>
    <row customHeight="1" ht="11.25">
      <c r="F46" s="1435" t="s">
        <v>2046</v>
      </c>
      <c r="G46" s="1443" t="s">
        <v>2035</v>
      </c>
      <c r="H46" s="1441">
        <f>SUM(I46:J46)</f>
        <v>0</v>
      </c>
      <c r="I46" s="1440"/>
      <c r="J46" s="1430"/>
      <c r="K46" s="1439"/>
    </row>
    <row customHeight="1" ht="11.25">
      <c r="F47" s="1435" t="s">
        <v>1457</v>
      </c>
      <c r="G47" s="1442" t="s">
        <v>2047</v>
      </c>
      <c r="H47" s="1441">
        <f>SUM(I47:J47)</f>
        <v>0</v>
      </c>
      <c r="I47" s="1440"/>
      <c r="J47" s="1430"/>
      <c r="K47" s="1439"/>
    </row>
    <row customHeight="1" ht="22.5">
      <c r="F48" s="1435" t="s">
        <v>102</v>
      </c>
      <c r="G48" s="854" t="s">
        <v>2048</v>
      </c>
      <c r="H48" s="1441">
        <f>SUM(I48:J48)</f>
        <v>0</v>
      </c>
      <c r="I48" s="1441">
        <f>SUM(I49,I54,I57)</f>
        <v>0</v>
      </c>
      <c r="J48" s="1430"/>
      <c r="K48" s="1439"/>
    </row>
    <row customHeight="1" ht="11.25">
      <c r="F49" s="1435" t="s">
        <v>512</v>
      </c>
      <c r="G49" s="1442" t="s">
        <v>2021</v>
      </c>
      <c r="H49" s="1441">
        <f>SUM(I49:J49)</f>
        <v>0</v>
      </c>
      <c r="I49" s="1441">
        <f>SUM(I50:I53)</f>
        <v>0</v>
      </c>
      <c r="J49" s="1430"/>
      <c r="K49" s="1439"/>
    </row>
    <row customHeight="1" ht="22.5">
      <c r="F50" s="1435" t="s">
        <v>1465</v>
      </c>
      <c r="G50" s="1443" t="s">
        <v>2040</v>
      </c>
      <c r="H50" s="1441">
        <f>SUM(I50:J50)</f>
        <v>0</v>
      </c>
      <c r="I50" s="1440"/>
      <c r="J50" s="1430"/>
      <c r="K50" s="1439"/>
    </row>
    <row customHeight="1" ht="11.25">
      <c r="F51" s="1435" t="s">
        <v>1786</v>
      </c>
      <c r="G51" s="1443" t="s">
        <v>1174</v>
      </c>
      <c r="H51" s="1441">
        <f>SUM(I51:J51)</f>
        <v>0</v>
      </c>
      <c r="I51" s="1440"/>
      <c r="J51" s="1430"/>
      <c r="K51" s="1439"/>
    </row>
    <row customHeight="1" ht="11.25">
      <c r="F52" s="1435" t="s">
        <v>2049</v>
      </c>
      <c r="G52" s="1443" t="s">
        <v>2043</v>
      </c>
      <c r="H52" s="1441">
        <f>SUM(I52:J52)</f>
        <v>0</v>
      </c>
      <c r="I52" s="1440"/>
      <c r="J52" s="1430"/>
      <c r="K52" s="1439"/>
    </row>
    <row customHeight="1" ht="33.75">
      <c r="F53" s="1435" t="s">
        <v>2050</v>
      </c>
      <c r="G53" s="1443" t="s">
        <v>2045</v>
      </c>
      <c r="H53" s="1441">
        <f>SUM(I53:J53)</f>
        <v>0</v>
      </c>
      <c r="I53" s="1440"/>
      <c r="J53" s="1430"/>
      <c r="K53" s="1439"/>
    </row>
    <row customHeight="1" ht="11.25">
      <c r="F54" s="1435" t="s">
        <v>307</v>
      </c>
      <c r="G54" s="1442" t="s">
        <v>2033</v>
      </c>
      <c r="H54" s="1441">
        <f>SUM(I54:J54)</f>
        <v>0</v>
      </c>
      <c r="I54" s="1441">
        <f>SUM(I55:I56)</f>
        <v>0</v>
      </c>
      <c r="J54" s="1430"/>
      <c r="K54" s="1439"/>
    </row>
    <row customHeight="1" ht="45">
      <c r="F55" s="1435" t="s">
        <v>527</v>
      </c>
      <c r="G55" s="1443" t="s">
        <v>2034</v>
      </c>
      <c r="H55" s="1441">
        <f>SUM(I55:J55)</f>
        <v>0</v>
      </c>
      <c r="I55" s="1440"/>
      <c r="J55" s="1430"/>
      <c r="K55" s="1439"/>
    </row>
    <row customHeight="1" ht="11.25">
      <c r="F56" s="1435" t="s">
        <v>532</v>
      </c>
      <c r="G56" s="1443" t="s">
        <v>2035</v>
      </c>
      <c r="H56" s="1441">
        <f>SUM(I56:J56)</f>
        <v>0</v>
      </c>
      <c r="I56" s="1440"/>
      <c r="J56" s="1430"/>
      <c r="K56" s="1439"/>
    </row>
    <row customHeight="1" ht="11.25">
      <c r="F57" s="1435" t="s">
        <v>310</v>
      </c>
      <c r="G57" s="1442" t="s">
        <v>2047</v>
      </c>
      <c r="H57" s="1441">
        <f>SUM(I57:J57)</f>
        <v>0</v>
      </c>
      <c r="I57" s="1440"/>
      <c r="J57" s="1430"/>
      <c r="K57" s="1439"/>
    </row>
    <row customHeight="1" ht="11.25">
      <c r="F58" s="1435"/>
      <c r="G58" s="1444" t="s">
        <v>2037</v>
      </c>
      <c r="H58" s="1441">
        <f>SUM(I58:J58)</f>
        <v>0</v>
      </c>
      <c r="I58" s="1441">
        <f>SUM(I38,I48)</f>
        <v>0</v>
      </c>
      <c r="J58" s="1430"/>
      <c r="K58" s="1439"/>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49FFF5-4A2C-27AC-9527-F1154569C0AA}"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7504" width="4.7109375" hidden="1" customWidth="1"/>
    <col min="2" max="2" style="7505" width="4.7109375" hidden="1" customWidth="1"/>
    <col min="3" max="4" style="7504" width="4.7109375" hidden="1" customWidth="1"/>
    <col min="5" max="5" style="7504" width="3.57421875" customWidth="1"/>
    <col min="6" max="6" style="7504" width="6.7109375" customWidth="1"/>
    <col min="7" max="7" style="7504" width="18.7109375" customWidth="1"/>
    <col min="8" max="8" style="7504" width="27.28125" customWidth="1"/>
    <col min="9" max="9" style="7504" width="18.7109375" customWidth="1"/>
    <col min="10" max="14" style="7504" width="0.8515625" hidden="1" customWidth="1"/>
    <col min="15" max="28" style="7504" width="21.7109375" hidden="1" customWidth="1"/>
    <col min="29" max="71" style="7504" width="0.8515625" hidden="1" customWidth="1"/>
    <col min="72" max="79" style="7504" width="21.7109375" hidden="1" customWidth="1"/>
    <col min="80" max="81" style="7504" width="29.140625" hidden="1" customWidth="1"/>
    <col min="82" max="89" style="7504" width="21.7109375" hidden="1" customWidth="1"/>
    <col min="90" max="102" style="7504" width="0.7109375" hidden="1" customWidth="1"/>
    <col min="103" max="114" style="7504" width="21.7109375" customWidth="1"/>
    <col min="115" max="128" style="7504" width="0.7109375" customWidth="1"/>
    <col min="129" max="178" style="7504" width="0.7109375" hidden="1" customWidth="1"/>
    <col min="179" max="179" style="7504" width="0.140625" customWidth="1"/>
    <col min="180" max="184" style="7504" width="9.140625"/>
  </cols>
  <sheetData>
    <row s="6203" customFormat="1" customHeight="1" ht="12" hidden="1">
      <c r="B1" s="1105"/>
      <c r="C1" s="1106"/>
      <c r="D1" s="1106"/>
    </row>
    <row s="6203" customFormat="1" customHeight="1" ht="12" hidden="1">
      <c r="B2" s="1105"/>
      <c r="C2" s="1106"/>
      <c r="D2" s="1106"/>
      <c r="E2" s="1106"/>
      <c r="F2" s="1106"/>
      <c r="G2" s="1106"/>
      <c r="H2" s="1106"/>
      <c r="I2" s="1106"/>
      <c r="J2" s="1106"/>
      <c r="K2" s="1106"/>
      <c r="L2" s="1106"/>
      <c r="M2" s="1106"/>
      <c r="N2" s="1106"/>
      <c r="O2" s="1106"/>
      <c r="P2" s="1106"/>
      <c r="Q2" s="1106"/>
      <c r="R2" s="1106"/>
      <c r="S2" s="1106"/>
      <c r="T2" s="1106"/>
      <c r="U2" s="1106"/>
      <c r="V2" s="1106"/>
      <c r="W2" s="1106"/>
      <c r="X2" s="1106"/>
      <c r="Y2" s="1106"/>
      <c r="Z2" s="1106"/>
      <c r="AA2" s="1106"/>
      <c r="AB2" s="1107"/>
      <c r="AC2" s="1106"/>
      <c r="AD2" s="1106"/>
      <c r="AE2" s="1106"/>
      <c r="AF2" s="1106"/>
      <c r="AG2" s="1106"/>
      <c r="AH2" s="1106"/>
      <c r="AI2" s="1106"/>
      <c r="AJ2" s="1106"/>
      <c r="AK2" s="1106"/>
      <c r="AL2" s="1106"/>
      <c r="AM2" s="1106"/>
      <c r="AN2" s="1106"/>
      <c r="AO2" s="1106"/>
      <c r="AP2" s="1106"/>
      <c r="AQ2" s="1106"/>
      <c r="AR2" s="1106"/>
      <c r="AS2" s="1106"/>
      <c r="AT2" s="1106"/>
      <c r="AU2" s="1106"/>
      <c r="AV2" s="1106"/>
      <c r="AW2" s="1106"/>
      <c r="AX2" s="1106"/>
      <c r="AY2" s="1106"/>
      <c r="AZ2" s="1106"/>
      <c r="BA2" s="1106"/>
      <c r="BB2" s="1106"/>
      <c r="BC2" s="1106"/>
      <c r="BD2" s="1106"/>
      <c r="BE2" s="1106"/>
      <c r="BF2" s="1106"/>
      <c r="BG2" s="1106"/>
      <c r="BH2" s="1106"/>
      <c r="BI2" s="1106"/>
      <c r="BJ2" s="1106"/>
      <c r="BK2" s="1106"/>
      <c r="BL2" s="1106"/>
      <c r="BM2" s="1106"/>
      <c r="BN2" s="1106"/>
      <c r="BO2" s="1106"/>
      <c r="BP2" s="1106"/>
      <c r="BQ2" s="1106"/>
      <c r="BR2" s="1106"/>
      <c r="BS2" s="1106"/>
      <c r="BT2" s="1106"/>
      <c r="BU2" s="1106"/>
      <c r="BV2" s="1106"/>
      <c r="BW2" s="1106"/>
      <c r="BX2" s="1106"/>
      <c r="BY2" s="1106"/>
      <c r="BZ2" s="1106"/>
      <c r="CA2" s="1106"/>
      <c r="CB2" s="1106"/>
      <c r="CC2" s="1106"/>
      <c r="CD2" s="1106"/>
      <c r="CE2" s="1106"/>
      <c r="CF2" s="1106"/>
      <c r="CG2" s="1106"/>
      <c r="CH2" s="1106"/>
      <c r="CI2" s="1106"/>
      <c r="CJ2" s="1106"/>
      <c r="CK2" s="1106"/>
      <c r="CL2" s="1106"/>
      <c r="CM2" s="1106"/>
      <c r="CN2" s="1106"/>
      <c r="CO2" s="1106"/>
      <c r="CP2" s="1106"/>
      <c r="CQ2" s="1106"/>
      <c r="CR2" s="1106"/>
      <c r="CS2" s="1106"/>
      <c r="CT2" s="1106"/>
      <c r="CU2" s="1106"/>
      <c r="CV2" s="1106"/>
      <c r="CW2" s="1106"/>
      <c r="CX2" s="1106"/>
      <c r="CY2" s="1106"/>
      <c r="CZ2" s="1106"/>
      <c r="DA2" s="1106"/>
      <c r="DB2" s="1106"/>
      <c r="DC2" s="1106"/>
      <c r="DD2" s="1106"/>
      <c r="DE2" s="1106"/>
      <c r="DF2" s="1106"/>
      <c r="DG2" s="1106"/>
      <c r="DH2" s="1106"/>
      <c r="DI2" s="1106"/>
      <c r="DJ2" s="1106"/>
      <c r="DK2" s="1106"/>
      <c r="DL2" s="1106"/>
      <c r="DM2" s="1106"/>
      <c r="DN2" s="1106"/>
      <c r="DO2" s="1106"/>
      <c r="DP2" s="1106"/>
      <c r="DQ2" s="1106"/>
      <c r="DR2" s="1106"/>
      <c r="DS2" s="1106"/>
      <c r="DT2" s="1106"/>
      <c r="DU2" s="1106"/>
      <c r="DV2" s="1106"/>
      <c r="DW2" s="1106"/>
      <c r="DX2" s="1106"/>
      <c r="DY2" s="1106"/>
      <c r="DZ2" s="1106"/>
      <c r="EA2" s="1106"/>
      <c r="EB2" s="1106"/>
      <c r="EC2" s="1106"/>
      <c r="ED2" s="1106"/>
      <c r="EE2" s="1106"/>
      <c r="EF2" s="1106"/>
      <c r="EG2" s="1106"/>
      <c r="EH2" s="1106"/>
      <c r="EI2" s="1106"/>
      <c r="EJ2" s="1106"/>
      <c r="EK2" s="1106"/>
      <c r="EL2" s="1106"/>
      <c r="EM2" s="1106"/>
      <c r="EN2" s="1106"/>
      <c r="EO2" s="1106"/>
      <c r="EP2" s="1106"/>
      <c r="EQ2" s="1106"/>
      <c r="ER2" s="1106"/>
      <c r="ES2" s="1106"/>
      <c r="ET2" s="1106"/>
      <c r="EU2" s="1106"/>
      <c r="EV2" s="1106"/>
      <c r="EW2" s="1106"/>
      <c r="EX2" s="1106"/>
      <c r="EY2" s="1106"/>
      <c r="EZ2" s="1106"/>
      <c r="FA2" s="1106"/>
      <c r="FB2" s="1106"/>
      <c r="FC2" s="1106"/>
      <c r="FD2" s="1106"/>
      <c r="FE2" s="1106"/>
      <c r="FF2" s="1106"/>
      <c r="FG2" s="1106"/>
      <c r="FH2" s="1106"/>
      <c r="FI2" s="1106"/>
      <c r="FJ2" s="1106"/>
      <c r="FK2" s="1106"/>
      <c r="FL2" s="1106"/>
      <c r="FM2" s="1106"/>
      <c r="FN2" s="1106"/>
      <c r="FO2" s="1106"/>
      <c r="FP2" s="1106"/>
      <c r="FQ2" s="1106"/>
      <c r="FR2" s="1106"/>
      <c r="FS2" s="1106"/>
      <c r="FT2" s="1106"/>
      <c r="FU2" s="1106"/>
      <c r="FV2" s="1106"/>
      <c r="FW2" s="1106"/>
    </row>
    <row s="6203" customFormat="1" customHeight="1" ht="12" hidden="1">
      <c r="B3" s="1105"/>
      <c r="C3" s="1106"/>
      <c r="D3" s="1106"/>
      <c r="E3" s="1106"/>
      <c r="F3" s="1106"/>
      <c r="G3" s="1106"/>
      <c r="H3" s="1106"/>
      <c r="I3" s="1106"/>
      <c r="J3" s="1106"/>
      <c r="K3" s="1106"/>
      <c r="L3" s="1106"/>
      <c r="M3" s="1106"/>
      <c r="N3" s="1106"/>
      <c r="O3" s="1106"/>
      <c r="P3" s="1106"/>
      <c r="Q3" s="1106"/>
      <c r="R3" s="1106"/>
      <c r="S3" s="1106"/>
      <c r="T3" s="1106"/>
      <c r="U3" s="1106"/>
      <c r="V3" s="1106"/>
      <c r="W3" s="1106"/>
      <c r="X3" s="1106"/>
      <c r="Y3" s="1106"/>
      <c r="Z3" s="1106"/>
      <c r="AA3" s="1106"/>
      <c r="AB3" s="1107"/>
      <c r="AC3" s="1106"/>
      <c r="AD3" s="1106"/>
      <c r="AE3" s="1106"/>
      <c r="AF3" s="1106"/>
      <c r="AG3" s="1106"/>
      <c r="AH3" s="1106"/>
      <c r="AI3" s="1106"/>
      <c r="AJ3" s="1106"/>
      <c r="AK3" s="1106"/>
      <c r="AL3" s="1106"/>
      <c r="AM3" s="1106"/>
      <c r="AN3" s="1106"/>
      <c r="AO3" s="1106"/>
      <c r="AP3" s="1106"/>
      <c r="AQ3" s="1106"/>
      <c r="AR3" s="1106"/>
      <c r="AS3" s="1106"/>
      <c r="AT3" s="1106"/>
      <c r="AU3" s="1106"/>
      <c r="AV3" s="1106"/>
      <c r="AW3" s="1106"/>
      <c r="AX3" s="1106"/>
      <c r="AY3" s="1106"/>
      <c r="AZ3" s="1106"/>
      <c r="BA3" s="1106"/>
      <c r="BB3" s="1106"/>
      <c r="BC3" s="1106"/>
      <c r="BD3" s="1106"/>
      <c r="BE3" s="1106"/>
      <c r="BF3" s="1106"/>
      <c r="BG3" s="1106"/>
      <c r="BH3" s="1106"/>
      <c r="BI3" s="1106"/>
      <c r="BJ3" s="1106"/>
      <c r="BK3" s="1106"/>
      <c r="BL3" s="1106"/>
      <c r="BM3" s="1106"/>
      <c r="BN3" s="1106"/>
      <c r="BO3" s="1106"/>
      <c r="BP3" s="1106"/>
      <c r="BQ3" s="1106"/>
      <c r="BR3" s="1106"/>
      <c r="BS3" s="1106"/>
      <c r="BT3" s="1106"/>
      <c r="BU3" s="1106"/>
      <c r="BV3" s="1106"/>
      <c r="BW3" s="1106"/>
      <c r="BX3" s="1106"/>
      <c r="BY3" s="1106"/>
      <c r="BZ3" s="1106"/>
      <c r="CA3" s="1106"/>
      <c r="CB3" s="1106"/>
      <c r="CC3" s="1106"/>
      <c r="CD3" s="1106"/>
      <c r="CE3" s="1106"/>
      <c r="CF3" s="1106"/>
      <c r="CG3" s="1106"/>
      <c r="CH3" s="1106"/>
      <c r="CI3" s="1106"/>
      <c r="CJ3" s="1106"/>
      <c r="CK3" s="1106"/>
      <c r="CL3" s="1106"/>
      <c r="CM3" s="1106"/>
      <c r="CN3" s="1106"/>
      <c r="CO3" s="1106"/>
      <c r="CP3" s="1106"/>
      <c r="CQ3" s="1106"/>
      <c r="CR3" s="1106"/>
      <c r="CS3" s="1106"/>
      <c r="CT3" s="1106"/>
      <c r="CU3" s="1106"/>
      <c r="CV3" s="1106"/>
      <c r="CW3" s="1106"/>
      <c r="CX3" s="1106"/>
      <c r="CY3" s="1106"/>
      <c r="CZ3" s="1106"/>
      <c r="DA3" s="1106"/>
      <c r="DB3" s="1106"/>
      <c r="DC3" s="1106"/>
      <c r="DD3" s="1106"/>
      <c r="DE3" s="1106"/>
      <c r="DF3" s="1106"/>
      <c r="DG3" s="1106"/>
      <c r="DH3" s="1106"/>
      <c r="DI3" s="1106"/>
      <c r="DJ3" s="1106"/>
      <c r="DK3" s="1106"/>
      <c r="DL3" s="1106"/>
      <c r="DM3" s="1106"/>
      <c r="DN3" s="1106"/>
      <c r="DO3" s="1106"/>
      <c r="DP3" s="1106"/>
      <c r="DQ3" s="1106"/>
      <c r="DR3" s="1106"/>
      <c r="DS3" s="1106"/>
      <c r="DT3" s="1106"/>
      <c r="DU3" s="1106"/>
      <c r="DV3" s="1106"/>
      <c r="DW3" s="1106"/>
      <c r="DX3" s="1106"/>
      <c r="DY3" s="1106"/>
      <c r="DZ3" s="1106"/>
      <c r="EA3" s="1106"/>
      <c r="EB3" s="1106"/>
      <c r="EC3" s="1106"/>
      <c r="ED3" s="1106"/>
      <c r="EE3" s="1106"/>
      <c r="EF3" s="1106"/>
      <c r="EG3" s="1106"/>
      <c r="EH3" s="1106"/>
      <c r="EI3" s="1106"/>
      <c r="EJ3" s="1106"/>
      <c r="EK3" s="1106"/>
      <c r="EL3" s="1106"/>
      <c r="EM3" s="1106"/>
      <c r="EN3" s="1106"/>
      <c r="EO3" s="1106"/>
      <c r="EP3" s="1106"/>
      <c r="EQ3" s="1106"/>
      <c r="ER3" s="1106"/>
      <c r="ES3" s="1106"/>
      <c r="ET3" s="1106"/>
      <c r="EU3" s="1106"/>
      <c r="EV3" s="1106"/>
      <c r="EW3" s="1106"/>
      <c r="EX3" s="1106"/>
      <c r="EY3" s="1106"/>
      <c r="EZ3" s="1106"/>
      <c r="FA3" s="1106"/>
      <c r="FB3" s="1106"/>
      <c r="FC3" s="1106"/>
      <c r="FD3" s="1106"/>
      <c r="FE3" s="1106"/>
      <c r="FF3" s="1106"/>
      <c r="FG3" s="1106"/>
      <c r="FH3" s="1106"/>
      <c r="FI3" s="1106"/>
      <c r="FJ3" s="1106"/>
      <c r="FK3" s="1106"/>
      <c r="FL3" s="1106"/>
      <c r="FM3" s="1106"/>
      <c r="FN3" s="1106"/>
      <c r="FO3" s="1106"/>
      <c r="FP3" s="1106"/>
      <c r="FQ3" s="1106"/>
      <c r="FR3" s="1106"/>
      <c r="FS3" s="1106"/>
      <c r="FT3" s="1106"/>
      <c r="FU3" s="1106"/>
      <c r="FV3" s="1106"/>
      <c r="FW3" s="1106"/>
    </row>
    <row customHeight="1" ht="10.5">
      <c r="B4" s="1109"/>
      <c r="C4" s="1110"/>
      <c r="D4" s="1110"/>
      <c r="E4" s="1110"/>
      <c r="F4" s="1110"/>
      <c r="G4" s="1110"/>
      <c r="H4" s="1111"/>
      <c r="I4" s="1111"/>
      <c r="J4" s="1111"/>
      <c r="K4" s="1111"/>
      <c r="L4" s="1111"/>
      <c r="M4" s="1112"/>
      <c r="N4" s="1112"/>
      <c r="O4" s="1112"/>
      <c r="P4" s="1112"/>
      <c r="Q4" s="1112"/>
      <c r="R4" s="1112"/>
      <c r="S4" s="1112"/>
      <c r="T4" s="1112"/>
      <c r="U4" s="1112"/>
      <c r="V4" s="1112"/>
      <c r="W4" s="1112"/>
      <c r="X4" s="1112"/>
      <c r="Y4" s="1112"/>
      <c r="Z4" s="1112"/>
      <c r="AA4" s="1112"/>
      <c r="AB4" s="1112"/>
      <c r="AC4" s="1112"/>
      <c r="AD4" s="1112"/>
      <c r="AE4" s="1112"/>
      <c r="AF4" s="1112"/>
      <c r="AG4" s="1112"/>
      <c r="AH4" s="1112"/>
      <c r="AI4" s="1112"/>
      <c r="AJ4" s="1112"/>
      <c r="AK4" s="1112"/>
      <c r="AL4" s="1112"/>
      <c r="AM4" s="1112"/>
      <c r="AN4" s="1112"/>
      <c r="AO4" s="1112"/>
      <c r="AP4" s="1112"/>
      <c r="AQ4" s="1112"/>
      <c r="AR4" s="1112"/>
      <c r="AS4" s="1112"/>
      <c r="AT4" s="1112"/>
      <c r="AU4" s="1112"/>
      <c r="AV4" s="1112"/>
      <c r="AW4" s="1112"/>
      <c r="AX4" s="1112"/>
      <c r="AY4" s="1112"/>
      <c r="AZ4" s="1112"/>
      <c r="BA4" s="1112"/>
      <c r="BB4" s="1112"/>
      <c r="BC4" s="1112"/>
      <c r="BD4" s="1112"/>
      <c r="BE4" s="1112"/>
      <c r="BF4" s="1112"/>
      <c r="BG4" s="1112"/>
      <c r="BH4" s="1112"/>
      <c r="BI4" s="1112"/>
      <c r="BJ4" s="1112"/>
      <c r="BK4" s="1112"/>
      <c r="BL4" s="1112"/>
      <c r="BM4" s="1112"/>
      <c r="BN4" s="1112"/>
      <c r="BO4" s="1112"/>
      <c r="BP4" s="1112"/>
      <c r="BQ4" s="1112"/>
      <c r="BR4" s="1112"/>
      <c r="BS4" s="1112"/>
      <c r="BT4" s="1112"/>
      <c r="BU4" s="1112"/>
      <c r="BV4" s="1112"/>
      <c r="BW4" s="1112"/>
      <c r="BX4" s="1112"/>
      <c r="BY4" s="1112"/>
      <c r="BZ4" s="1112"/>
      <c r="CA4" s="1112"/>
      <c r="CB4" s="1112"/>
      <c r="CC4" s="1112"/>
      <c r="CD4" s="1112"/>
      <c r="CE4" s="1112"/>
      <c r="CF4" s="1112"/>
      <c r="CG4" s="1112"/>
      <c r="CH4" s="1112"/>
      <c r="CI4" s="1112"/>
      <c r="CJ4" s="1112"/>
      <c r="CK4" s="1112"/>
      <c r="CL4" s="1112"/>
      <c r="CM4" s="1112"/>
      <c r="CN4" s="1112"/>
      <c r="CO4" s="1112"/>
      <c r="CP4" s="1112"/>
      <c r="CQ4" s="1112"/>
      <c r="CR4" s="1112"/>
      <c r="CS4" s="1112"/>
      <c r="CT4" s="1112"/>
      <c r="CU4" s="1112"/>
      <c r="CV4" s="1112"/>
      <c r="CW4" s="1112"/>
      <c r="CX4" s="1112"/>
      <c r="CY4" s="1112"/>
      <c r="CZ4" s="1112"/>
      <c r="DA4" s="1112"/>
      <c r="DB4" s="1112"/>
      <c r="DC4" s="1112"/>
      <c r="DD4" s="1112"/>
      <c r="DE4" s="1112"/>
      <c r="DF4" s="1112"/>
      <c r="DG4" s="1112"/>
      <c r="DH4" s="1112"/>
      <c r="DI4" s="1112"/>
      <c r="DJ4" s="1112"/>
      <c r="DK4" s="1112"/>
      <c r="DL4" s="1112"/>
      <c r="DM4" s="1112"/>
      <c r="DN4" s="1112"/>
      <c r="DO4" s="1112"/>
      <c r="DP4" s="1112"/>
      <c r="DQ4" s="1112"/>
      <c r="DR4" s="1112"/>
      <c r="DS4" s="1112"/>
      <c r="DT4" s="1112"/>
      <c r="DU4" s="1112"/>
      <c r="DV4" s="1112"/>
      <c r="DW4" s="1112"/>
      <c r="DX4" s="1112"/>
      <c r="DY4" s="1112"/>
      <c r="DZ4" s="1112"/>
      <c r="EA4" s="1112"/>
      <c r="EB4" s="1112"/>
      <c r="EC4" s="1112"/>
      <c r="ED4" s="1112"/>
      <c r="EE4" s="1112"/>
      <c r="EF4" s="1112"/>
      <c r="EG4" s="1112"/>
      <c r="EH4" s="1112"/>
      <c r="EI4" s="1112"/>
      <c r="EJ4" s="1112"/>
      <c r="EK4" s="1112"/>
      <c r="EL4" s="1112"/>
      <c r="EM4" s="1112"/>
      <c r="EN4" s="1112"/>
      <c r="EO4" s="1112"/>
      <c r="EP4" s="1112"/>
      <c r="EQ4" s="1112"/>
      <c r="ER4" s="1112"/>
      <c r="ES4" s="1112"/>
      <c r="ET4" s="1112"/>
      <c r="EU4" s="1112"/>
      <c r="EV4" s="1112"/>
      <c r="EW4" s="1112"/>
      <c r="EX4" s="1112"/>
      <c r="EY4" s="1112"/>
      <c r="EZ4" s="1112"/>
      <c r="FA4" s="1112"/>
      <c r="FB4" s="1112"/>
      <c r="FC4" s="1112"/>
      <c r="FD4" s="1112"/>
      <c r="FE4" s="1112"/>
      <c r="FF4" s="1112"/>
      <c r="FG4" s="1112"/>
      <c r="FH4" s="1112"/>
      <c r="FI4" s="1112"/>
      <c r="FJ4" s="1112"/>
      <c r="FK4" s="1112"/>
      <c r="FL4" s="1112"/>
      <c r="FM4" s="1112"/>
      <c r="FN4" s="1112"/>
      <c r="FO4" s="1112"/>
      <c r="FP4" s="1112"/>
      <c r="FQ4" s="1112"/>
      <c r="FR4" s="1112"/>
      <c r="FS4" s="1112"/>
      <c r="FT4" s="1112"/>
      <c r="FU4" s="1112"/>
      <c r="FV4" s="1112"/>
      <c r="FW4" s="1112"/>
    </row>
    <row s="7436" customFormat="1" customHeight="1" ht="24">
      <c r="B5" s="1126"/>
      <c r="E5" s="1128"/>
      <c r="F5" s="2583"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водоотведения на 2023 год</v>
      </c>
      <c r="G5" s="2584"/>
      <c r="H5" s="2584"/>
      <c r="I5" s="2584"/>
      <c r="J5" s="2584"/>
      <c r="K5" s="2584"/>
      <c r="L5" s="2584"/>
      <c r="M5" s="2584"/>
      <c r="N5" s="2584"/>
      <c r="O5" s="2584"/>
      <c r="P5" s="2584"/>
      <c r="Q5" s="2584"/>
      <c r="R5" s="2584"/>
      <c r="S5" s="2584"/>
      <c r="T5" s="2584"/>
      <c r="U5" s="2584"/>
      <c r="V5" s="2584"/>
      <c r="W5" s="2584"/>
      <c r="X5" s="2584"/>
      <c r="Y5" s="2584"/>
      <c r="Z5" s="2584"/>
      <c r="AA5" s="2584"/>
      <c r="AB5" s="2584"/>
      <c r="AC5" s="2584"/>
      <c r="AD5" s="2584"/>
      <c r="AE5" s="2584"/>
      <c r="AF5" s="2584"/>
      <c r="AG5" s="2584"/>
      <c r="AH5" s="2584"/>
      <c r="AI5" s="2584"/>
      <c r="AJ5" s="2584"/>
      <c r="AK5" s="2584"/>
      <c r="AL5" s="2584"/>
      <c r="AM5" s="2584"/>
      <c r="AN5" s="2584"/>
      <c r="AO5" s="2584"/>
      <c r="AP5" s="2584"/>
      <c r="AQ5" s="2584"/>
      <c r="AR5" s="2584"/>
      <c r="AS5" s="2584"/>
      <c r="AT5" s="2584"/>
      <c r="AU5" s="2584"/>
      <c r="AV5" s="2584"/>
      <c r="AW5" s="2584"/>
      <c r="AX5" s="2584"/>
      <c r="AY5" s="2584"/>
      <c r="AZ5" s="2584"/>
      <c r="BA5" s="2584"/>
      <c r="BB5" s="2584"/>
      <c r="BC5" s="2584"/>
      <c r="BD5" s="2584"/>
      <c r="BE5" s="2584"/>
      <c r="BF5" s="2584"/>
      <c r="BG5" s="2584"/>
      <c r="BH5" s="2584"/>
      <c r="BI5" s="2584"/>
      <c r="BJ5" s="2584"/>
      <c r="BK5" s="2584"/>
      <c r="BL5" s="2584"/>
      <c r="BM5" s="2584"/>
      <c r="BN5" s="2584"/>
      <c r="BO5" s="2584"/>
      <c r="BP5" s="2584"/>
      <c r="BQ5" s="2584"/>
      <c r="BR5" s="2584"/>
      <c r="BS5" s="2584"/>
    </row>
    <row s="7436" customFormat="1" customHeight="1" ht="18">
      <c r="B6" s="1126"/>
      <c r="E6" s="1128"/>
      <c r="F6" s="2585"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G6" s="2586"/>
      <c r="H6" s="2586"/>
      <c r="I6" s="2586"/>
      <c r="J6" s="2586"/>
      <c r="K6" s="2586"/>
      <c r="L6" s="2586"/>
      <c r="M6" s="2586"/>
      <c r="N6" s="2586"/>
      <c r="O6" s="2586"/>
      <c r="P6" s="2586"/>
      <c r="Q6" s="2586"/>
      <c r="R6" s="2586"/>
      <c r="S6" s="2586"/>
      <c r="T6" s="2586"/>
      <c r="U6" s="2586"/>
      <c r="V6" s="2586"/>
      <c r="W6" s="2586"/>
      <c r="X6" s="2586"/>
      <c r="Y6" s="2586"/>
      <c r="Z6" s="2586"/>
      <c r="AA6" s="2586"/>
      <c r="AB6" s="2586"/>
      <c r="AC6" s="2586"/>
      <c r="AD6" s="2586"/>
      <c r="AE6" s="2586"/>
      <c r="AF6" s="2586"/>
      <c r="AG6" s="2586"/>
      <c r="AH6" s="2586"/>
      <c r="AI6" s="2586"/>
      <c r="AJ6" s="2586"/>
      <c r="AK6" s="2586"/>
      <c r="AL6" s="2586"/>
      <c r="AM6" s="2586"/>
      <c r="AN6" s="2586"/>
      <c r="AO6" s="2586"/>
      <c r="AP6" s="2586"/>
      <c r="AQ6" s="2586"/>
      <c r="AR6" s="2586"/>
      <c r="AS6" s="2586"/>
      <c r="AT6" s="2586"/>
      <c r="AU6" s="2586"/>
      <c r="AV6" s="2586"/>
      <c r="AW6" s="2586"/>
      <c r="AX6" s="2586"/>
      <c r="AY6" s="2586"/>
      <c r="AZ6" s="2586"/>
      <c r="BA6" s="2586"/>
      <c r="BB6" s="2586"/>
      <c r="BC6" s="2586"/>
      <c r="BD6" s="2586"/>
      <c r="BE6" s="2586"/>
      <c r="BF6" s="2586"/>
      <c r="BG6" s="2586"/>
      <c r="BH6" s="2586"/>
      <c r="BI6" s="2586"/>
      <c r="BJ6" s="2586"/>
      <c r="BK6" s="2586"/>
      <c r="BL6" s="2586"/>
      <c r="BM6" s="2586"/>
      <c r="BN6" s="2586"/>
      <c r="BO6" s="2586"/>
      <c r="BP6" s="2586"/>
      <c r="BQ6" s="2586"/>
      <c r="BR6" s="2586"/>
      <c r="BS6" s="2586"/>
    </row>
    <row s="7443" customFormat="1" customHeight="1" ht="10.5">
      <c r="B7" s="1114"/>
      <c r="E7" s="1115"/>
      <c r="F7" s="1115"/>
      <c r="G7" s="1117"/>
      <c r="H7" s="1111"/>
      <c r="I7" s="1111"/>
      <c r="J7" s="1111"/>
      <c r="K7" s="1111"/>
      <c r="L7" s="1111"/>
      <c r="M7" s="1115"/>
      <c r="N7" s="1115"/>
      <c r="O7" s="1115"/>
      <c r="P7" s="1115"/>
      <c r="Q7" s="1115"/>
      <c r="R7" s="1115"/>
      <c r="S7" s="1115"/>
      <c r="T7" s="1115"/>
      <c r="U7" s="1115"/>
      <c r="V7" s="1115"/>
      <c r="W7" s="1115"/>
      <c r="X7" s="1115"/>
      <c r="Y7" s="1115"/>
      <c r="Z7" s="1115"/>
      <c r="AA7" s="1115"/>
      <c r="AB7" s="1115"/>
      <c r="AC7" s="1115"/>
      <c r="AD7" s="1115"/>
      <c r="AE7" s="1115"/>
      <c r="AF7" s="1115"/>
      <c r="AG7" s="1115"/>
      <c r="AH7" s="1115"/>
      <c r="AI7" s="1115"/>
      <c r="AJ7" s="1115"/>
      <c r="AK7" s="1115"/>
      <c r="AL7" s="1115"/>
      <c r="AM7" s="1115"/>
      <c r="AN7" s="1115"/>
      <c r="AO7" s="1115"/>
      <c r="AP7" s="1115"/>
      <c r="AQ7" s="1115"/>
      <c r="AR7" s="1115"/>
      <c r="AS7" s="1115"/>
      <c r="AT7" s="1115"/>
      <c r="AU7" s="1115"/>
      <c r="AV7" s="1115"/>
      <c r="AW7" s="1115"/>
      <c r="AX7" s="1115"/>
      <c r="AY7" s="1115"/>
      <c r="AZ7" s="1115"/>
      <c r="BA7" s="1115"/>
      <c r="BB7" s="1115"/>
      <c r="BC7" s="1115"/>
      <c r="BD7" s="1115"/>
      <c r="BE7" s="1115"/>
      <c r="BF7" s="1115"/>
      <c r="BG7" s="1115"/>
      <c r="BH7" s="1115"/>
      <c r="BI7" s="1115"/>
      <c r="BJ7" s="1115"/>
      <c r="BK7" s="1115"/>
      <c r="BL7" s="1115"/>
      <c r="BM7" s="1115"/>
      <c r="BN7" s="1115"/>
      <c r="BO7" s="1115"/>
      <c r="BP7" s="1115"/>
      <c r="BQ7" s="1115"/>
      <c r="BR7" s="1115"/>
      <c r="BS7" s="1115"/>
      <c r="BT7" s="1115"/>
      <c r="BU7" s="1115"/>
      <c r="BV7" s="1115"/>
      <c r="BW7" s="1115"/>
      <c r="BX7" s="1115"/>
      <c r="BY7" s="1115"/>
      <c r="BZ7" s="1115"/>
      <c r="CA7" s="1115"/>
      <c r="CB7" s="1115"/>
      <c r="CC7" s="1115"/>
      <c r="CD7" s="1115"/>
      <c r="CE7" s="1115"/>
      <c r="CF7" s="1115"/>
      <c r="CG7" s="1115"/>
      <c r="CH7" s="1115"/>
      <c r="CI7" s="1115"/>
      <c r="CJ7" s="1115"/>
      <c r="CK7" s="1115"/>
      <c r="CL7" s="1115"/>
      <c r="CM7" s="1115"/>
      <c r="CN7" s="1115"/>
      <c r="CO7" s="1115"/>
      <c r="CP7" s="1115"/>
      <c r="CQ7" s="1115"/>
      <c r="CR7" s="1115"/>
      <c r="CS7" s="1115"/>
      <c r="CT7" s="1115"/>
      <c r="CU7" s="1115"/>
      <c r="CV7" s="1115"/>
      <c r="CW7" s="1115"/>
      <c r="CX7" s="1115"/>
      <c r="CY7" s="1115"/>
      <c r="CZ7" s="1115"/>
      <c r="DA7" s="1115"/>
      <c r="DB7" s="1115"/>
      <c r="DC7" s="1115"/>
      <c r="DD7" s="1115"/>
      <c r="DE7" s="1115"/>
      <c r="DF7" s="1115"/>
      <c r="DG7" s="1115"/>
      <c r="DH7" s="1115"/>
      <c r="DI7" s="1115"/>
      <c r="DJ7" s="1115"/>
      <c r="DK7" s="1115"/>
      <c r="DL7" s="1115"/>
      <c r="DM7" s="1115"/>
      <c r="DN7" s="1115"/>
      <c r="DO7" s="1115"/>
      <c r="DP7" s="1115"/>
      <c r="DQ7" s="1115"/>
      <c r="DR7" s="1115"/>
      <c r="DS7" s="1115"/>
      <c r="DT7" s="1115"/>
      <c r="DU7" s="1115"/>
      <c r="DV7" s="1115"/>
      <c r="DW7" s="1115"/>
      <c r="DX7" s="1115"/>
      <c r="DY7" s="1115"/>
      <c r="DZ7" s="1115"/>
      <c r="EA7" s="1115"/>
      <c r="EB7" s="1115"/>
      <c r="EC7" s="1115"/>
      <c r="ED7" s="1115"/>
      <c r="EE7" s="1115"/>
      <c r="EF7" s="1115"/>
      <c r="EG7" s="1115"/>
      <c r="EH7" s="1115"/>
      <c r="EI7" s="1115"/>
      <c r="EJ7" s="1115"/>
      <c r="EK7" s="1115"/>
      <c r="EL7" s="1115"/>
      <c r="EM7" s="1115"/>
      <c r="EN7" s="1115"/>
      <c r="EO7" s="1115"/>
      <c r="EP7" s="1115"/>
      <c r="EQ7" s="1115"/>
      <c r="ER7" s="1115"/>
      <c r="ES7" s="1115"/>
      <c r="ET7" s="1115"/>
      <c r="EU7" s="1115"/>
      <c r="EV7" s="1115"/>
      <c r="EW7" s="1115"/>
      <c r="EX7" s="1115"/>
      <c r="EY7" s="1115"/>
      <c r="EZ7" s="1115"/>
      <c r="FA7" s="1115"/>
      <c r="FB7" s="1115"/>
      <c r="FC7" s="1115"/>
      <c r="FD7" s="1115"/>
      <c r="FE7" s="1115"/>
      <c r="FF7" s="1115"/>
      <c r="FG7" s="1115"/>
      <c r="FH7" s="1115"/>
      <c r="FI7" s="1115"/>
      <c r="FJ7" s="1115"/>
      <c r="FK7" s="1115"/>
      <c r="FL7" s="1115"/>
      <c r="FM7" s="1115"/>
      <c r="FN7" s="1115"/>
      <c r="FO7" s="1115"/>
      <c r="FP7" s="1115"/>
      <c r="FQ7" s="1115"/>
      <c r="FR7" s="1115"/>
      <c r="FS7" s="1115"/>
      <c r="FT7" s="1115"/>
      <c r="FU7" s="1115"/>
      <c r="FV7" s="1115"/>
      <c r="FW7" s="1115"/>
    </row>
    <row s="7447" customFormat="1" customHeight="1" ht="11.25" hidden="1">
      <c r="B8" s="1116"/>
      <c r="F8" s="1243"/>
      <c r="G8" s="929"/>
      <c r="H8" s="508"/>
      <c r="I8" s="508"/>
      <c r="J8" s="508"/>
      <c r="K8" s="508"/>
      <c r="L8" s="508"/>
      <c r="M8" s="1243"/>
      <c r="N8" s="1243"/>
      <c r="O8" s="2614" t="s">
        <v>2051</v>
      </c>
      <c r="P8" s="2615"/>
      <c r="Q8" s="2615"/>
      <c r="R8" s="2615"/>
      <c r="S8" s="2615"/>
      <c r="T8" s="2615"/>
      <c r="U8" s="2615"/>
      <c r="V8" s="2615"/>
      <c r="W8" s="2615"/>
      <c r="X8" s="2615"/>
      <c r="Y8" s="2615"/>
      <c r="Z8" s="2615"/>
      <c r="AA8" s="2615"/>
      <c r="AB8" s="2615"/>
      <c r="AC8" s="2615"/>
      <c r="AD8" s="2615"/>
      <c r="AE8" s="2615"/>
      <c r="AF8" s="2615"/>
      <c r="AG8" s="2615"/>
      <c r="AH8" s="2615"/>
      <c r="AI8" s="2615"/>
      <c r="AJ8" s="2615"/>
      <c r="AK8" s="2615"/>
      <c r="AL8" s="2615"/>
      <c r="AM8" s="2615"/>
      <c r="AN8" s="2615"/>
      <c r="AO8" s="2615"/>
      <c r="AP8" s="2615"/>
      <c r="AQ8" s="2615"/>
      <c r="AR8" s="2615"/>
      <c r="AS8" s="2615"/>
      <c r="AT8" s="2615"/>
      <c r="AU8" s="2615"/>
      <c r="AV8" s="2615"/>
      <c r="AW8" s="2615"/>
      <c r="AX8" s="2615"/>
      <c r="AY8" s="2615"/>
      <c r="AZ8" s="2615"/>
      <c r="BA8" s="2615"/>
      <c r="BB8" s="2615"/>
      <c r="BC8" s="2615"/>
      <c r="BD8" s="2615"/>
      <c r="BE8" s="2615"/>
      <c r="BF8" s="2615"/>
      <c r="BG8" s="2615"/>
      <c r="BH8" s="2615"/>
      <c r="BI8" s="2615"/>
      <c r="BJ8" s="2615"/>
      <c r="BK8" s="2615"/>
      <c r="BL8" s="2615"/>
      <c r="BM8" s="2615"/>
      <c r="BN8" s="2615"/>
      <c r="BO8" s="2615"/>
      <c r="BP8" s="2615"/>
      <c r="BQ8" s="2615"/>
      <c r="BR8" s="2615"/>
      <c r="BS8" s="2616"/>
      <c r="BT8" s="2603"/>
      <c r="BU8" s="2604"/>
      <c r="BV8" s="2604"/>
      <c r="BW8" s="2604"/>
      <c r="BX8" s="2604"/>
      <c r="BY8" s="2604"/>
      <c r="BZ8" s="2604"/>
      <c r="CA8" s="2604"/>
      <c r="CB8" s="2604"/>
      <c r="CC8" s="2604"/>
      <c r="CD8" s="2604"/>
      <c r="CE8" s="2604"/>
      <c r="CF8" s="2604"/>
      <c r="CG8" s="2604"/>
      <c r="CH8" s="2604"/>
      <c r="CI8" s="2604"/>
      <c r="CJ8" s="2604"/>
      <c r="CK8" s="2604"/>
      <c r="CL8" s="2604"/>
      <c r="CM8" s="2604"/>
      <c r="CN8" s="2604"/>
      <c r="CO8" s="2604"/>
      <c r="CP8" s="2604"/>
      <c r="CQ8" s="2604"/>
      <c r="CR8" s="2604"/>
      <c r="CS8" s="2604"/>
      <c r="CT8" s="2604"/>
      <c r="CU8" s="2604"/>
      <c r="CV8" s="2604"/>
      <c r="CW8" s="2604"/>
      <c r="CX8" s="2605"/>
      <c r="CY8" s="2606"/>
      <c r="CZ8" s="2607"/>
      <c r="DA8" s="2607"/>
      <c r="DB8" s="2607"/>
      <c r="DC8" s="2607"/>
      <c r="DD8" s="2607"/>
      <c r="DE8" s="2607"/>
      <c r="DF8" s="2607"/>
      <c r="DG8" s="2607"/>
      <c r="DH8" s="2607"/>
      <c r="DI8" s="2607"/>
      <c r="DJ8" s="2607"/>
      <c r="DK8" s="2607"/>
      <c r="DL8" s="2607"/>
      <c r="DM8" s="2607"/>
      <c r="DN8" s="2607"/>
      <c r="DO8" s="2607"/>
      <c r="DP8" s="2607"/>
      <c r="DQ8" s="2607"/>
      <c r="DR8" s="2607"/>
      <c r="DS8" s="2607"/>
      <c r="DT8" s="2607"/>
      <c r="DU8" s="2607"/>
      <c r="DV8" s="2607"/>
      <c r="DW8" s="2607"/>
      <c r="DX8" s="2608"/>
      <c r="DY8" s="2609" t="s">
        <v>2052</v>
      </c>
      <c r="DZ8" s="2610"/>
      <c r="EA8" s="2610"/>
      <c r="EB8" s="2610"/>
      <c r="EC8" s="2610"/>
      <c r="ED8" s="2610"/>
      <c r="EE8" s="2610"/>
      <c r="EF8" s="2610"/>
      <c r="EG8" s="2610"/>
      <c r="EH8" s="2610"/>
      <c r="EI8" s="2610"/>
      <c r="EJ8" s="2610"/>
      <c r="EK8" s="2610"/>
      <c r="EL8" s="2610"/>
      <c r="EM8" s="2610"/>
      <c r="EN8" s="2610"/>
      <c r="EO8" s="2610"/>
      <c r="EP8" s="2610"/>
      <c r="EQ8" s="2610"/>
      <c r="ER8" s="2610"/>
      <c r="ES8" s="2610"/>
      <c r="ET8" s="2610"/>
      <c r="EU8" s="2610"/>
      <c r="EV8" s="2610"/>
      <c r="EW8" s="2610"/>
      <c r="EX8" s="2610"/>
      <c r="EY8" s="2610"/>
      <c r="EZ8" s="2610"/>
      <c r="FA8" s="2610"/>
      <c r="FB8" s="2610"/>
      <c r="FC8" s="2610"/>
      <c r="FD8" s="2610"/>
      <c r="FE8" s="2610"/>
      <c r="FF8" s="2610"/>
      <c r="FG8" s="2610"/>
      <c r="FH8" s="2610"/>
      <c r="FI8" s="2610"/>
      <c r="FJ8" s="2610"/>
      <c r="FK8" s="2610"/>
      <c r="FL8" s="2610"/>
      <c r="FM8" s="2610"/>
      <c r="FN8" s="2610"/>
      <c r="FO8" s="2610"/>
      <c r="FP8" s="2610"/>
      <c r="FQ8" s="2610"/>
      <c r="FR8" s="2610"/>
      <c r="FS8" s="2610"/>
      <c r="FT8" s="2610"/>
      <c r="FU8" s="2610"/>
      <c r="FV8" s="2610"/>
      <c r="FW8" s="2611"/>
      <c r="FX8" s="1243"/>
    </row>
    <row s="7447" customFormat="1" customHeight="1" ht="11.25" hidden="1">
      <c r="B9" s="1116"/>
      <c r="F9" s="1243"/>
      <c r="G9" s="929"/>
      <c r="H9" s="508"/>
      <c r="I9" s="508"/>
      <c r="J9" s="508"/>
      <c r="K9" s="508"/>
      <c r="L9" s="508"/>
      <c r="M9" s="1243"/>
      <c r="N9" s="1243"/>
      <c r="O9" s="1243"/>
      <c r="P9" s="1243"/>
      <c r="Q9" s="1243"/>
      <c r="R9" s="1243"/>
      <c r="S9" s="1243"/>
      <c r="T9" s="1243"/>
      <c r="U9" s="1243"/>
      <c r="V9" s="1243"/>
      <c r="W9" s="1243"/>
      <c r="X9" s="1243"/>
      <c r="Y9" s="1243"/>
      <c r="Z9" s="1243"/>
      <c r="AA9" s="1243"/>
      <c r="AB9" s="1243"/>
      <c r="AC9" s="1243"/>
      <c r="AD9" s="1243"/>
      <c r="AE9" s="1243"/>
      <c r="AF9" s="1243"/>
      <c r="AG9" s="1243"/>
      <c r="AH9" s="1243"/>
      <c r="AI9" s="1243"/>
      <c r="AJ9" s="1243"/>
      <c r="AK9" s="1243"/>
      <c r="AL9" s="1243"/>
      <c r="AM9" s="1243"/>
      <c r="AN9" s="1243"/>
      <c r="AO9" s="1243"/>
      <c r="AP9" s="1243"/>
      <c r="AQ9" s="1243"/>
      <c r="AR9" s="1243"/>
      <c r="AS9" s="1243"/>
      <c r="AT9" s="1243"/>
      <c r="AU9" s="1243"/>
      <c r="AV9" s="1243"/>
      <c r="AW9" s="1243"/>
      <c r="AX9" s="1243"/>
      <c r="AY9" s="1243"/>
      <c r="AZ9" s="1243"/>
      <c r="BA9" s="1243"/>
      <c r="BB9" s="1243"/>
      <c r="BC9" s="1243"/>
      <c r="BD9" s="1243"/>
      <c r="BE9" s="1243"/>
      <c r="BF9" s="1243"/>
      <c r="BG9" s="1243"/>
      <c r="BH9" s="1243"/>
      <c r="BI9" s="1243"/>
      <c r="BJ9" s="1243"/>
      <c r="BK9" s="1243"/>
      <c r="BL9" s="1243"/>
      <c r="BM9" s="1243"/>
      <c r="BN9" s="1243"/>
      <c r="BO9" s="1243"/>
      <c r="BP9" s="1243"/>
      <c r="BQ9" s="1243"/>
      <c r="BR9" s="1243"/>
      <c r="BS9" s="1243"/>
      <c r="BT9" s="1243"/>
      <c r="BU9" s="1243"/>
      <c r="BV9" s="1243"/>
      <c r="BW9" s="1243"/>
      <c r="BX9" s="1243"/>
      <c r="BY9" s="1243"/>
      <c r="BZ9" s="1243"/>
      <c r="CA9" s="1243"/>
      <c r="CB9" s="1243"/>
      <c r="CC9" s="1243"/>
      <c r="CD9" s="1243"/>
      <c r="CE9" s="1243"/>
      <c r="CF9" s="1243"/>
      <c r="CG9" s="1243"/>
      <c r="CH9" s="1243"/>
      <c r="CI9" s="1243"/>
      <c r="CJ9" s="1243"/>
      <c r="CK9" s="1243"/>
      <c r="CL9" s="1243"/>
      <c r="CM9" s="1243"/>
      <c r="CN9" s="1243"/>
      <c r="CO9" s="1243"/>
      <c r="CP9" s="1243"/>
      <c r="CQ9" s="1243"/>
      <c r="CR9" s="1243"/>
      <c r="CS9" s="1243"/>
      <c r="CT9" s="1243"/>
      <c r="CU9" s="1243"/>
      <c r="CV9" s="1243"/>
      <c r="CW9" s="1243"/>
      <c r="CX9" s="1243"/>
      <c r="CY9" s="1243"/>
      <c r="CZ9" s="1243"/>
      <c r="DA9" s="1243"/>
      <c r="DB9" s="1243"/>
      <c r="DC9" s="1243"/>
      <c r="DD9" s="1243"/>
      <c r="DE9" s="1243"/>
      <c r="DF9" s="1243"/>
      <c r="DG9" s="1243"/>
      <c r="DH9" s="1243"/>
      <c r="DI9" s="1243"/>
      <c r="DJ9" s="1243"/>
      <c r="DK9" s="1243"/>
      <c r="DL9" s="1243"/>
      <c r="DM9" s="1243"/>
      <c r="DN9" s="1243"/>
      <c r="DO9" s="1243"/>
      <c r="DP9" s="1243"/>
      <c r="DQ9" s="1243"/>
      <c r="DR9" s="1243"/>
      <c r="DS9" s="1243"/>
      <c r="DT9" s="1243"/>
      <c r="DU9" s="1243"/>
      <c r="DV9" s="1243"/>
      <c r="DW9" s="1243"/>
      <c r="DX9" s="1243"/>
      <c r="DY9" s="1243"/>
      <c r="DZ9" s="1243"/>
      <c r="EA9" s="1243"/>
      <c r="EB9" s="1243"/>
      <c r="EC9" s="1243"/>
      <c r="ED9" s="1243"/>
      <c r="EE9" s="1243"/>
      <c r="EF9" s="1243"/>
      <c r="EG9" s="1243"/>
      <c r="EH9" s="1243"/>
      <c r="EI9" s="1243"/>
      <c r="EJ9" s="1243"/>
      <c r="EK9" s="1243"/>
      <c r="EL9" s="1243"/>
      <c r="EM9" s="1243"/>
      <c r="EN9" s="1243"/>
      <c r="EO9" s="1243"/>
      <c r="EP9" s="1243"/>
      <c r="EQ9" s="1243"/>
      <c r="ER9" s="1243"/>
      <c r="ES9" s="1243"/>
      <c r="ET9" s="1243"/>
      <c r="EU9" s="1243"/>
      <c r="EV9" s="1243"/>
      <c r="EW9" s="1243"/>
      <c r="EX9" s="1243"/>
      <c r="EY9" s="1243"/>
      <c r="EZ9" s="1243"/>
      <c r="FA9" s="1243"/>
      <c r="FB9" s="1243"/>
      <c r="FC9" s="1243"/>
      <c r="FD9" s="1243"/>
      <c r="FE9" s="1243"/>
      <c r="FF9" s="1243"/>
      <c r="FG9" s="1243"/>
      <c r="FH9" s="1243"/>
      <c r="FI9" s="1243"/>
      <c r="FJ9" s="1243"/>
      <c r="FK9" s="1243"/>
      <c r="FL9" s="1243"/>
      <c r="FM9" s="1243"/>
      <c r="FN9" s="1243"/>
      <c r="FO9" s="1243"/>
      <c r="FP9" s="1243"/>
      <c r="FQ9" s="1243"/>
      <c r="FR9" s="1243"/>
      <c r="FS9" s="1243"/>
      <c r="FT9" s="1243"/>
      <c r="FU9" s="1243"/>
      <c r="FV9" s="1243"/>
      <c r="FW9" s="2612"/>
      <c r="FX9" s="1243"/>
    </row>
    <row s="7447" customFormat="1" customHeight="1" ht="11.25">
      <c r="B10" s="1116"/>
      <c r="F10" s="2580" t="s">
        <v>300</v>
      </c>
      <c r="G10" s="2581"/>
      <c r="H10" s="2581"/>
      <c r="I10" s="2581"/>
      <c r="J10" s="2581"/>
      <c r="K10" s="2581"/>
      <c r="L10" s="2581"/>
      <c r="M10" s="2581"/>
      <c r="N10" s="2581"/>
      <c r="O10" s="2581"/>
      <c r="P10" s="2581"/>
      <c r="Q10" s="2581"/>
      <c r="R10" s="2581"/>
      <c r="S10" s="2581"/>
      <c r="T10" s="2581"/>
      <c r="U10" s="2581"/>
      <c r="V10" s="2581"/>
      <c r="W10" s="2581"/>
      <c r="X10" s="2581"/>
      <c r="Y10" s="2581"/>
      <c r="Z10" s="2581"/>
      <c r="AA10" s="2581"/>
      <c r="AB10" s="2581"/>
      <c r="AC10" s="2581"/>
      <c r="AD10" s="2581"/>
      <c r="AE10" s="2581"/>
      <c r="AF10" s="2581"/>
      <c r="AG10" s="2581"/>
      <c r="AH10" s="2581"/>
      <c r="AI10" s="2581"/>
      <c r="AJ10" s="2581"/>
      <c r="AK10" s="2581"/>
      <c r="AL10" s="2581"/>
      <c r="AM10" s="2581"/>
      <c r="AN10" s="2581"/>
      <c r="AO10" s="2581"/>
      <c r="AP10" s="2581"/>
      <c r="AQ10" s="2581"/>
      <c r="AR10" s="2581"/>
      <c r="AS10" s="2581"/>
      <c r="AT10" s="2581"/>
      <c r="AU10" s="2581"/>
      <c r="AV10" s="2581"/>
      <c r="AW10" s="2581"/>
      <c r="AX10" s="2581"/>
      <c r="AY10" s="2581"/>
      <c r="AZ10" s="2581"/>
      <c r="BA10" s="2581"/>
      <c r="BB10" s="2581"/>
      <c r="BC10" s="2581"/>
      <c r="BD10" s="2581"/>
      <c r="BE10" s="2581"/>
      <c r="BF10" s="2581"/>
      <c r="BG10" s="2581"/>
      <c r="BH10" s="2581"/>
      <c r="BI10" s="2581"/>
      <c r="BJ10" s="2581"/>
      <c r="BK10" s="2581"/>
      <c r="BL10" s="2581"/>
      <c r="BM10" s="2581"/>
      <c r="BN10" s="2581"/>
      <c r="BO10" s="2581"/>
      <c r="BP10" s="2581"/>
      <c r="BQ10" s="2581"/>
      <c r="BR10" s="2581"/>
      <c r="BS10" s="2581"/>
      <c r="BT10" s="2581"/>
      <c r="BU10" s="2581"/>
      <c r="BV10" s="2581"/>
      <c r="BW10" s="2581"/>
      <c r="BX10" s="2581"/>
      <c r="BY10" s="2581"/>
      <c r="BZ10" s="2581"/>
      <c r="CA10" s="2581"/>
      <c r="CB10" s="2581"/>
      <c r="CC10" s="2581"/>
      <c r="CD10" s="2581"/>
      <c r="CE10" s="2581"/>
      <c r="CF10" s="2581"/>
      <c r="CG10" s="2581"/>
      <c r="CH10" s="2581"/>
      <c r="CI10" s="2581"/>
      <c r="CJ10" s="2581"/>
      <c r="CK10" s="2581"/>
      <c r="CL10" s="2581"/>
      <c r="CM10" s="2581"/>
      <c r="CN10" s="2581"/>
      <c r="CO10" s="2581"/>
      <c r="CP10" s="2581"/>
      <c r="CQ10" s="2581"/>
      <c r="CR10" s="2581"/>
      <c r="CS10" s="2581"/>
      <c r="CT10" s="2581"/>
      <c r="CU10" s="2581"/>
      <c r="CV10" s="2581"/>
      <c r="CW10" s="2581"/>
      <c r="CX10" s="2581"/>
      <c r="CY10" s="2581"/>
      <c r="CZ10" s="2581"/>
      <c r="DA10" s="2581"/>
      <c r="DB10" s="2581"/>
      <c r="DC10" s="2581"/>
      <c r="DD10" s="2581"/>
      <c r="DE10" s="2581"/>
      <c r="DF10" s="2581"/>
      <c r="DG10" s="2581"/>
      <c r="DH10" s="2581"/>
      <c r="DI10" s="2581"/>
      <c r="DJ10" s="2581"/>
      <c r="DK10" s="2581"/>
      <c r="DL10" s="2581"/>
      <c r="DM10" s="2581"/>
      <c r="DN10" s="2581"/>
      <c r="DO10" s="2581"/>
      <c r="DP10" s="2581"/>
      <c r="DQ10" s="2581"/>
      <c r="DR10" s="2581"/>
      <c r="DS10" s="2581"/>
      <c r="DT10" s="2581"/>
      <c r="DU10" s="2581"/>
      <c r="DV10" s="2581"/>
      <c r="DW10" s="2581"/>
      <c r="DX10" s="2581"/>
      <c r="DY10" s="2581"/>
      <c r="DZ10" s="2581"/>
      <c r="EA10" s="2581"/>
      <c r="EB10" s="2581"/>
      <c r="EC10" s="2581"/>
      <c r="ED10" s="2581"/>
      <c r="EE10" s="2581"/>
      <c r="EF10" s="2581"/>
      <c r="EG10" s="2581"/>
      <c r="EH10" s="2581"/>
      <c r="EI10" s="2581"/>
      <c r="EJ10" s="2581"/>
      <c r="EK10" s="2581"/>
      <c r="EL10" s="2581"/>
      <c r="EM10" s="2581"/>
      <c r="EN10" s="2581"/>
      <c r="EO10" s="2581"/>
      <c r="EP10" s="2581"/>
      <c r="EQ10" s="2581"/>
      <c r="ER10" s="2581"/>
      <c r="ES10" s="2581"/>
      <c r="ET10" s="2581"/>
      <c r="EU10" s="2581"/>
      <c r="EV10" s="2581"/>
      <c r="EW10" s="2581"/>
      <c r="EX10" s="2581"/>
      <c r="EY10" s="2581"/>
      <c r="EZ10" s="2581"/>
      <c r="FA10" s="2581"/>
      <c r="FB10" s="2581"/>
      <c r="FC10" s="2581"/>
      <c r="FD10" s="2581"/>
      <c r="FE10" s="2581"/>
      <c r="FF10" s="2581"/>
      <c r="FG10" s="2581"/>
      <c r="FH10" s="2581"/>
      <c r="FI10" s="2581"/>
      <c r="FJ10" s="2581"/>
      <c r="FK10" s="2581"/>
      <c r="FL10" s="2581"/>
      <c r="FM10" s="2581"/>
      <c r="FN10" s="2581"/>
      <c r="FO10" s="2581"/>
      <c r="FP10" s="2581"/>
      <c r="FQ10" s="2581"/>
      <c r="FR10" s="2581"/>
      <c r="FS10" s="2581"/>
      <c r="FT10" s="2581"/>
      <c r="FU10" s="2581"/>
      <c r="FV10" s="2582"/>
      <c r="FW10" s="2612"/>
      <c r="FX10" s="1243"/>
    </row>
    <row customHeight="1" ht="12">
      <c r="E11" s="1119"/>
      <c r="F11" s="2598" t="s">
        <v>87</v>
      </c>
      <c r="G11" s="2598" t="s">
        <v>2053</v>
      </c>
      <c r="H11" s="2599" t="s">
        <v>2054</v>
      </c>
      <c r="I11" s="2599" t="s">
        <v>2055</v>
      </c>
      <c r="J11" s="2600"/>
      <c r="K11" s="2600"/>
      <c r="L11" s="2600"/>
      <c r="M11" s="2600"/>
      <c r="N11" s="2600"/>
      <c r="O11" s="2601" t="s">
        <v>2056</v>
      </c>
      <c r="P11" s="2601"/>
      <c r="Q11" s="2601"/>
      <c r="R11" s="2601"/>
      <c r="S11" s="2601"/>
      <c r="T11" s="2601"/>
      <c r="U11" s="2601"/>
      <c r="V11" s="2601"/>
      <c r="W11" s="2601"/>
      <c r="X11" s="2601"/>
      <c r="Y11" s="2601"/>
      <c r="Z11" s="2601"/>
      <c r="AA11" s="2601"/>
      <c r="AB11" s="2601"/>
      <c r="AC11" s="2590"/>
      <c r="AD11" s="2590"/>
      <c r="AE11" s="2590"/>
      <c r="AF11" s="2590"/>
      <c r="AG11" s="2590"/>
      <c r="AH11" s="2590"/>
      <c r="AI11" s="2590"/>
      <c r="AJ11" s="2590"/>
      <c r="AK11" s="2590"/>
      <c r="AL11" s="2590"/>
      <c r="AM11" s="2590"/>
      <c r="AN11" s="2590"/>
      <c r="AO11" s="2590"/>
      <c r="AP11" s="2590"/>
      <c r="AQ11" s="2590"/>
      <c r="AR11" s="2590"/>
      <c r="AS11" s="2590"/>
      <c r="AT11" s="2590"/>
      <c r="AU11" s="2590"/>
      <c r="AV11" s="2590"/>
      <c r="AW11" s="2590"/>
      <c r="AX11" s="2590"/>
      <c r="AY11" s="2590"/>
      <c r="AZ11" s="2590"/>
      <c r="BA11" s="2590"/>
      <c r="BB11" s="2590"/>
      <c r="BC11" s="2590"/>
      <c r="BD11" s="2590"/>
      <c r="BE11" s="2590"/>
      <c r="BF11" s="2590"/>
      <c r="BG11" s="2590"/>
      <c r="BH11" s="2590"/>
      <c r="BI11" s="2590"/>
      <c r="BJ11" s="2590"/>
      <c r="BK11" s="2590"/>
      <c r="BL11" s="2590"/>
      <c r="BM11" s="2590"/>
      <c r="BN11" s="2590"/>
      <c r="BO11" s="2590"/>
      <c r="BP11" s="2590"/>
      <c r="BQ11" s="2590"/>
      <c r="BR11" s="2590"/>
      <c r="BS11" s="2617"/>
      <c r="BT11" s="2587" t="s">
        <v>2056</v>
      </c>
      <c r="BU11" s="2588"/>
      <c r="BV11" s="2588"/>
      <c r="BW11" s="2588"/>
      <c r="BX11" s="2588"/>
      <c r="BY11" s="2588"/>
      <c r="BZ11" s="2588"/>
      <c r="CA11" s="2588"/>
      <c r="CB11" s="2588"/>
      <c r="CC11" s="2588"/>
      <c r="CD11" s="2588"/>
      <c r="CE11" s="2588"/>
      <c r="CF11" s="2588"/>
      <c r="CG11" s="2588"/>
      <c r="CH11" s="2588"/>
      <c r="CI11" s="2588"/>
      <c r="CJ11" s="2588"/>
      <c r="CK11" s="2589"/>
      <c r="CL11" s="2595"/>
      <c r="CM11" s="2590"/>
      <c r="CN11" s="2590"/>
      <c r="CO11" s="2590"/>
      <c r="CP11" s="2590"/>
      <c r="CQ11" s="2590"/>
      <c r="CR11" s="2590"/>
      <c r="CS11" s="2590"/>
      <c r="CT11" s="2590"/>
      <c r="CU11" s="2590"/>
      <c r="CV11" s="2590"/>
      <c r="CW11" s="2590"/>
      <c r="CX11" s="2617"/>
      <c r="CY11" s="2587" t="s">
        <v>2056</v>
      </c>
      <c r="CZ11" s="2588"/>
      <c r="DA11" s="2588"/>
      <c r="DB11" s="2588"/>
      <c r="DC11" s="2588"/>
      <c r="DD11" s="2588"/>
      <c r="DE11" s="2588"/>
      <c r="DF11" s="2588"/>
      <c r="DG11" s="2588"/>
      <c r="DH11" s="2588"/>
      <c r="DI11" s="2588"/>
      <c r="DJ11" s="2589"/>
      <c r="DK11" s="2595"/>
      <c r="DL11" s="2590"/>
      <c r="DM11" s="2590"/>
      <c r="DN11" s="2590"/>
      <c r="DO11" s="2590"/>
      <c r="DP11" s="2590"/>
      <c r="DQ11" s="2590"/>
      <c r="DR11" s="2590"/>
      <c r="DS11" s="2590"/>
      <c r="DT11" s="2590"/>
      <c r="DU11" s="2590"/>
      <c r="DV11" s="2590"/>
      <c r="DW11" s="2590"/>
      <c r="DX11" s="2590"/>
      <c r="DY11" s="2590"/>
      <c r="DZ11" s="2590"/>
      <c r="EA11" s="2590"/>
      <c r="EB11" s="2590"/>
      <c r="EC11" s="2590"/>
      <c r="ED11" s="2590"/>
      <c r="EE11" s="2590"/>
      <c r="EF11" s="2590"/>
      <c r="EG11" s="2590"/>
      <c r="EH11" s="2590"/>
      <c r="EI11" s="2590"/>
      <c r="EJ11" s="2590"/>
      <c r="EK11" s="2590"/>
      <c r="EL11" s="2590"/>
      <c r="EM11" s="2590"/>
      <c r="EN11" s="2590"/>
      <c r="EO11" s="2590"/>
      <c r="EP11" s="2590"/>
      <c r="EQ11" s="2590"/>
      <c r="ER11" s="2590"/>
      <c r="ES11" s="2590"/>
      <c r="ET11" s="2590"/>
      <c r="EU11" s="2590"/>
      <c r="EV11" s="2590"/>
      <c r="EW11" s="2590"/>
      <c r="EX11" s="2590"/>
      <c r="EY11" s="2590"/>
      <c r="EZ11" s="2590"/>
      <c r="FA11" s="2590"/>
      <c r="FB11" s="2590"/>
      <c r="FC11" s="2590"/>
      <c r="FD11" s="2590"/>
      <c r="FE11" s="2590"/>
      <c r="FF11" s="2590"/>
      <c r="FG11" s="2590"/>
      <c r="FH11" s="2590"/>
      <c r="FI11" s="2590"/>
      <c r="FJ11" s="2590"/>
      <c r="FK11" s="2590"/>
      <c r="FL11" s="2590"/>
      <c r="FM11" s="2590"/>
      <c r="FN11" s="2590"/>
      <c r="FO11" s="2590"/>
      <c r="FP11" s="2590"/>
      <c r="FQ11" s="2590"/>
      <c r="FR11" s="2590"/>
      <c r="FS11" s="2590"/>
      <c r="FT11" s="2590"/>
      <c r="FU11" s="2590"/>
      <c r="FV11" s="2590"/>
      <c r="FW11" s="2612"/>
      <c r="FX11" s="928"/>
    </row>
    <row customHeight="1" ht="12">
      <c r="D12" s="1120"/>
      <c r="E12" s="1119"/>
      <c r="F12" s="2598"/>
      <c r="G12" s="2598"/>
      <c r="H12" s="2599"/>
      <c r="I12" s="2599"/>
      <c r="J12" s="2600"/>
      <c r="K12" s="2600"/>
      <c r="L12" s="2600"/>
      <c r="M12" s="2600"/>
      <c r="N12" s="2600"/>
      <c r="O12" s="2601" t="s">
        <v>2057</v>
      </c>
      <c r="P12" s="2601"/>
      <c r="Q12" s="2601"/>
      <c r="R12" s="2601"/>
      <c r="S12" s="2601" t="s">
        <v>2058</v>
      </c>
      <c r="T12" s="2601"/>
      <c r="U12" s="2601"/>
      <c r="V12" s="2601"/>
      <c r="W12" s="2601"/>
      <c r="X12" s="2601"/>
      <c r="Y12" s="2601"/>
      <c r="Z12" s="2601"/>
      <c r="AA12" s="2601"/>
      <c r="AB12" s="2601"/>
      <c r="AC12" s="2590"/>
      <c r="AD12" s="2590"/>
      <c r="AE12" s="2590"/>
      <c r="AF12" s="2590"/>
      <c r="AG12" s="2590"/>
      <c r="AH12" s="2590"/>
      <c r="AI12" s="2590"/>
      <c r="AJ12" s="2590"/>
      <c r="AK12" s="2590"/>
      <c r="AL12" s="2590"/>
      <c r="AM12" s="2590"/>
      <c r="AN12" s="2590"/>
      <c r="AO12" s="2590"/>
      <c r="AP12" s="2590"/>
      <c r="AQ12" s="2590"/>
      <c r="AR12" s="2590"/>
      <c r="AS12" s="2590"/>
      <c r="AT12" s="2590"/>
      <c r="AU12" s="2590"/>
      <c r="AV12" s="2590"/>
      <c r="AW12" s="2590"/>
      <c r="AX12" s="2590"/>
      <c r="AY12" s="2590"/>
      <c r="AZ12" s="2590"/>
      <c r="BA12" s="2590"/>
      <c r="BB12" s="2590"/>
      <c r="BC12" s="2590"/>
      <c r="BD12" s="2590"/>
      <c r="BE12" s="2590"/>
      <c r="BF12" s="2590"/>
      <c r="BG12" s="2590"/>
      <c r="BH12" s="2590"/>
      <c r="BI12" s="2590"/>
      <c r="BJ12" s="2590"/>
      <c r="BK12" s="2590"/>
      <c r="BL12" s="2590"/>
      <c r="BM12" s="2590"/>
      <c r="BN12" s="2590"/>
      <c r="BO12" s="2590"/>
      <c r="BP12" s="2590"/>
      <c r="BQ12" s="2590"/>
      <c r="BR12" s="2590"/>
      <c r="BS12" s="2617"/>
      <c r="BT12" s="2587" t="s">
        <v>2059</v>
      </c>
      <c r="BU12" s="2588"/>
      <c r="BV12" s="2588"/>
      <c r="BW12" s="2589"/>
      <c r="BX12" s="2587" t="s">
        <v>2060</v>
      </c>
      <c r="BY12" s="2588"/>
      <c r="BZ12" s="2588"/>
      <c r="CA12" s="2589"/>
      <c r="CB12" s="2587" t="s">
        <v>2061</v>
      </c>
      <c r="CC12" s="2589"/>
      <c r="CD12" s="2587" t="s">
        <v>2062</v>
      </c>
      <c r="CE12" s="2588"/>
      <c r="CF12" s="2588"/>
      <c r="CG12" s="2588"/>
      <c r="CH12" s="2588"/>
      <c r="CI12" s="2588"/>
      <c r="CJ12" s="2588"/>
      <c r="CK12" s="2589"/>
      <c r="CL12" s="2595"/>
      <c r="CM12" s="2590"/>
      <c r="CN12" s="2590"/>
      <c r="CO12" s="2590"/>
      <c r="CP12" s="2590"/>
      <c r="CQ12" s="2590"/>
      <c r="CR12" s="2590"/>
      <c r="CS12" s="2590"/>
      <c r="CT12" s="2590"/>
      <c r="CU12" s="2590"/>
      <c r="CV12" s="2590"/>
      <c r="CW12" s="2590"/>
      <c r="CX12" s="2617"/>
      <c r="CY12" s="2587" t="s">
        <v>2063</v>
      </c>
      <c r="CZ12" s="2588"/>
      <c r="DA12" s="2588"/>
      <c r="DB12" s="2588"/>
      <c r="DC12" s="2588"/>
      <c r="DD12" s="2589"/>
      <c r="DE12" s="2587" t="s">
        <v>2064</v>
      </c>
      <c r="DF12" s="2589"/>
      <c r="DG12" s="2587" t="s">
        <v>2062</v>
      </c>
      <c r="DH12" s="2588"/>
      <c r="DI12" s="2588"/>
      <c r="DJ12" s="2589"/>
      <c r="DK12" s="2595"/>
      <c r="DL12" s="2590"/>
      <c r="DM12" s="2590"/>
      <c r="DN12" s="2590"/>
      <c r="DO12" s="2590"/>
      <c r="DP12" s="2590"/>
      <c r="DQ12" s="2590"/>
      <c r="DR12" s="2590"/>
      <c r="DS12" s="2590"/>
      <c r="DT12" s="2590"/>
      <c r="DU12" s="2590"/>
      <c r="DV12" s="2590"/>
      <c r="DW12" s="2590"/>
      <c r="DX12" s="2590"/>
      <c r="DY12" s="2590"/>
      <c r="DZ12" s="2590"/>
      <c r="EA12" s="2590"/>
      <c r="EB12" s="2590"/>
      <c r="EC12" s="2590"/>
      <c r="ED12" s="2590"/>
      <c r="EE12" s="2590"/>
      <c r="EF12" s="2590"/>
      <c r="EG12" s="2590"/>
      <c r="EH12" s="2590"/>
      <c r="EI12" s="2590"/>
      <c r="EJ12" s="2590"/>
      <c r="EK12" s="2590"/>
      <c r="EL12" s="2590"/>
      <c r="EM12" s="2590"/>
      <c r="EN12" s="2590"/>
      <c r="EO12" s="2590"/>
      <c r="EP12" s="2590"/>
      <c r="EQ12" s="2590"/>
      <c r="ER12" s="2590"/>
      <c r="ES12" s="2590"/>
      <c r="ET12" s="2590"/>
      <c r="EU12" s="2590"/>
      <c r="EV12" s="2590"/>
      <c r="EW12" s="2590"/>
      <c r="EX12" s="2590"/>
      <c r="EY12" s="2590"/>
      <c r="EZ12" s="2590"/>
      <c r="FA12" s="2590"/>
      <c r="FB12" s="2590"/>
      <c r="FC12" s="2590"/>
      <c r="FD12" s="2590"/>
      <c r="FE12" s="2590"/>
      <c r="FF12" s="2590"/>
      <c r="FG12" s="2590"/>
      <c r="FH12" s="2590"/>
      <c r="FI12" s="2590"/>
      <c r="FJ12" s="2590"/>
      <c r="FK12" s="2590"/>
      <c r="FL12" s="2590"/>
      <c r="FM12" s="2590"/>
      <c r="FN12" s="2590"/>
      <c r="FO12" s="2590"/>
      <c r="FP12" s="2590"/>
      <c r="FQ12" s="2590"/>
      <c r="FR12" s="2590"/>
      <c r="FS12" s="2590"/>
      <c r="FT12" s="2590"/>
      <c r="FU12" s="2590"/>
      <c r="FV12" s="2590"/>
      <c r="FW12" s="2612"/>
      <c r="FX12" s="928"/>
    </row>
    <row customHeight="1" ht="36">
      <c r="D13" s="1120"/>
      <c r="E13" s="1119"/>
      <c r="F13" s="2598"/>
      <c r="G13" s="2598"/>
      <c r="H13" s="2599"/>
      <c r="I13" s="2599"/>
      <c r="J13" s="2600"/>
      <c r="K13" s="2600"/>
      <c r="L13" s="2600"/>
      <c r="M13" s="2600"/>
      <c r="N13" s="2600"/>
      <c r="O13" s="2601" t="s">
        <v>2065</v>
      </c>
      <c r="P13" s="2601"/>
      <c r="Q13" s="2601"/>
      <c r="R13" s="2601"/>
      <c r="S13" s="2591" t="s">
        <v>2066</v>
      </c>
      <c r="T13" s="2592"/>
      <c r="U13" s="2602" t="s">
        <v>2067</v>
      </c>
      <c r="V13" s="2602"/>
      <c r="W13" s="2602"/>
      <c r="X13" s="2602"/>
      <c r="Y13" s="2602" t="s">
        <v>2068</v>
      </c>
      <c r="Z13" s="2602"/>
      <c r="AA13" s="2602"/>
      <c r="AB13" s="2602"/>
      <c r="AC13" s="2590"/>
      <c r="AD13" s="2590"/>
      <c r="AE13" s="2590"/>
      <c r="AF13" s="2590"/>
      <c r="AG13" s="2590"/>
      <c r="AH13" s="2590"/>
      <c r="AI13" s="2590"/>
      <c r="AJ13" s="2590"/>
      <c r="AK13" s="2590"/>
      <c r="AL13" s="2590"/>
      <c r="AM13" s="2590"/>
      <c r="AN13" s="2590"/>
      <c r="AO13" s="2590"/>
      <c r="AP13" s="2590"/>
      <c r="AQ13" s="2590"/>
      <c r="AR13" s="2590"/>
      <c r="AS13" s="2590"/>
      <c r="AT13" s="2590"/>
      <c r="AU13" s="2590"/>
      <c r="AV13" s="2590"/>
      <c r="AW13" s="2590"/>
      <c r="AX13" s="2590"/>
      <c r="AY13" s="2590"/>
      <c r="AZ13" s="2590"/>
      <c r="BA13" s="2590"/>
      <c r="BB13" s="2590"/>
      <c r="BC13" s="2590"/>
      <c r="BD13" s="2590"/>
      <c r="BE13" s="2590"/>
      <c r="BF13" s="2590"/>
      <c r="BG13" s="2590"/>
      <c r="BH13" s="2590"/>
      <c r="BI13" s="2590"/>
      <c r="BJ13" s="2590"/>
      <c r="BK13" s="2590"/>
      <c r="BL13" s="2590"/>
      <c r="BM13" s="2590"/>
      <c r="BN13" s="2590"/>
      <c r="BO13" s="2590"/>
      <c r="BP13" s="2590"/>
      <c r="BQ13" s="2590"/>
      <c r="BR13" s="2590"/>
      <c r="BS13" s="2617"/>
      <c r="BT13" s="2591" t="s">
        <v>2069</v>
      </c>
      <c r="BU13" s="2592"/>
      <c r="BV13" s="2591" t="s">
        <v>2070</v>
      </c>
      <c r="BW13" s="2592"/>
      <c r="BX13" s="2591" t="s">
        <v>2071</v>
      </c>
      <c r="BY13" s="2592"/>
      <c r="BZ13" s="2591" t="s">
        <v>2072</v>
      </c>
      <c r="CA13" s="2592"/>
      <c r="CB13" s="2591" t="s">
        <v>2073</v>
      </c>
      <c r="CC13" s="2592"/>
      <c r="CD13" s="2591" t="s">
        <v>2074</v>
      </c>
      <c r="CE13" s="2592"/>
      <c r="CF13" s="2591" t="s">
        <v>2075</v>
      </c>
      <c r="CG13" s="2592"/>
      <c r="CH13" s="2587" t="s">
        <v>2076</v>
      </c>
      <c r="CI13" s="2588"/>
      <c r="CJ13" s="2588"/>
      <c r="CK13" s="2589"/>
      <c r="CL13" s="2595"/>
      <c r="CM13" s="2590"/>
      <c r="CN13" s="2590"/>
      <c r="CO13" s="2590"/>
      <c r="CP13" s="2590"/>
      <c r="CQ13" s="2590"/>
      <c r="CR13" s="2590"/>
      <c r="CS13" s="2590"/>
      <c r="CT13" s="2590"/>
      <c r="CU13" s="2590"/>
      <c r="CV13" s="2590"/>
      <c r="CW13" s="2590"/>
      <c r="CX13" s="2617"/>
      <c r="CY13" s="2591" t="s">
        <v>2077</v>
      </c>
      <c r="CZ13" s="2592"/>
      <c r="DA13" s="2591" t="s">
        <v>2078</v>
      </c>
      <c r="DB13" s="2592"/>
      <c r="DC13" s="2591" t="s">
        <v>2079</v>
      </c>
      <c r="DD13" s="2592"/>
      <c r="DE13" s="2591" t="s">
        <v>2080</v>
      </c>
      <c r="DF13" s="2592"/>
      <c r="DG13" s="2587" t="s">
        <v>2081</v>
      </c>
      <c r="DH13" s="2588"/>
      <c r="DI13" s="2588"/>
      <c r="DJ13" s="2589"/>
      <c r="DK13" s="2595"/>
      <c r="DL13" s="2590"/>
      <c r="DM13" s="2590"/>
      <c r="DN13" s="2590"/>
      <c r="DO13" s="2590"/>
      <c r="DP13" s="2590"/>
      <c r="DQ13" s="2590"/>
      <c r="DR13" s="2590"/>
      <c r="DS13" s="2590"/>
      <c r="DT13" s="2590"/>
      <c r="DU13" s="2590"/>
      <c r="DV13" s="2590"/>
      <c r="DW13" s="2590"/>
      <c r="DX13" s="2590"/>
      <c r="DY13" s="2590"/>
      <c r="DZ13" s="2590"/>
      <c r="EA13" s="2590"/>
      <c r="EB13" s="2590"/>
      <c r="EC13" s="2590"/>
      <c r="ED13" s="2590"/>
      <c r="EE13" s="2590"/>
      <c r="EF13" s="2590"/>
      <c r="EG13" s="2590"/>
      <c r="EH13" s="2590"/>
      <c r="EI13" s="2590"/>
      <c r="EJ13" s="2590"/>
      <c r="EK13" s="2590"/>
      <c r="EL13" s="2590"/>
      <c r="EM13" s="2590"/>
      <c r="EN13" s="2590"/>
      <c r="EO13" s="2590"/>
      <c r="EP13" s="2590"/>
      <c r="EQ13" s="2590"/>
      <c r="ER13" s="2590"/>
      <c r="ES13" s="2590"/>
      <c r="ET13" s="2590"/>
      <c r="EU13" s="2590"/>
      <c r="EV13" s="2590"/>
      <c r="EW13" s="2590"/>
      <c r="EX13" s="2590"/>
      <c r="EY13" s="2590"/>
      <c r="EZ13" s="2590"/>
      <c r="FA13" s="2590"/>
      <c r="FB13" s="2590"/>
      <c r="FC13" s="2590"/>
      <c r="FD13" s="2590"/>
      <c r="FE13" s="2590"/>
      <c r="FF13" s="2590"/>
      <c r="FG13" s="2590"/>
      <c r="FH13" s="2590"/>
      <c r="FI13" s="2590"/>
      <c r="FJ13" s="2590"/>
      <c r="FK13" s="2590"/>
      <c r="FL13" s="2590"/>
      <c r="FM13" s="2590"/>
      <c r="FN13" s="2590"/>
      <c r="FO13" s="2590"/>
      <c r="FP13" s="2590"/>
      <c r="FQ13" s="2590"/>
      <c r="FR13" s="2590"/>
      <c r="FS13" s="2590"/>
      <c r="FT13" s="2590"/>
      <c r="FU13" s="2590"/>
      <c r="FV13" s="2590"/>
      <c r="FW13" s="2612"/>
      <c r="FX13" s="928"/>
    </row>
    <row customHeight="1" ht="36">
      <c r="D14" s="1120"/>
      <c r="E14" s="1119"/>
      <c r="F14" s="2598"/>
      <c r="G14" s="2598"/>
      <c r="H14" s="2599"/>
      <c r="I14" s="2599"/>
      <c r="J14" s="2600"/>
      <c r="K14" s="2600"/>
      <c r="L14" s="2600"/>
      <c r="M14" s="2600"/>
      <c r="N14" s="2600"/>
      <c r="O14" s="2591" t="s">
        <v>2082</v>
      </c>
      <c r="P14" s="2592"/>
      <c r="Q14" s="2591" t="s">
        <v>2083</v>
      </c>
      <c r="R14" s="2592"/>
      <c r="S14" s="2596"/>
      <c r="T14" s="2597"/>
      <c r="U14" s="2591" t="s">
        <v>1871</v>
      </c>
      <c r="V14" s="2592"/>
      <c r="W14" s="2591" t="s">
        <v>1874</v>
      </c>
      <c r="X14" s="2592"/>
      <c r="Y14" s="2591" t="s">
        <v>1871</v>
      </c>
      <c r="Z14" s="2592"/>
      <c r="AA14" s="2591" t="s">
        <v>1881</v>
      </c>
      <c r="AB14" s="2592"/>
      <c r="AC14" s="2590"/>
      <c r="AD14" s="2590"/>
      <c r="AE14" s="2590"/>
      <c r="AF14" s="2590"/>
      <c r="AG14" s="2590"/>
      <c r="AH14" s="2590"/>
      <c r="AI14" s="2590"/>
      <c r="AJ14" s="2590"/>
      <c r="AK14" s="2590"/>
      <c r="AL14" s="2590"/>
      <c r="AM14" s="2590"/>
      <c r="AN14" s="2590"/>
      <c r="AO14" s="2590"/>
      <c r="AP14" s="2590"/>
      <c r="AQ14" s="2590"/>
      <c r="AR14" s="2590"/>
      <c r="AS14" s="2590"/>
      <c r="AT14" s="2590"/>
      <c r="AU14" s="2590"/>
      <c r="AV14" s="2590"/>
      <c r="AW14" s="2590"/>
      <c r="AX14" s="2590"/>
      <c r="AY14" s="2590"/>
      <c r="AZ14" s="2590"/>
      <c r="BA14" s="2590"/>
      <c r="BB14" s="2590"/>
      <c r="BC14" s="2590"/>
      <c r="BD14" s="2590"/>
      <c r="BE14" s="2590"/>
      <c r="BF14" s="2590"/>
      <c r="BG14" s="2590"/>
      <c r="BH14" s="2590"/>
      <c r="BI14" s="2590"/>
      <c r="BJ14" s="2590"/>
      <c r="BK14" s="2590"/>
      <c r="BL14" s="2590"/>
      <c r="BM14" s="2590"/>
      <c r="BN14" s="2590"/>
      <c r="BO14" s="2590"/>
      <c r="BP14" s="2590"/>
      <c r="BQ14" s="2590"/>
      <c r="BR14" s="2590"/>
      <c r="BS14" s="2617"/>
      <c r="BT14" s="2596"/>
      <c r="BU14" s="2597"/>
      <c r="BV14" s="2596"/>
      <c r="BW14" s="2597"/>
      <c r="BX14" s="2596"/>
      <c r="BY14" s="2597"/>
      <c r="BZ14" s="2596"/>
      <c r="CA14" s="2597"/>
      <c r="CB14" s="2596"/>
      <c r="CC14" s="2597"/>
      <c r="CD14" s="2596"/>
      <c r="CE14" s="2597"/>
      <c r="CF14" s="2596"/>
      <c r="CG14" s="2597"/>
      <c r="CH14" s="2591" t="s">
        <v>2084</v>
      </c>
      <c r="CI14" s="2592"/>
      <c r="CJ14" s="2591" t="s">
        <v>2085</v>
      </c>
      <c r="CK14" s="2592"/>
      <c r="CL14" s="2595"/>
      <c r="CM14" s="2590"/>
      <c r="CN14" s="2590"/>
      <c r="CO14" s="2590"/>
      <c r="CP14" s="2590"/>
      <c r="CQ14" s="2590"/>
      <c r="CR14" s="2590"/>
      <c r="CS14" s="2590"/>
      <c r="CT14" s="2590"/>
      <c r="CU14" s="2590"/>
      <c r="CV14" s="2590"/>
      <c r="CW14" s="2590"/>
      <c r="CX14" s="2617"/>
      <c r="CY14" s="2596"/>
      <c r="CZ14" s="2597"/>
      <c r="DA14" s="2596"/>
      <c r="DB14" s="2597"/>
      <c r="DC14" s="2596"/>
      <c r="DD14" s="2597"/>
      <c r="DE14" s="2596"/>
      <c r="DF14" s="2597"/>
      <c r="DG14" s="2591" t="s">
        <v>2086</v>
      </c>
      <c r="DH14" s="2592"/>
      <c r="DI14" s="2591" t="s">
        <v>2087</v>
      </c>
      <c r="DJ14" s="2592"/>
      <c r="DK14" s="2595"/>
      <c r="DL14" s="2590"/>
      <c r="DM14" s="2590"/>
      <c r="DN14" s="2590"/>
      <c r="DO14" s="2590"/>
      <c r="DP14" s="2590"/>
      <c r="DQ14" s="2590"/>
      <c r="DR14" s="2590"/>
      <c r="DS14" s="2590"/>
      <c r="DT14" s="2590"/>
      <c r="DU14" s="2590"/>
      <c r="DV14" s="2590"/>
      <c r="DW14" s="2590"/>
      <c r="DX14" s="2590"/>
      <c r="DY14" s="2590"/>
      <c r="DZ14" s="2590"/>
      <c r="EA14" s="2590"/>
      <c r="EB14" s="2590"/>
      <c r="EC14" s="2590"/>
      <c r="ED14" s="2590"/>
      <c r="EE14" s="2590"/>
      <c r="EF14" s="2590"/>
      <c r="EG14" s="2590"/>
      <c r="EH14" s="2590"/>
      <c r="EI14" s="2590"/>
      <c r="EJ14" s="2590"/>
      <c r="EK14" s="2590"/>
      <c r="EL14" s="2590"/>
      <c r="EM14" s="2590"/>
      <c r="EN14" s="2590"/>
      <c r="EO14" s="2590"/>
      <c r="EP14" s="2590"/>
      <c r="EQ14" s="2590"/>
      <c r="ER14" s="2590"/>
      <c r="ES14" s="2590"/>
      <c r="ET14" s="2590"/>
      <c r="EU14" s="2590"/>
      <c r="EV14" s="2590"/>
      <c r="EW14" s="2590"/>
      <c r="EX14" s="2590"/>
      <c r="EY14" s="2590"/>
      <c r="EZ14" s="2590"/>
      <c r="FA14" s="2590"/>
      <c r="FB14" s="2590"/>
      <c r="FC14" s="2590"/>
      <c r="FD14" s="2590"/>
      <c r="FE14" s="2590"/>
      <c r="FF14" s="2590"/>
      <c r="FG14" s="2590"/>
      <c r="FH14" s="2590"/>
      <c r="FI14" s="2590"/>
      <c r="FJ14" s="2590"/>
      <c r="FK14" s="2590"/>
      <c r="FL14" s="2590"/>
      <c r="FM14" s="2590"/>
      <c r="FN14" s="2590"/>
      <c r="FO14" s="2590"/>
      <c r="FP14" s="2590"/>
      <c r="FQ14" s="2590"/>
      <c r="FR14" s="2590"/>
      <c r="FS14" s="2590"/>
      <c r="FT14" s="2590"/>
      <c r="FU14" s="2590"/>
      <c r="FV14" s="2590"/>
      <c r="FW14" s="2612"/>
      <c r="FX14" s="928"/>
    </row>
    <row customHeight="1" ht="36">
      <c r="D15" s="1120"/>
      <c r="E15" s="1119"/>
      <c r="F15" s="2598"/>
      <c r="G15" s="2598"/>
      <c r="H15" s="2599"/>
      <c r="I15" s="2599"/>
      <c r="J15" s="2600"/>
      <c r="K15" s="2600"/>
      <c r="L15" s="2600"/>
      <c r="M15" s="2600"/>
      <c r="N15" s="2600"/>
      <c r="O15" s="2593"/>
      <c r="P15" s="2594"/>
      <c r="Q15" s="2593"/>
      <c r="R15" s="2594"/>
      <c r="S15" s="2593"/>
      <c r="T15" s="2594"/>
      <c r="U15" s="2593"/>
      <c r="V15" s="2594"/>
      <c r="W15" s="2593"/>
      <c r="X15" s="2594"/>
      <c r="Y15" s="2593"/>
      <c r="Z15" s="2594"/>
      <c r="AA15" s="2593"/>
      <c r="AB15" s="2594"/>
      <c r="AC15" s="2590"/>
      <c r="AD15" s="2590"/>
      <c r="AE15" s="2590"/>
      <c r="AF15" s="2590"/>
      <c r="AG15" s="2590"/>
      <c r="AH15" s="2590"/>
      <c r="AI15" s="2590"/>
      <c r="AJ15" s="2590"/>
      <c r="AK15" s="2590"/>
      <c r="AL15" s="2590"/>
      <c r="AM15" s="2590"/>
      <c r="AN15" s="2590"/>
      <c r="AO15" s="2590"/>
      <c r="AP15" s="2590"/>
      <c r="AQ15" s="2590"/>
      <c r="AR15" s="2590"/>
      <c r="AS15" s="2590"/>
      <c r="AT15" s="2590"/>
      <c r="AU15" s="2590"/>
      <c r="AV15" s="2590"/>
      <c r="AW15" s="2590"/>
      <c r="AX15" s="2590"/>
      <c r="AY15" s="2590"/>
      <c r="AZ15" s="2590"/>
      <c r="BA15" s="2590"/>
      <c r="BB15" s="2590"/>
      <c r="BC15" s="2590"/>
      <c r="BD15" s="2590"/>
      <c r="BE15" s="2590"/>
      <c r="BF15" s="2590"/>
      <c r="BG15" s="2590"/>
      <c r="BH15" s="2590"/>
      <c r="BI15" s="2590"/>
      <c r="BJ15" s="2590"/>
      <c r="BK15" s="2590"/>
      <c r="BL15" s="2590"/>
      <c r="BM15" s="2590"/>
      <c r="BN15" s="2590"/>
      <c r="BO15" s="2590"/>
      <c r="BP15" s="2590"/>
      <c r="BQ15" s="2590"/>
      <c r="BR15" s="2590"/>
      <c r="BS15" s="2617"/>
      <c r="BT15" s="2593"/>
      <c r="BU15" s="2594"/>
      <c r="BV15" s="2593"/>
      <c r="BW15" s="2594"/>
      <c r="BX15" s="2593"/>
      <c r="BY15" s="2594"/>
      <c r="BZ15" s="2593"/>
      <c r="CA15" s="2594"/>
      <c r="CB15" s="2593"/>
      <c r="CC15" s="2594"/>
      <c r="CD15" s="2593"/>
      <c r="CE15" s="2594"/>
      <c r="CF15" s="2593"/>
      <c r="CG15" s="2594"/>
      <c r="CH15" s="2593"/>
      <c r="CI15" s="2594"/>
      <c r="CJ15" s="2593"/>
      <c r="CK15" s="2594"/>
      <c r="CL15" s="2595"/>
      <c r="CM15" s="2590"/>
      <c r="CN15" s="2590"/>
      <c r="CO15" s="2590"/>
      <c r="CP15" s="2590"/>
      <c r="CQ15" s="2590"/>
      <c r="CR15" s="2590"/>
      <c r="CS15" s="2590"/>
      <c r="CT15" s="2590"/>
      <c r="CU15" s="2590"/>
      <c r="CV15" s="2590"/>
      <c r="CW15" s="2590"/>
      <c r="CX15" s="2617"/>
      <c r="CY15" s="2593"/>
      <c r="CZ15" s="2594"/>
      <c r="DA15" s="2593"/>
      <c r="DB15" s="2594"/>
      <c r="DC15" s="2593"/>
      <c r="DD15" s="2594"/>
      <c r="DE15" s="2593"/>
      <c r="DF15" s="2594"/>
      <c r="DG15" s="2593"/>
      <c r="DH15" s="2594"/>
      <c r="DI15" s="2593"/>
      <c r="DJ15" s="2594"/>
      <c r="DK15" s="2595"/>
      <c r="DL15" s="2590"/>
      <c r="DM15" s="2590"/>
      <c r="DN15" s="2590"/>
      <c r="DO15" s="2590"/>
      <c r="DP15" s="2590"/>
      <c r="DQ15" s="2590"/>
      <c r="DR15" s="2590"/>
      <c r="DS15" s="2590"/>
      <c r="DT15" s="2590"/>
      <c r="DU15" s="2590"/>
      <c r="DV15" s="2590"/>
      <c r="DW15" s="2590"/>
      <c r="DX15" s="2590"/>
      <c r="DY15" s="2590"/>
      <c r="DZ15" s="2590"/>
      <c r="EA15" s="2590"/>
      <c r="EB15" s="2590"/>
      <c r="EC15" s="2590"/>
      <c r="ED15" s="2590"/>
      <c r="EE15" s="2590"/>
      <c r="EF15" s="2590"/>
      <c r="EG15" s="2590"/>
      <c r="EH15" s="2590"/>
      <c r="EI15" s="2590"/>
      <c r="EJ15" s="2590"/>
      <c r="EK15" s="2590"/>
      <c r="EL15" s="2590"/>
      <c r="EM15" s="2590"/>
      <c r="EN15" s="2590"/>
      <c r="EO15" s="2590"/>
      <c r="EP15" s="2590"/>
      <c r="EQ15" s="2590"/>
      <c r="ER15" s="2590"/>
      <c r="ES15" s="2590"/>
      <c r="ET15" s="2590"/>
      <c r="EU15" s="2590"/>
      <c r="EV15" s="2590"/>
      <c r="EW15" s="2590"/>
      <c r="EX15" s="2590"/>
      <c r="EY15" s="2590"/>
      <c r="EZ15" s="2590"/>
      <c r="FA15" s="2590"/>
      <c r="FB15" s="2590"/>
      <c r="FC15" s="2590"/>
      <c r="FD15" s="2590"/>
      <c r="FE15" s="2590"/>
      <c r="FF15" s="2590"/>
      <c r="FG15" s="2590"/>
      <c r="FH15" s="2590"/>
      <c r="FI15" s="2590"/>
      <c r="FJ15" s="2590"/>
      <c r="FK15" s="2590"/>
      <c r="FL15" s="2590"/>
      <c r="FM15" s="2590"/>
      <c r="FN15" s="2590"/>
      <c r="FO15" s="2590"/>
      <c r="FP15" s="2590"/>
      <c r="FQ15" s="2590"/>
      <c r="FR15" s="2590"/>
      <c r="FS15" s="2590"/>
      <c r="FT15" s="2590"/>
      <c r="FU15" s="2590"/>
      <c r="FV15" s="2590"/>
      <c r="FW15" s="2612"/>
      <c r="FX15" s="928"/>
    </row>
    <row customHeight="1" ht="12">
      <c r="D16" s="1120"/>
      <c r="E16" s="1119"/>
      <c r="F16" s="2598"/>
      <c r="G16" s="2598"/>
      <c r="H16" s="2599"/>
      <c r="I16" s="2599"/>
      <c r="J16" s="2600"/>
      <c r="K16" s="2600"/>
      <c r="L16" s="2600"/>
      <c r="M16" s="2600"/>
      <c r="N16" s="2600"/>
      <c r="O16" s="2587" t="s">
        <v>1861</v>
      </c>
      <c r="P16" s="2589"/>
      <c r="Q16" s="2587" t="s">
        <v>1863</v>
      </c>
      <c r="R16" s="2589"/>
      <c r="S16" s="2587" t="s">
        <v>1867</v>
      </c>
      <c r="T16" s="2589"/>
      <c r="U16" s="2587" t="s">
        <v>1872</v>
      </c>
      <c r="V16" s="2589"/>
      <c r="W16" s="2587" t="s">
        <v>1875</v>
      </c>
      <c r="X16" s="2589"/>
      <c r="Y16" s="2587" t="s">
        <v>1879</v>
      </c>
      <c r="Z16" s="2589"/>
      <c r="AA16" s="2587" t="s">
        <v>1882</v>
      </c>
      <c r="AB16" s="2589"/>
      <c r="AC16" s="2590"/>
      <c r="AD16" s="2590"/>
      <c r="AE16" s="2590"/>
      <c r="AF16" s="2590"/>
      <c r="AG16" s="2590"/>
      <c r="AH16" s="2590"/>
      <c r="AI16" s="2590"/>
      <c r="AJ16" s="2590"/>
      <c r="AK16" s="2590"/>
      <c r="AL16" s="2590"/>
      <c r="AM16" s="2590"/>
      <c r="AN16" s="2590"/>
      <c r="AO16" s="2590"/>
      <c r="AP16" s="2590"/>
      <c r="AQ16" s="2590"/>
      <c r="AR16" s="2590"/>
      <c r="AS16" s="2590"/>
      <c r="AT16" s="2590"/>
      <c r="AU16" s="2590"/>
      <c r="AV16" s="2590"/>
      <c r="AW16" s="2590"/>
      <c r="AX16" s="2590"/>
      <c r="AY16" s="2590"/>
      <c r="AZ16" s="2590"/>
      <c r="BA16" s="2590"/>
      <c r="BB16" s="2590"/>
      <c r="BC16" s="2590"/>
      <c r="BD16" s="2590"/>
      <c r="BE16" s="2590"/>
      <c r="BF16" s="2590"/>
      <c r="BG16" s="2590"/>
      <c r="BH16" s="2590"/>
      <c r="BI16" s="2590"/>
      <c r="BJ16" s="2590"/>
      <c r="BK16" s="2590"/>
      <c r="BL16" s="2590"/>
      <c r="BM16" s="2590"/>
      <c r="BN16" s="2590"/>
      <c r="BO16" s="2590"/>
      <c r="BP16" s="2590"/>
      <c r="BQ16" s="2590"/>
      <c r="BR16" s="2590"/>
      <c r="BS16" s="2617"/>
      <c r="BT16" s="2587" t="s">
        <v>1626</v>
      </c>
      <c r="BU16" s="2589"/>
      <c r="BV16" s="2587" t="s">
        <v>1626</v>
      </c>
      <c r="BW16" s="2589"/>
      <c r="BX16" s="2587" t="s">
        <v>1626</v>
      </c>
      <c r="BY16" s="2589"/>
      <c r="BZ16" s="2587" t="s">
        <v>1626</v>
      </c>
      <c r="CA16" s="2589"/>
      <c r="CB16" s="2587" t="s">
        <v>2088</v>
      </c>
      <c r="CC16" s="2589"/>
      <c r="CD16" s="2587" t="s">
        <v>1626</v>
      </c>
      <c r="CE16" s="2589"/>
      <c r="CF16" s="2587" t="s">
        <v>2089</v>
      </c>
      <c r="CG16" s="2589"/>
      <c r="CH16" s="2587" t="s">
        <v>2090</v>
      </c>
      <c r="CI16" s="2589"/>
      <c r="CJ16" s="2587" t="s">
        <v>2090</v>
      </c>
      <c r="CK16" s="2589"/>
      <c r="CL16" s="2595"/>
      <c r="CM16" s="2590"/>
      <c r="CN16" s="2590"/>
      <c r="CO16" s="2590"/>
      <c r="CP16" s="2590"/>
      <c r="CQ16" s="2590"/>
      <c r="CR16" s="2590"/>
      <c r="CS16" s="2590"/>
      <c r="CT16" s="2590"/>
      <c r="CU16" s="2590"/>
      <c r="CV16" s="2590"/>
      <c r="CW16" s="2590"/>
      <c r="CX16" s="2617"/>
      <c r="CY16" s="2591" t="s">
        <v>1626</v>
      </c>
      <c r="CZ16" s="2592"/>
      <c r="DA16" s="2591" t="s">
        <v>1626</v>
      </c>
      <c r="DB16" s="2592"/>
      <c r="DC16" s="2591" t="s">
        <v>1626</v>
      </c>
      <c r="DD16" s="2592"/>
      <c r="DE16" s="2587" t="s">
        <v>2088</v>
      </c>
      <c r="DF16" s="2589"/>
      <c r="DG16" s="2587" t="s">
        <v>2091</v>
      </c>
      <c r="DH16" s="2589"/>
      <c r="DI16" s="2587" t="s">
        <v>2091</v>
      </c>
      <c r="DJ16" s="2589"/>
      <c r="DK16" s="2595"/>
      <c r="DL16" s="2590"/>
      <c r="DM16" s="2590"/>
      <c r="DN16" s="2590"/>
      <c r="DO16" s="2590"/>
      <c r="DP16" s="2590"/>
      <c r="DQ16" s="2590"/>
      <c r="DR16" s="2590"/>
      <c r="DS16" s="2590"/>
      <c r="DT16" s="2590"/>
      <c r="DU16" s="2590"/>
      <c r="DV16" s="2590"/>
      <c r="DW16" s="2590"/>
      <c r="DX16" s="2590"/>
      <c r="DY16" s="2590"/>
      <c r="DZ16" s="2590"/>
      <c r="EA16" s="2590"/>
      <c r="EB16" s="2590"/>
      <c r="EC16" s="2590"/>
      <c r="ED16" s="2590"/>
      <c r="EE16" s="2590"/>
      <c r="EF16" s="2590"/>
      <c r="EG16" s="2590"/>
      <c r="EH16" s="2590"/>
      <c r="EI16" s="2590"/>
      <c r="EJ16" s="2590"/>
      <c r="EK16" s="2590"/>
      <c r="EL16" s="2590"/>
      <c r="EM16" s="2590"/>
      <c r="EN16" s="2590"/>
      <c r="EO16" s="2590"/>
      <c r="EP16" s="2590"/>
      <c r="EQ16" s="2590"/>
      <c r="ER16" s="2590"/>
      <c r="ES16" s="2590"/>
      <c r="ET16" s="2590"/>
      <c r="EU16" s="2590"/>
      <c r="EV16" s="2590"/>
      <c r="EW16" s="2590"/>
      <c r="EX16" s="2590"/>
      <c r="EY16" s="2590"/>
      <c r="EZ16" s="2590"/>
      <c r="FA16" s="2590"/>
      <c r="FB16" s="2590"/>
      <c r="FC16" s="2590"/>
      <c r="FD16" s="2590"/>
      <c r="FE16" s="2590"/>
      <c r="FF16" s="2590"/>
      <c r="FG16" s="2590"/>
      <c r="FH16" s="2590"/>
      <c r="FI16" s="2590"/>
      <c r="FJ16" s="2590"/>
      <c r="FK16" s="2590"/>
      <c r="FL16" s="2590"/>
      <c r="FM16" s="2590"/>
      <c r="FN16" s="2590"/>
      <c r="FO16" s="2590"/>
      <c r="FP16" s="2590"/>
      <c r="FQ16" s="2590"/>
      <c r="FR16" s="2590"/>
      <c r="FS16" s="2590"/>
      <c r="FT16" s="2590"/>
      <c r="FU16" s="2590"/>
      <c r="FV16" s="2590"/>
      <c r="FW16" s="2612"/>
      <c r="FX16" s="928"/>
    </row>
    <row customHeight="1" ht="15">
      <c r="E17" s="1119"/>
      <c r="F17" s="2598"/>
      <c r="G17" s="2598"/>
      <c r="H17" s="2599"/>
      <c r="I17" s="2599"/>
      <c r="J17" s="2600"/>
      <c r="K17" s="2600"/>
      <c r="L17" s="2600"/>
      <c r="M17" s="2600"/>
      <c r="N17" s="2600"/>
      <c r="O17" s="1388" t="s">
        <v>2092</v>
      </c>
      <c r="P17" s="1388" t="s">
        <v>2093</v>
      </c>
      <c r="Q17" s="1388" t="s">
        <v>2092</v>
      </c>
      <c r="R17" s="1388" t="s">
        <v>2093</v>
      </c>
      <c r="S17" s="1388" t="s">
        <v>2092</v>
      </c>
      <c r="T17" s="1388" t="s">
        <v>2093</v>
      </c>
      <c r="U17" s="1388" t="s">
        <v>2092</v>
      </c>
      <c r="V17" s="1388" t="s">
        <v>2093</v>
      </c>
      <c r="W17" s="1388" t="s">
        <v>2092</v>
      </c>
      <c r="X17" s="1388" t="s">
        <v>2093</v>
      </c>
      <c r="Y17" s="1388" t="s">
        <v>2092</v>
      </c>
      <c r="Z17" s="1388" t="s">
        <v>2093</v>
      </c>
      <c r="AA17" s="1388" t="s">
        <v>2092</v>
      </c>
      <c r="AB17" s="1388" t="s">
        <v>2093</v>
      </c>
      <c r="AC17" s="2590"/>
      <c r="AD17" s="2590"/>
      <c r="AE17" s="2590"/>
      <c r="AF17" s="2590"/>
      <c r="AG17" s="2590"/>
      <c r="AH17" s="2590"/>
      <c r="AI17" s="2590"/>
      <c r="AJ17" s="2590"/>
      <c r="AK17" s="2590"/>
      <c r="AL17" s="2590"/>
      <c r="AM17" s="2590"/>
      <c r="AN17" s="2590"/>
      <c r="AO17" s="2590"/>
      <c r="AP17" s="2590"/>
      <c r="AQ17" s="2590"/>
      <c r="AR17" s="2590"/>
      <c r="AS17" s="2590"/>
      <c r="AT17" s="2590"/>
      <c r="AU17" s="2590"/>
      <c r="AV17" s="2590"/>
      <c r="AW17" s="2590"/>
      <c r="AX17" s="2590"/>
      <c r="AY17" s="2590"/>
      <c r="AZ17" s="2590"/>
      <c r="BA17" s="2590"/>
      <c r="BB17" s="2590"/>
      <c r="BC17" s="2590"/>
      <c r="BD17" s="2590"/>
      <c r="BE17" s="2590"/>
      <c r="BF17" s="2590"/>
      <c r="BG17" s="2590"/>
      <c r="BH17" s="2590"/>
      <c r="BI17" s="2590"/>
      <c r="BJ17" s="2590"/>
      <c r="BK17" s="2590"/>
      <c r="BL17" s="2590"/>
      <c r="BM17" s="2590"/>
      <c r="BN17" s="2590"/>
      <c r="BO17" s="2590"/>
      <c r="BP17" s="2590"/>
      <c r="BQ17" s="2590"/>
      <c r="BR17" s="2590"/>
      <c r="BS17" s="2617"/>
      <c r="BT17" s="1388" t="s">
        <v>2092</v>
      </c>
      <c r="BU17" s="1388" t="s">
        <v>2093</v>
      </c>
      <c r="BV17" s="1388" t="s">
        <v>2092</v>
      </c>
      <c r="BW17" s="1388" t="s">
        <v>2093</v>
      </c>
      <c r="BX17" s="1388" t="s">
        <v>2092</v>
      </c>
      <c r="BY17" s="1388" t="s">
        <v>2093</v>
      </c>
      <c r="BZ17" s="1388" t="s">
        <v>2092</v>
      </c>
      <c r="CA17" s="1388" t="s">
        <v>2093</v>
      </c>
      <c r="CB17" s="1388" t="s">
        <v>2092</v>
      </c>
      <c r="CC17" s="1388" t="s">
        <v>2093</v>
      </c>
      <c r="CD17" s="1388" t="s">
        <v>2092</v>
      </c>
      <c r="CE17" s="1388" t="s">
        <v>2093</v>
      </c>
      <c r="CF17" s="1388" t="s">
        <v>2092</v>
      </c>
      <c r="CG17" s="1388" t="s">
        <v>2093</v>
      </c>
      <c r="CH17" s="1388" t="s">
        <v>2092</v>
      </c>
      <c r="CI17" s="1388" t="s">
        <v>2093</v>
      </c>
      <c r="CJ17" s="1388" t="s">
        <v>2092</v>
      </c>
      <c r="CK17" s="1388" t="s">
        <v>2093</v>
      </c>
      <c r="CL17" s="2595"/>
      <c r="CM17" s="2590"/>
      <c r="CN17" s="2590"/>
      <c r="CO17" s="2590"/>
      <c r="CP17" s="2590"/>
      <c r="CQ17" s="2590"/>
      <c r="CR17" s="2590"/>
      <c r="CS17" s="2590"/>
      <c r="CT17" s="2590"/>
      <c r="CU17" s="2590"/>
      <c r="CV17" s="2590"/>
      <c r="CW17" s="2590"/>
      <c r="CX17" s="2617"/>
      <c r="CY17" s="1388" t="s">
        <v>2092</v>
      </c>
      <c r="CZ17" s="1388" t="s">
        <v>2093</v>
      </c>
      <c r="DA17" s="1388" t="s">
        <v>2092</v>
      </c>
      <c r="DB17" s="1388" t="s">
        <v>2093</v>
      </c>
      <c r="DC17" s="1388" t="s">
        <v>2092</v>
      </c>
      <c r="DD17" s="1388" t="s">
        <v>2093</v>
      </c>
      <c r="DE17" s="1388" t="s">
        <v>2092</v>
      </c>
      <c r="DF17" s="1388" t="s">
        <v>2093</v>
      </c>
      <c r="DG17" s="1388" t="s">
        <v>2092</v>
      </c>
      <c r="DH17" s="1388" t="s">
        <v>2093</v>
      </c>
      <c r="DI17" s="1388" t="s">
        <v>2092</v>
      </c>
      <c r="DJ17" s="1388" t="s">
        <v>2093</v>
      </c>
      <c r="DK17" s="2595"/>
      <c r="DL17" s="2590"/>
      <c r="DM17" s="2590"/>
      <c r="DN17" s="2590"/>
      <c r="DO17" s="2590"/>
      <c r="DP17" s="2590"/>
      <c r="DQ17" s="2590"/>
      <c r="DR17" s="2590"/>
      <c r="DS17" s="2590"/>
      <c r="DT17" s="2590"/>
      <c r="DU17" s="2590"/>
      <c r="DV17" s="2590"/>
      <c r="DW17" s="2590"/>
      <c r="DX17" s="2590"/>
      <c r="DY17" s="2590"/>
      <c r="DZ17" s="2590"/>
      <c r="EA17" s="2590"/>
      <c r="EB17" s="2590"/>
      <c r="EC17" s="2590"/>
      <c r="ED17" s="2590"/>
      <c r="EE17" s="2590"/>
      <c r="EF17" s="2590"/>
      <c r="EG17" s="2590"/>
      <c r="EH17" s="2590"/>
      <c r="EI17" s="2590"/>
      <c r="EJ17" s="2590"/>
      <c r="EK17" s="2590"/>
      <c r="EL17" s="2590"/>
      <c r="EM17" s="2590"/>
      <c r="EN17" s="2590"/>
      <c r="EO17" s="2590"/>
      <c r="EP17" s="2590"/>
      <c r="EQ17" s="2590"/>
      <c r="ER17" s="2590"/>
      <c r="ES17" s="2590"/>
      <c r="ET17" s="2590"/>
      <c r="EU17" s="2590"/>
      <c r="EV17" s="2590"/>
      <c r="EW17" s="2590"/>
      <c r="EX17" s="2590"/>
      <c r="EY17" s="2590"/>
      <c r="EZ17" s="2590"/>
      <c r="FA17" s="2590"/>
      <c r="FB17" s="2590"/>
      <c r="FC17" s="2590"/>
      <c r="FD17" s="2590"/>
      <c r="FE17" s="2590"/>
      <c r="FF17" s="2590"/>
      <c r="FG17" s="2590"/>
      <c r="FH17" s="2590"/>
      <c r="FI17" s="2590"/>
      <c r="FJ17" s="2590"/>
      <c r="FK17" s="2590"/>
      <c r="FL17" s="2590"/>
      <c r="FM17" s="2590"/>
      <c r="FN17" s="2590"/>
      <c r="FO17" s="2590"/>
      <c r="FP17" s="2590"/>
      <c r="FQ17" s="2590"/>
      <c r="FR17" s="2590"/>
      <c r="FS17" s="2590"/>
      <c r="FT17" s="2590"/>
      <c r="FU17" s="2590"/>
      <c r="FV17" s="2590"/>
      <c r="FW17" s="2613"/>
      <c r="FX17" s="928"/>
    </row>
    <row s="7489" customFormat="1" customHeight="1" ht="12" hidden="1">
      <c r="B18" s="1105"/>
      <c r="E18" s="1121"/>
      <c r="F18" s="1389"/>
      <c r="G18" s="1389"/>
      <c r="H18" s="1389"/>
      <c r="I18" s="1389"/>
      <c r="J18" s="1390"/>
      <c r="K18" s="1390"/>
      <c r="L18" s="1390"/>
      <c r="M18" s="1390"/>
      <c r="N18" s="1390"/>
      <c r="O18" s="1389"/>
      <c r="P18" s="1389"/>
      <c r="Q18" s="1389"/>
      <c r="R18" s="1389"/>
      <c r="S18" s="1389"/>
      <c r="T18" s="1389"/>
      <c r="U18" s="1391"/>
      <c r="V18" s="1391"/>
      <c r="W18" s="1391"/>
      <c r="X18" s="1391"/>
      <c r="Y18" s="1391"/>
      <c r="Z18" s="1391"/>
      <c r="AA18" s="1391"/>
      <c r="AB18" s="1389"/>
      <c r="AC18" s="1390"/>
      <c r="AD18" s="1390"/>
      <c r="AE18" s="1390"/>
      <c r="AF18" s="1390"/>
      <c r="AG18" s="1390"/>
      <c r="AH18" s="1390"/>
      <c r="AI18" s="1390"/>
      <c r="AJ18" s="1390"/>
      <c r="AK18" s="1390"/>
      <c r="AL18" s="1390"/>
      <c r="AM18" s="1390"/>
      <c r="AN18" s="1390"/>
      <c r="AO18" s="1390"/>
      <c r="AP18" s="1390"/>
      <c r="AQ18" s="1390"/>
      <c r="AR18" s="1390"/>
      <c r="AS18" s="1390"/>
      <c r="AT18" s="1390"/>
      <c r="AU18" s="1390"/>
      <c r="AV18" s="1390"/>
      <c r="AW18" s="1390"/>
      <c r="AX18" s="1390"/>
      <c r="AY18" s="1390"/>
      <c r="AZ18" s="1390"/>
      <c r="BA18" s="1390"/>
      <c r="BB18" s="1390"/>
      <c r="BC18" s="1390"/>
      <c r="BD18" s="1390"/>
      <c r="BE18" s="1390"/>
      <c r="BF18" s="1390"/>
      <c r="BG18" s="1390"/>
      <c r="BH18" s="1390"/>
      <c r="BI18" s="1390"/>
      <c r="BJ18" s="1390"/>
      <c r="BK18" s="1390"/>
      <c r="BL18" s="1390"/>
      <c r="BM18" s="1390"/>
      <c r="BN18" s="1390"/>
      <c r="BO18" s="1390"/>
      <c r="BP18" s="1390"/>
      <c r="BQ18" s="1390"/>
      <c r="BR18" s="1390"/>
      <c r="BS18" s="1390"/>
      <c r="BT18" s="1392"/>
      <c r="BU18" s="1392"/>
      <c r="BV18" s="1392"/>
      <c r="BW18" s="1392"/>
      <c r="BX18" s="1392"/>
      <c r="BY18" s="1392"/>
      <c r="BZ18" s="1392"/>
      <c r="CA18" s="1392"/>
      <c r="CB18" s="1392"/>
      <c r="CC18" s="1392"/>
      <c r="CD18" s="1392"/>
      <c r="CE18" s="1392"/>
      <c r="CF18" s="1392"/>
      <c r="CG18" s="1392"/>
      <c r="CH18" s="1392"/>
      <c r="CI18" s="1392"/>
      <c r="CJ18" s="1392"/>
      <c r="CK18" s="1392"/>
      <c r="CL18" s="1390"/>
      <c r="CM18" s="1390"/>
      <c r="CN18" s="1390"/>
      <c r="CO18" s="1390"/>
      <c r="CP18" s="1390"/>
      <c r="CQ18" s="1390"/>
      <c r="CR18" s="1390"/>
      <c r="CS18" s="1390"/>
      <c r="CT18" s="1390"/>
      <c r="CU18" s="1390"/>
      <c r="CV18" s="1390"/>
      <c r="CW18" s="1390"/>
      <c r="CX18" s="1390"/>
      <c r="CY18" s="1392"/>
      <c r="CZ18" s="1392"/>
      <c r="DA18" s="1392"/>
      <c r="DB18" s="1392"/>
      <c r="DC18" s="1392"/>
      <c r="DD18" s="1392"/>
      <c r="DE18" s="1392"/>
      <c r="DF18" s="1392"/>
      <c r="DG18" s="1392"/>
      <c r="DH18" s="1392"/>
      <c r="DI18" s="1392"/>
      <c r="DJ18" s="1392"/>
      <c r="DK18" s="1390"/>
      <c r="DL18" s="1390"/>
      <c r="DM18" s="1390"/>
      <c r="DN18" s="1390"/>
      <c r="DO18" s="1390"/>
      <c r="DP18" s="1390"/>
      <c r="DQ18" s="1390"/>
      <c r="DR18" s="1390"/>
      <c r="DS18" s="1390"/>
      <c r="DT18" s="1390"/>
      <c r="DU18" s="1390"/>
      <c r="DV18" s="1390"/>
      <c r="DW18" s="1390"/>
      <c r="DX18" s="1390"/>
      <c r="DY18" s="1390"/>
      <c r="DZ18" s="1390"/>
      <c r="EA18" s="1390"/>
      <c r="EB18" s="1390"/>
      <c r="EC18" s="1390"/>
      <c r="ED18" s="1390"/>
      <c r="EE18" s="1390"/>
      <c r="EF18" s="1390"/>
      <c r="EG18" s="1390"/>
      <c r="EH18" s="1390"/>
      <c r="EI18" s="1390"/>
      <c r="EJ18" s="1390"/>
      <c r="EK18" s="1390"/>
      <c r="EL18" s="1390"/>
      <c r="EM18" s="1390"/>
      <c r="EN18" s="1390"/>
      <c r="EO18" s="1390"/>
      <c r="EP18" s="1390"/>
      <c r="EQ18" s="1390"/>
      <c r="ER18" s="1390"/>
      <c r="ES18" s="1390"/>
      <c r="ET18" s="1390"/>
      <c r="EU18" s="1390"/>
      <c r="EV18" s="1390"/>
      <c r="EW18" s="1390"/>
      <c r="EX18" s="1390"/>
      <c r="EY18" s="1390"/>
      <c r="EZ18" s="1390"/>
      <c r="FA18" s="1390"/>
      <c r="FB18" s="1390"/>
      <c r="FC18" s="1390"/>
      <c r="FD18" s="1390"/>
      <c r="FE18" s="1390"/>
      <c r="FF18" s="1390"/>
      <c r="FG18" s="1390"/>
      <c r="FH18" s="1390"/>
      <c r="FI18" s="1390"/>
      <c r="FJ18" s="1390"/>
      <c r="FK18" s="1390"/>
      <c r="FL18" s="1390"/>
      <c r="FM18" s="1390"/>
      <c r="FN18" s="1390"/>
      <c r="FO18" s="1390"/>
      <c r="FP18" s="1390"/>
      <c r="FQ18" s="1390"/>
      <c r="FR18" s="1390"/>
      <c r="FS18" s="1390"/>
      <c r="FT18" s="1390"/>
      <c r="FU18" s="1390"/>
      <c r="FV18" s="1390"/>
      <c r="FW18" s="1389"/>
      <c r="FX18" s="1393"/>
    </row>
    <row s="7489" customFormat="1" customHeight="1" ht="11.25" hidden="1">
      <c r="B19" s="1105"/>
      <c r="E19" s="1121"/>
      <c r="F19" s="1389"/>
      <c r="G19" s="1389"/>
      <c r="H19" s="1389"/>
      <c r="I19" s="1389"/>
      <c r="J19" s="1389"/>
      <c r="K19" s="1389"/>
      <c r="L19" s="1389"/>
      <c r="M19" s="1389"/>
      <c r="N19" s="1389"/>
      <c r="O19" s="1389"/>
      <c r="P19" s="1389"/>
      <c r="Q19" s="1389"/>
      <c r="R19" s="1389"/>
      <c r="S19" s="1389"/>
      <c r="T19" s="1389"/>
      <c r="U19" s="1391"/>
      <c r="V19" s="1391"/>
      <c r="W19" s="1391"/>
      <c r="X19" s="1391"/>
      <c r="Y19" s="1391"/>
      <c r="Z19" s="1391"/>
      <c r="AA19" s="1391"/>
      <c r="AB19" s="1389"/>
      <c r="AC19" s="1389"/>
      <c r="AD19" s="1389"/>
      <c r="AE19" s="1389"/>
      <c r="AF19" s="1389"/>
      <c r="AG19" s="1389"/>
      <c r="AH19" s="1389"/>
      <c r="AI19" s="1389"/>
      <c r="AJ19" s="1389"/>
      <c r="AK19" s="1389"/>
      <c r="AL19" s="1389"/>
      <c r="AM19" s="1389"/>
      <c r="AN19" s="1389"/>
      <c r="AO19" s="1389"/>
      <c r="AP19" s="1389"/>
      <c r="AQ19" s="1389"/>
      <c r="AR19" s="1389"/>
      <c r="AS19" s="1389"/>
      <c r="AT19" s="1389"/>
      <c r="AU19" s="1389"/>
      <c r="AV19" s="1389"/>
      <c r="AW19" s="1389"/>
      <c r="AX19" s="1389"/>
      <c r="AY19" s="1389"/>
      <c r="AZ19" s="1389"/>
      <c r="BA19" s="1389"/>
      <c r="BB19" s="1389"/>
      <c r="BC19" s="1389"/>
      <c r="BD19" s="1389"/>
      <c r="BE19" s="1389"/>
      <c r="BF19" s="1389"/>
      <c r="BG19" s="1389"/>
      <c r="BH19" s="1389"/>
      <c r="BI19" s="1389"/>
      <c r="BJ19" s="1389"/>
      <c r="BK19" s="1389"/>
      <c r="BL19" s="1389"/>
      <c r="BM19" s="1389"/>
      <c r="BN19" s="1389"/>
      <c r="BO19" s="1389"/>
      <c r="BP19" s="1389"/>
      <c r="BQ19" s="1389"/>
      <c r="BR19" s="1389"/>
      <c r="BS19" s="1389"/>
      <c r="BT19" s="1389"/>
      <c r="BU19" s="1389"/>
      <c r="BV19" s="1389"/>
      <c r="BW19" s="1389"/>
      <c r="BX19" s="1389"/>
      <c r="BY19" s="1389"/>
      <c r="BZ19" s="1389"/>
      <c r="CA19" s="1389"/>
      <c r="CB19" s="1389"/>
      <c r="CC19" s="1389"/>
      <c r="CD19" s="1389"/>
      <c r="CE19" s="1389"/>
      <c r="CF19" s="1389"/>
      <c r="CG19" s="1389"/>
      <c r="CH19" s="1389"/>
      <c r="CI19" s="1389"/>
      <c r="CJ19" s="1389"/>
      <c r="CK19" s="1389"/>
      <c r="CL19" s="1389"/>
      <c r="CM19" s="1389"/>
      <c r="CN19" s="1389"/>
      <c r="CO19" s="1389"/>
      <c r="CP19" s="1389"/>
      <c r="CQ19" s="1389"/>
      <c r="CR19" s="1389"/>
      <c r="CS19" s="1389"/>
      <c r="CT19" s="1389"/>
      <c r="CU19" s="1389"/>
      <c r="CV19" s="1389"/>
      <c r="CW19" s="1389"/>
      <c r="CX19" s="1389"/>
      <c r="CY19" s="1389"/>
      <c r="CZ19" s="1389"/>
      <c r="DA19" s="1389"/>
      <c r="DB19" s="1389"/>
      <c r="DC19" s="1389"/>
      <c r="DD19" s="1389"/>
      <c r="DE19" s="1389"/>
      <c r="DF19" s="1389"/>
      <c r="DG19" s="1389"/>
      <c r="DH19" s="1389"/>
      <c r="DI19" s="1389"/>
      <c r="DJ19" s="1389"/>
      <c r="DK19" s="1389"/>
      <c r="DL19" s="1389"/>
      <c r="DM19" s="1389"/>
      <c r="DN19" s="1389"/>
      <c r="DO19" s="1389"/>
      <c r="DP19" s="1389"/>
      <c r="DQ19" s="1389"/>
      <c r="DR19" s="1389"/>
      <c r="DS19" s="1389"/>
      <c r="DT19" s="1389"/>
      <c r="DU19" s="1389"/>
      <c r="DV19" s="1389"/>
      <c r="DW19" s="1389"/>
      <c r="DX19" s="1389"/>
      <c r="DY19" s="1389"/>
      <c r="DZ19" s="1389"/>
      <c r="EA19" s="1389"/>
      <c r="EB19" s="1389"/>
      <c r="EC19" s="1389"/>
      <c r="ED19" s="1389"/>
      <c r="EE19" s="1389"/>
      <c r="EF19" s="1389"/>
      <c r="EG19" s="1389"/>
      <c r="EH19" s="1389"/>
      <c r="EI19" s="1389"/>
      <c r="EJ19" s="1389"/>
      <c r="EK19" s="1389"/>
      <c r="EL19" s="1389"/>
      <c r="EM19" s="1389"/>
      <c r="EN19" s="1389"/>
      <c r="EO19" s="1389"/>
      <c r="EP19" s="1389"/>
      <c r="EQ19" s="1389"/>
      <c r="ER19" s="1389"/>
      <c r="ES19" s="1389"/>
      <c r="ET19" s="1389"/>
      <c r="EU19" s="1389"/>
      <c r="EV19" s="1389"/>
      <c r="EW19" s="1389"/>
      <c r="EX19" s="1389"/>
      <c r="EY19" s="1389"/>
      <c r="EZ19" s="1389"/>
      <c r="FA19" s="1389"/>
      <c r="FB19" s="1389"/>
      <c r="FC19" s="1389"/>
      <c r="FD19" s="1389"/>
      <c r="FE19" s="1389"/>
      <c r="FF19" s="1389"/>
      <c r="FG19" s="1389"/>
      <c r="FH19" s="1389"/>
      <c r="FI19" s="1389"/>
      <c r="FJ19" s="1389"/>
      <c r="FK19" s="1389"/>
      <c r="FL19" s="1389"/>
      <c r="FM19" s="1389"/>
      <c r="FN19" s="1389"/>
      <c r="FO19" s="1389"/>
      <c r="FP19" s="1389"/>
      <c r="FQ19" s="1389"/>
      <c r="FR19" s="1389"/>
      <c r="FS19" s="1389"/>
      <c r="FT19" s="1389"/>
      <c r="FU19" s="1389"/>
      <c r="FV19" s="1389"/>
      <c r="FW19" s="1389"/>
      <c r="FX19" s="1393"/>
    </row>
    <row s="6203" customFormat="1" customHeight="1" ht="11.25" hidden="1">
      <c r="B20" s="1122"/>
      <c r="D20" s="1106"/>
      <c r="E20" s="1121"/>
      <c r="F20" s="1394" t="s">
        <v>378</v>
      </c>
      <c r="G20" s="1395"/>
      <c r="H20" s="1396"/>
      <c r="I20" s="1396"/>
      <c r="J20" s="1396"/>
      <c r="K20" s="1396"/>
      <c r="L20" s="1396"/>
      <c r="M20" s="1396"/>
      <c r="N20" s="1396"/>
      <c r="O20" s="1395"/>
      <c r="P20" s="1395"/>
      <c r="Q20" s="1395"/>
      <c r="R20" s="1395"/>
      <c r="S20" s="1395"/>
      <c r="T20" s="1395"/>
      <c r="U20" s="1397"/>
      <c r="V20" s="1397"/>
      <c r="W20" s="1397"/>
      <c r="X20" s="1397"/>
      <c r="Y20" s="1397"/>
      <c r="Z20" s="1397"/>
      <c r="AA20" s="1397"/>
      <c r="AB20" s="1395"/>
      <c r="AC20" s="1396"/>
      <c r="AD20" s="1396"/>
      <c r="AE20" s="1396"/>
      <c r="AF20" s="1396"/>
      <c r="AG20" s="1396"/>
      <c r="AH20" s="1396"/>
      <c r="AI20" s="1396"/>
      <c r="AJ20" s="1396"/>
      <c r="AK20" s="1396"/>
      <c r="AL20" s="1396"/>
      <c r="AM20" s="1396"/>
      <c r="AN20" s="1396"/>
      <c r="AO20" s="1396"/>
      <c r="AP20" s="1396"/>
      <c r="AQ20" s="1396"/>
      <c r="AR20" s="1396"/>
      <c r="AS20" s="1396"/>
      <c r="AT20" s="1396"/>
      <c r="AU20" s="1396"/>
      <c r="AV20" s="1396"/>
      <c r="AW20" s="1396"/>
      <c r="AX20" s="1396"/>
      <c r="AY20" s="1396"/>
      <c r="AZ20" s="1396"/>
      <c r="BA20" s="1396"/>
      <c r="BB20" s="1396"/>
      <c r="BC20" s="1396"/>
      <c r="BD20" s="1396"/>
      <c r="BE20" s="1396"/>
      <c r="BF20" s="1396"/>
      <c r="BG20" s="1396"/>
      <c r="BH20" s="1396"/>
      <c r="BI20" s="1396"/>
      <c r="BJ20" s="1396"/>
      <c r="BK20" s="1396"/>
      <c r="BL20" s="1396"/>
      <c r="BM20" s="1396"/>
      <c r="BN20" s="1396"/>
      <c r="BO20" s="1396"/>
      <c r="BP20" s="1396"/>
      <c r="BQ20" s="1396"/>
      <c r="BR20" s="1396"/>
      <c r="BS20" s="1396"/>
      <c r="BT20" s="1396"/>
      <c r="BU20" s="1396"/>
      <c r="BV20" s="1396"/>
      <c r="BW20" s="1396"/>
      <c r="BX20" s="1396"/>
      <c r="BY20" s="1396"/>
      <c r="BZ20" s="1396"/>
      <c r="CA20" s="1396"/>
      <c r="CB20" s="1396"/>
      <c r="CC20" s="1396"/>
      <c r="CD20" s="1396"/>
      <c r="CE20" s="1396"/>
      <c r="CF20" s="1396"/>
      <c r="CG20" s="1396"/>
      <c r="CH20" s="1396"/>
      <c r="CI20" s="1396"/>
      <c r="CJ20" s="1396"/>
      <c r="CK20" s="1396"/>
      <c r="CL20" s="1398"/>
      <c r="CM20" s="1398"/>
      <c r="CN20" s="1398"/>
      <c r="CO20" s="1398"/>
      <c r="CP20" s="1398"/>
      <c r="CQ20" s="1398"/>
      <c r="CR20" s="1398"/>
      <c r="CS20" s="1398"/>
      <c r="CT20" s="1398"/>
      <c r="CU20" s="1398"/>
      <c r="CV20" s="1398"/>
      <c r="CW20" s="1398"/>
      <c r="CX20" s="1398"/>
      <c r="CY20" s="1398"/>
      <c r="CZ20" s="1398"/>
      <c r="DA20" s="1398"/>
      <c r="DB20" s="1398"/>
      <c r="DC20" s="1398"/>
      <c r="DD20" s="1398"/>
      <c r="DE20" s="1398"/>
      <c r="DF20" s="1398"/>
      <c r="DG20" s="1398"/>
      <c r="DH20" s="1398"/>
      <c r="DI20" s="1398"/>
      <c r="DJ20" s="1398"/>
      <c r="DK20" s="1398"/>
      <c r="DL20" s="1398"/>
      <c r="DM20" s="1398"/>
      <c r="DN20" s="1398"/>
      <c r="DO20" s="1398"/>
      <c r="DP20" s="1398"/>
      <c r="DQ20" s="1398"/>
      <c r="DR20" s="1398"/>
      <c r="DS20" s="1398"/>
      <c r="DT20" s="1398"/>
      <c r="DU20" s="1398"/>
      <c r="DV20" s="1398"/>
      <c r="DW20" s="1398"/>
      <c r="DX20" s="1398"/>
      <c r="DY20" s="1398"/>
      <c r="DZ20" s="1398"/>
      <c r="EA20" s="1398"/>
      <c r="EB20" s="1398"/>
      <c r="EC20" s="1398"/>
      <c r="ED20" s="1398"/>
      <c r="EE20" s="1398"/>
      <c r="EF20" s="1398"/>
      <c r="EG20" s="1398"/>
      <c r="EH20" s="1398"/>
      <c r="EI20" s="1398"/>
      <c r="EJ20" s="1398"/>
      <c r="EK20" s="1398"/>
      <c r="EL20" s="1398"/>
      <c r="EM20" s="1398"/>
      <c r="EN20" s="1398"/>
      <c r="EO20" s="1398"/>
      <c r="EP20" s="1398"/>
      <c r="EQ20" s="1398"/>
      <c r="ER20" s="1398"/>
      <c r="ES20" s="1398"/>
      <c r="ET20" s="1398"/>
      <c r="EU20" s="1398"/>
      <c r="EV20" s="1398"/>
      <c r="EW20" s="1398"/>
      <c r="EX20" s="1398"/>
      <c r="EY20" s="1398"/>
      <c r="EZ20" s="1398"/>
      <c r="FA20" s="1398"/>
      <c r="FB20" s="1398"/>
      <c r="FC20" s="1398"/>
      <c r="FD20" s="1398"/>
      <c r="FE20" s="1398"/>
      <c r="FF20" s="1398"/>
      <c r="FG20" s="1398"/>
      <c r="FH20" s="1398"/>
      <c r="FI20" s="1398"/>
      <c r="FJ20" s="1398"/>
      <c r="FK20" s="1398"/>
      <c r="FL20" s="1398"/>
      <c r="FM20" s="1398"/>
      <c r="FN20" s="1398"/>
      <c r="FO20" s="1398"/>
      <c r="FP20" s="1398"/>
      <c r="FQ20" s="1398"/>
      <c r="FR20" s="1398"/>
      <c r="FS20" s="1398"/>
      <c r="FT20" s="1398"/>
      <c r="FU20" s="1398"/>
      <c r="FV20" s="1398"/>
      <c r="FW20" s="1398"/>
      <c r="FX20" s="1399"/>
    </row>
    <row s="6203" customFormat="1" customHeight="1" ht="12">
      <c r="A21" s="1123"/>
      <c r="B21" s="1123"/>
      <c r="C21" s="1123"/>
      <c r="D21" s="1123"/>
      <c r="E21" s="1123"/>
      <c r="F21" s="1121"/>
      <c r="G21" s="1121"/>
      <c r="H21" s="1121"/>
      <c r="I21" s="1121"/>
      <c r="J21" s="1121"/>
      <c r="K21" s="1121"/>
      <c r="L21" s="1121"/>
      <c r="M21" s="1121"/>
      <c r="N21" s="1121"/>
      <c r="O21" s="1121"/>
      <c r="P21" s="1121"/>
      <c r="Q21" s="1121"/>
      <c r="R21" s="1121"/>
      <c r="S21" s="1124"/>
      <c r="T21" s="1124"/>
      <c r="U21" s="1121"/>
      <c r="V21" s="1121"/>
      <c r="W21" s="1121"/>
      <c r="X21" s="1121"/>
      <c r="Y21" s="1121"/>
      <c r="Z21" s="1121"/>
      <c r="AA21" s="1121"/>
      <c r="AB21" s="1121"/>
      <c r="AC21" s="1121"/>
      <c r="AD21" s="1121"/>
      <c r="AE21" s="1121"/>
      <c r="AF21" s="1121"/>
      <c r="AG21" s="1121"/>
      <c r="AH21" s="1121"/>
      <c r="AI21" s="1121"/>
      <c r="AJ21" s="1121"/>
      <c r="AK21" s="1121"/>
      <c r="AL21" s="1121"/>
      <c r="AM21" s="1121"/>
      <c r="AN21" s="1121"/>
      <c r="AO21" s="1121"/>
      <c r="AP21" s="1121"/>
      <c r="AQ21" s="1121"/>
      <c r="AR21" s="1121"/>
      <c r="AS21" s="1121"/>
      <c r="AT21" s="1121"/>
      <c r="AU21" s="1121"/>
      <c r="AV21" s="1121"/>
      <c r="AW21" s="1121"/>
      <c r="AX21" s="1121"/>
      <c r="AY21" s="1121"/>
      <c r="AZ21" s="1121"/>
      <c r="BA21" s="1121"/>
      <c r="BB21" s="1121"/>
      <c r="BC21" s="1121"/>
      <c r="BD21" s="1121"/>
      <c r="BE21" s="1121"/>
      <c r="BF21" s="1121"/>
      <c r="BG21" s="1121"/>
      <c r="BH21" s="1121"/>
      <c r="BI21" s="1121"/>
      <c r="BJ21" s="1121"/>
      <c r="BK21" s="1121"/>
      <c r="BL21" s="1121"/>
      <c r="BM21" s="1121"/>
      <c r="BN21" s="1121"/>
      <c r="BO21" s="1121"/>
      <c r="BP21" s="1121"/>
      <c r="BQ21" s="1121"/>
      <c r="BR21" s="1121"/>
      <c r="BS21" s="1121"/>
      <c r="BT21" s="1121"/>
      <c r="BU21" s="1121"/>
      <c r="BV21" s="1121"/>
      <c r="BW21" s="1121"/>
      <c r="BX21" s="1121"/>
      <c r="BY21" s="1121"/>
      <c r="BZ21" s="1121"/>
      <c r="CA21" s="1121"/>
      <c r="CB21" s="1121"/>
      <c r="CC21" s="1121"/>
      <c r="CD21" s="1121"/>
      <c r="CE21" s="1121"/>
      <c r="CF21" s="1121"/>
      <c r="CG21" s="1121"/>
      <c r="CH21" s="1121"/>
      <c r="CI21" s="1121"/>
      <c r="CJ21" s="1121"/>
      <c r="CK21" s="1121"/>
      <c r="CL21" s="1121"/>
      <c r="CM21" s="1121"/>
      <c r="CN21" s="1121"/>
      <c r="CO21" s="1121"/>
      <c r="CP21" s="1121"/>
      <c r="CQ21" s="1121"/>
      <c r="CR21" s="1121"/>
      <c r="CS21" s="1121"/>
      <c r="CT21" s="1121"/>
      <c r="CU21" s="1121"/>
      <c r="CV21" s="1121"/>
      <c r="CW21" s="1121"/>
      <c r="CX21" s="1121"/>
      <c r="CY21" s="1121"/>
      <c r="CZ21" s="1121"/>
      <c r="DA21" s="1121"/>
      <c r="DB21" s="1121"/>
      <c r="DC21" s="1121"/>
      <c r="DD21" s="1121"/>
      <c r="DE21" s="1121"/>
      <c r="DF21" s="1121"/>
      <c r="DG21" s="1121"/>
      <c r="DH21" s="1121"/>
      <c r="DI21" s="1121"/>
      <c r="DJ21" s="1121"/>
      <c r="DK21" s="1121"/>
      <c r="DL21" s="1121"/>
      <c r="DM21" s="1121"/>
      <c r="DN21" s="1121"/>
      <c r="DO21" s="1121"/>
      <c r="DP21" s="1121"/>
      <c r="DQ21" s="1121"/>
      <c r="DR21" s="1121"/>
      <c r="DS21" s="1121"/>
      <c r="DT21" s="1121"/>
      <c r="DU21" s="1121"/>
      <c r="DV21" s="1121"/>
      <c r="DW21" s="1121"/>
      <c r="DX21" s="1121"/>
      <c r="DY21" s="1121"/>
      <c r="DZ21" s="1121"/>
      <c r="EA21" s="1121"/>
      <c r="EB21" s="1121"/>
      <c r="EC21" s="1121"/>
      <c r="ED21" s="1121"/>
      <c r="EE21" s="1121"/>
      <c r="EF21" s="1121"/>
      <c r="EG21" s="1121"/>
      <c r="EH21" s="1121"/>
      <c r="EI21" s="1121"/>
      <c r="EJ21" s="1121"/>
      <c r="EK21" s="1121"/>
      <c r="EL21" s="1121"/>
      <c r="EM21" s="1121"/>
      <c r="EN21" s="1121"/>
      <c r="EO21" s="1121"/>
      <c r="EP21" s="1121"/>
      <c r="EQ21" s="1121"/>
      <c r="ER21" s="1121"/>
      <c r="ES21" s="1121"/>
      <c r="ET21" s="1121"/>
      <c r="EU21" s="1121"/>
      <c r="EV21" s="1121"/>
      <c r="EW21" s="1121"/>
      <c r="EX21" s="1121"/>
      <c r="EY21" s="1121"/>
      <c r="EZ21" s="1121"/>
      <c r="FA21" s="1121"/>
      <c r="FB21" s="1121"/>
      <c r="FC21" s="1121"/>
      <c r="FD21" s="1121"/>
      <c r="FE21" s="1121"/>
      <c r="FF21" s="1121"/>
      <c r="FG21" s="1121"/>
      <c r="FH21" s="1121"/>
      <c r="FI21" s="1121"/>
      <c r="FJ21" s="1121"/>
      <c r="FK21" s="1121"/>
      <c r="FL21" s="1121"/>
      <c r="FM21" s="1121"/>
      <c r="FN21" s="1121"/>
      <c r="FO21" s="1121"/>
      <c r="FP21" s="1121"/>
      <c r="FQ21" s="1121"/>
      <c r="FR21" s="1121"/>
      <c r="FS21" s="1121"/>
      <c r="FT21" s="1121"/>
      <c r="FU21" s="1121"/>
      <c r="FV21" s="1121"/>
      <c r="FW21" s="1121"/>
      <c r="FX21" s="1123"/>
      <c r="FY21" s="1123"/>
      <c r="FZ21" s="1123"/>
      <c r="GA21" s="1123"/>
      <c r="GB21" s="1123"/>
    </row>
    <row s="6203" customFormat="1" customHeight="1" ht="12">
      <c r="A22" s="1123"/>
      <c r="B22" s="1123"/>
      <c r="C22" s="1123"/>
      <c r="D22" s="1123"/>
      <c r="E22" s="1123"/>
      <c r="FX22" s="1123"/>
      <c r="FY22" s="1123"/>
      <c r="FZ22" s="1123"/>
      <c r="GA22" s="1123"/>
      <c r="GB22" s="1123"/>
    </row>
    <row s="7500" customFormat="1" customHeight="1" ht="12">
      <c r="A23" s="1249"/>
      <c r="B23" s="1249"/>
      <c r="C23" s="1249"/>
      <c r="D23" s="1249"/>
      <c r="E23" s="1249"/>
      <c r="O23" s="1251"/>
      <c r="P23" s="1251"/>
      <c r="Q23" s="1251"/>
      <c r="R23" s="1251"/>
      <c r="S23" s="1251"/>
      <c r="T23" s="1251"/>
      <c r="U23" s="1251"/>
      <c r="V23" s="1251"/>
      <c r="W23" s="1251"/>
      <c r="X23" s="1251"/>
      <c r="Y23" s="1251"/>
      <c r="Z23" s="1251"/>
      <c r="AA23" s="1251"/>
      <c r="AB23" s="1251"/>
      <c r="AC23" s="1251"/>
      <c r="AD23" s="1251"/>
      <c r="AE23" s="1251"/>
      <c r="AF23" s="1251"/>
      <c r="AG23" s="1251"/>
      <c r="AH23" s="1251"/>
      <c r="AI23" s="1251"/>
      <c r="AJ23" s="1251"/>
      <c r="AK23" s="1251"/>
      <c r="AL23" s="1251"/>
      <c r="AM23" s="1251"/>
      <c r="AN23" s="1251"/>
      <c r="AO23" s="1251"/>
      <c r="AP23" s="1251"/>
      <c r="AQ23" s="1251"/>
      <c r="AR23" s="1251"/>
      <c r="AS23" s="1251"/>
      <c r="AT23" s="1251"/>
      <c r="AU23" s="1251"/>
      <c r="AV23" s="1251"/>
      <c r="AW23" s="1251"/>
      <c r="AX23" s="1251"/>
      <c r="AY23" s="1251"/>
      <c r="AZ23" s="1251"/>
      <c r="BA23" s="1251"/>
      <c r="BB23" s="1251"/>
      <c r="BC23" s="1251"/>
      <c r="BD23" s="1251"/>
      <c r="BE23" s="1251"/>
      <c r="BF23" s="1251"/>
      <c r="BG23" s="1251"/>
      <c r="BH23" s="1251"/>
      <c r="BI23" s="1251"/>
      <c r="BJ23" s="1251"/>
      <c r="BK23" s="1251"/>
      <c r="BL23" s="1251"/>
      <c r="BM23" s="1251"/>
      <c r="BN23" s="1251"/>
      <c r="BO23" s="1251"/>
      <c r="BP23" s="1251"/>
      <c r="BQ23" s="1251"/>
      <c r="BR23" s="1251"/>
      <c r="BS23" s="1251"/>
      <c r="BT23" s="1252"/>
      <c r="BU23" s="1252"/>
      <c r="BV23" s="1252"/>
      <c r="BW23" s="1252"/>
      <c r="BX23" s="1252"/>
      <c r="BY23" s="1252"/>
      <c r="BZ23" s="1252"/>
      <c r="CA23" s="1252"/>
      <c r="CB23" s="1252"/>
      <c r="CC23" s="1252"/>
      <c r="CD23" s="1252"/>
      <c r="CE23" s="1252"/>
      <c r="CF23" s="1252"/>
      <c r="CG23" s="1252"/>
      <c r="CH23" s="1252"/>
      <c r="CI23" s="1252"/>
      <c r="CJ23" s="1252"/>
      <c r="CK23" s="1252"/>
      <c r="CL23" s="1252"/>
      <c r="CM23" s="1252"/>
      <c r="CN23" s="1252"/>
      <c r="CO23" s="1252"/>
      <c r="CP23" s="1252"/>
      <c r="CQ23" s="1252"/>
      <c r="CR23" s="1252"/>
      <c r="CS23" s="1252"/>
      <c r="CT23" s="1252"/>
      <c r="CU23" s="1252"/>
      <c r="CV23" s="1252"/>
      <c r="CW23" s="1252"/>
      <c r="CX23" s="1252"/>
      <c r="CY23" s="1252"/>
      <c r="CZ23" s="1252"/>
      <c r="DA23" s="1252"/>
      <c r="DB23" s="1252"/>
      <c r="DC23" s="1252"/>
      <c r="DD23" s="1252"/>
      <c r="DE23" s="1252"/>
      <c r="DF23" s="1252"/>
      <c r="DG23" s="1252"/>
      <c r="DH23" s="1252"/>
      <c r="DI23" s="1252"/>
      <c r="DJ23" s="1252"/>
      <c r="DK23" s="1252"/>
      <c r="DL23" s="1252"/>
      <c r="DM23" s="1252"/>
      <c r="DN23" s="1252"/>
      <c r="DO23" s="1252"/>
      <c r="DP23" s="1252"/>
      <c r="DQ23" s="1252"/>
      <c r="DR23" s="1252"/>
      <c r="DS23" s="1252"/>
      <c r="DT23" s="1252"/>
      <c r="DU23" s="1252"/>
      <c r="DV23" s="1252"/>
      <c r="DW23" s="1252"/>
      <c r="DX23" s="1252"/>
      <c r="FX23" s="1249"/>
      <c r="FY23" s="1249"/>
      <c r="FZ23" s="1249"/>
      <c r="GA23" s="1249"/>
      <c r="GB23" s="1249"/>
    </row>
    <row customHeight="1" ht="12">
      <c r="S24" s="1120"/>
      <c r="T24" s="1120"/>
      <c r="U24" s="1120"/>
      <c r="V24" s="1120"/>
      <c r="W24" s="1120"/>
      <c r="X24" s="1120"/>
      <c r="Y24" s="1120"/>
      <c r="Z24" s="1120"/>
      <c r="AA24" s="1120"/>
      <c r="AB24" s="1120"/>
      <c r="FX24" s="1120"/>
      <c r="FY24" s="1120"/>
      <c r="FZ24" s="1120"/>
      <c r="GA24" s="1120"/>
      <c r="GB24" s="112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645597-D399-EE02-E6B4-F52C6FEEEBE6}"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516" width="19.140625" hidden="1" customWidth="1"/>
    <col min="13" max="14" style="6617" width="12.28125" hidden="1" customWidth="1"/>
    <col min="15" max="15" style="6617" width="23.421875" hidden="1" customWidth="1"/>
    <col min="16" max="16" style="7517"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717">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711"/>
      <c r="Q3" s="500"/>
      <c r="R3" s="501"/>
      <c r="S3" s="1717">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717">
        <f>INDEX(PT_DIFFERENTIATION_NUM_CS,MATCH(C4,PT_DIFFERENTIATION_CS_ID,0))</f>
      </c>
      <c r="T4" s="448" t="s">
        <v>2094</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2095</v>
      </c>
      <c r="AM4" s="664"/>
      <c r="AN4" s="664" t="str">
        <f>IF(T4="","",T4)</f>
        <v>Наименование централизованной системы горячего водоснабжения</v>
      </c>
      <c r="AO4" s="664"/>
      <c r="AP4" s="664"/>
    </row>
    <row customHeight="1" ht="23.25" hidden="1">
      <c r="A5" s="1586"/>
      <c r="B5" s="1586"/>
      <c r="C5" s="1586"/>
      <c r="D5" s="1586"/>
      <c r="E5" s="2352"/>
      <c r="F5" s="2352"/>
      <c r="G5" s="2352"/>
      <c r="H5" s="2352"/>
      <c r="I5" s="2380">
        <f>S4&amp;".1"</f>
      </c>
      <c r="J5" s="1586"/>
      <c r="K5" s="1586"/>
      <c r="L5" s="1587"/>
      <c r="P5" s="2350">
        <v>1</v>
      </c>
      <c r="Q5" s="1705"/>
      <c r="R5" s="504"/>
      <c r="S5" s="1717">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717">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717">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714"/>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705"/>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718"/>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14.25" hidden="1">
      <c r="L18" s="1702"/>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702"/>
      <c r="M19" s="1585"/>
      <c r="N19" s="1585"/>
      <c r="O19" s="1585"/>
      <c r="P19" s="1585"/>
      <c r="Q19" s="1594"/>
      <c r="R19" s="1594"/>
      <c r="S19" s="894"/>
      <c r="AB19" s="1589"/>
      <c r="AI19" s="1589"/>
      <c r="AL19" s="675"/>
      <c r="AM19" s="675"/>
      <c r="AN19" s="675"/>
      <c r="AO19" s="675"/>
      <c r="AP19" s="675"/>
    </row>
    <row s="6539" customFormat="1" customHeight="1" ht="12" hidden="1">
      <c r="L20" s="1702"/>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712"/>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707" t="s">
        <v>2096</v>
      </c>
      <c r="W38" s="2355" t="s">
        <v>2097</v>
      </c>
      <c r="X38" s="2356"/>
      <c r="Y38" s="2361" t="s">
        <v>1505</v>
      </c>
      <c r="Z38" s="2362"/>
      <c r="AA38" s="2363"/>
      <c r="AB38" s="2372"/>
      <c r="AC38" s="1707" t="s">
        <v>2096</v>
      </c>
      <c r="AD38" s="2355" t="s">
        <v>2097</v>
      </c>
      <c r="AE38" s="2356"/>
      <c r="AF38" s="2361" t="s">
        <v>1505</v>
      </c>
      <c r="AG38" s="2362"/>
      <c r="AH38" s="2363"/>
      <c r="AI38" s="2372"/>
      <c r="AJ38" s="2375"/>
      <c r="AK38" s="2204"/>
    </row>
    <row customHeight="1" ht="86.2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707" t="s">
        <v>2098</v>
      </c>
      <c r="W39" s="1424" t="s">
        <v>2099</v>
      </c>
      <c r="X39" s="1424" t="s">
        <v>2100</v>
      </c>
      <c r="Y39" s="1713" t="s">
        <v>1515</v>
      </c>
      <c r="Z39" s="2364" t="s">
        <v>1516</v>
      </c>
      <c r="AA39" s="2365"/>
      <c r="AB39" s="2373"/>
      <c r="AC39" s="1707" t="s">
        <v>2098</v>
      </c>
      <c r="AD39" s="1424" t="s">
        <v>2099</v>
      </c>
      <c r="AE39" s="1424" t="s">
        <v>2100</v>
      </c>
      <c r="AF39" s="1713"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706">
        <f>OFFSET(V40,0,-1)+1</f>
        <v>3</v>
      </c>
      <c r="W40" s="1706">
        <f>OFFSET(W40,0,-1)+1</f>
        <v>4</v>
      </c>
      <c r="X40" s="1706">
        <f>OFFSET(X40,0,-1)+1</f>
        <v>5</v>
      </c>
      <c r="Y40" s="1706">
        <f>OFFSET(Y40,0,-1)+1</f>
        <v>6</v>
      </c>
      <c r="Z40" s="2366">
        <f>OFFSET(Z40,0,-1)+1</f>
        <v>7</v>
      </c>
      <c r="AA40" s="2366"/>
      <c r="AB40" s="1706">
        <f>OFFSET(AB40,0,-2)+1</f>
        <v>8</v>
      </c>
      <c r="AC40" s="1706">
        <f>OFFSET(AC40,0,-1)+1</f>
        <v>9</v>
      </c>
      <c r="AD40" s="1706">
        <f>OFFSET(AD40,0,-1)+1</f>
        <v>10</v>
      </c>
      <c r="AE40" s="1706">
        <f>OFFSET(AE40,0,-1)+1</f>
        <v>11</v>
      </c>
      <c r="AF40" s="1706">
        <f>OFFSET(AF40,0,-1)+1</f>
        <v>12</v>
      </c>
      <c r="AG40" s="2366">
        <f>OFFSET(AG40,0,-1)+1</f>
        <v>13</v>
      </c>
      <c r="AH40" s="2366"/>
      <c r="AI40" s="1706">
        <f>OFFSET(AI40,0,-2)+1</f>
        <v>14</v>
      </c>
      <c r="AJ40" s="1450">
        <f>OFFSET(AJ40,0,-1)</f>
        <v>14</v>
      </c>
      <c r="AK40" s="1706">
        <f>OFFSET(AK40,0,-1)+1</f>
        <v>15</v>
      </c>
      <c r="AL40" s="675"/>
      <c r="AM40" s="675"/>
      <c r="AN40" s="675"/>
      <c r="AO40" s="675"/>
      <c r="AP40" s="675"/>
    </row>
    <row customHeight="1" ht="23.25">
      <c r="A41" s="1586" t="s">
        <v>251</v>
      </c>
      <c r="B41" s="1586"/>
      <c r="C41" s="1586"/>
      <c r="D41" s="1586"/>
      <c r="E41" s="2351">
        <v>1</v>
      </c>
      <c r="F41" s="1586"/>
      <c r="G41" s="1586"/>
      <c r="H41" s="1586"/>
      <c r="I41" s="1586"/>
      <c r="J41" s="1586"/>
      <c r="K41" s="1586"/>
      <c r="L41" s="1587"/>
      <c r="M41" s="1588"/>
      <c r="N41" s="1588"/>
      <c r="O41" s="1588"/>
      <c r="P41" s="509"/>
      <c r="Q41" s="508"/>
      <c r="R41" s="503"/>
      <c r="S41" s="1717">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251</v>
      </c>
      <c r="B42" s="1586" t="s">
        <v>252</v>
      </c>
      <c r="C42" s="1586"/>
      <c r="D42" s="1586"/>
      <c r="E42" s="2352"/>
      <c r="F42" s="2351">
        <v>1</v>
      </c>
      <c r="G42" s="1586"/>
      <c r="H42" s="1586"/>
      <c r="I42" s="1586"/>
      <c r="J42" s="1586"/>
      <c r="K42" s="1586"/>
      <c r="L42" s="1587"/>
      <c r="M42" s="1588"/>
      <c r="N42" s="1588"/>
      <c r="O42" s="1588"/>
      <c r="P42" s="1711"/>
      <c r="Q42" s="500"/>
      <c r="R42" s="501"/>
      <c r="S42" s="1717"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251</v>
      </c>
      <c r="B43" s="1586" t="s">
        <v>252</v>
      </c>
      <c r="C43" s="1586" t="s">
        <v>253</v>
      </c>
      <c r="D43" s="1586"/>
      <c r="E43" s="2352"/>
      <c r="F43" s="2352"/>
      <c r="G43" s="2351">
        <v>1</v>
      </c>
      <c r="H43" s="1586"/>
      <c r="I43" s="1586"/>
      <c r="J43" s="1586"/>
      <c r="K43" s="1586"/>
      <c r="L43" s="1587"/>
      <c r="M43" s="1588"/>
      <c r="N43" s="1588"/>
      <c r="O43" s="1588"/>
      <c r="P43" s="502"/>
      <c r="Q43" s="500"/>
      <c r="R43" s="501"/>
      <c r="S43" s="1717" t="str">
        <f>INDEX(PT_DIFFERENTIATION_NUM_CS,MATCH(C43,PT_DIFFERENTIATION_CS_ID,0))</f>
        <v>..</v>
      </c>
      <c r="T43" s="448" t="s">
        <v>2094</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2095</v>
      </c>
      <c r="AM43" s="664"/>
      <c r="AN43" s="664" t="str">
        <f>IF(T43="","",T43)</f>
        <v>Наименование централизованной системы горячего водоснабжения</v>
      </c>
      <c r="AO43" s="664"/>
      <c r="AP43" s="664"/>
    </row>
    <row customHeight="1" ht="23.25">
      <c r="A44" s="1586" t="s">
        <v>251</v>
      </c>
      <c r="B44" s="1586" t="s">
        <v>252</v>
      </c>
      <c r="C44" s="1586" t="s">
        <v>253</v>
      </c>
      <c r="D44" s="1586" t="s">
        <v>2101</v>
      </c>
      <c r="E44" s="2352"/>
      <c r="F44" s="2352"/>
      <c r="G44" s="2352"/>
      <c r="H44" s="2352"/>
      <c r="I44" s="2380" t="str">
        <f>S43&amp;".1"</f>
        <v>...1</v>
      </c>
      <c r="J44" s="1586"/>
      <c r="K44" s="1586"/>
      <c r="L44" s="1587"/>
      <c r="P44" s="2350">
        <v>1</v>
      </c>
      <c r="Q44" s="1705"/>
      <c r="R44" s="504"/>
      <c r="S44" s="1717"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251</v>
      </c>
      <c r="B45" s="1586" t="s">
        <v>252</v>
      </c>
      <c r="C45" s="1586" t="s">
        <v>253</v>
      </c>
      <c r="D45" s="1586" t="s">
        <v>2101</v>
      </c>
      <c r="E45" s="2352"/>
      <c r="F45" s="2352"/>
      <c r="G45" s="2352"/>
      <c r="H45" s="2352"/>
      <c r="I45" s="2381"/>
      <c r="J45" s="2349" t="str">
        <f>I44&amp;".1"</f>
        <v>...1.1</v>
      </c>
      <c r="K45" s="1586"/>
      <c r="L45" s="1587" t="s">
        <v>1478</v>
      </c>
      <c r="P45" s="2350"/>
      <c r="Q45" s="2350">
        <v>1</v>
      </c>
      <c r="R45" s="505"/>
      <c r="S45" s="1717"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251</v>
      </c>
      <c r="B46" s="1586" t="s">
        <v>252</v>
      </c>
      <c r="C46" s="1586" t="s">
        <v>253</v>
      </c>
      <c r="D46" s="1586" t="s">
        <v>2101</v>
      </c>
      <c r="E46" s="2352"/>
      <c r="F46" s="2352"/>
      <c r="G46" s="2352"/>
      <c r="H46" s="2352"/>
      <c r="I46" s="2381"/>
      <c r="J46" s="2382"/>
      <c r="K46" s="2349" t="str">
        <f>J45&amp;".1"</f>
        <v>...1.1.1</v>
      </c>
      <c r="L46" s="1587"/>
      <c r="P46" s="2350"/>
      <c r="Q46" s="2350"/>
      <c r="R46" s="505">
        <v>1</v>
      </c>
      <c r="S46" s="1717" t="str">
        <f>$K46</f>
        <v>...1.1.1</v>
      </c>
      <c r="T46" s="1661"/>
      <c r="U46" s="437"/>
      <c r="V46" s="4025"/>
      <c r="W46" s="4025"/>
      <c r="X46" s="4026"/>
      <c r="Y46" s="2359"/>
      <c r="Z46" s="2360" t="s">
        <v>66</v>
      </c>
      <c r="AA46" s="2359"/>
      <c r="AB46" s="2360" t="s">
        <v>66</v>
      </c>
      <c r="AC46" s="3992"/>
      <c r="AD46" s="3992"/>
      <c r="AE46" s="3994"/>
      <c r="AF46" s="2357"/>
      <c r="AG46" s="2069" t="s">
        <v>66</v>
      </c>
      <c r="AH46" s="2383"/>
      <c r="AI46" s="2069" t="s">
        <v>56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251</v>
      </c>
      <c r="B47" s="1586" t="s">
        <v>252</v>
      </c>
      <c r="C47" s="1586" t="s">
        <v>253</v>
      </c>
      <c r="D47" s="1586" t="s">
        <v>2101</v>
      </c>
      <c r="E47" s="2352"/>
      <c r="F47" s="2352"/>
      <c r="G47" s="2352"/>
      <c r="H47" s="2352"/>
      <c r="I47" s="2381"/>
      <c r="J47" s="2382"/>
      <c r="K47" s="2349"/>
      <c r="L47" s="1587"/>
      <c r="P47" s="2350"/>
      <c r="Q47" s="2350"/>
      <c r="R47" s="505"/>
      <c r="S47" s="1714"/>
      <c r="T47" s="437"/>
      <c r="U47" s="437"/>
      <c r="V47" s="4025"/>
      <c r="W47" s="4025"/>
      <c r="X47" s="3998" t="str">
        <f>Y46&amp;"-"&amp;AA46</f>
        <v>-</v>
      </c>
      <c r="Y47" s="2360"/>
      <c r="Z47" s="2360"/>
      <c r="AA47" s="2360"/>
      <c r="AB47" s="2360"/>
      <c r="AC47" s="3993"/>
      <c r="AD47" s="3993"/>
      <c r="AE47" s="3998" t="str">
        <f>AF46&amp;"-"&amp;AH46</f>
        <v>-</v>
      </c>
      <c r="AF47" s="2358"/>
      <c r="AG47" s="2069"/>
      <c r="AH47" s="2384"/>
      <c r="AI47" s="2069"/>
      <c r="AJ47" s="4499"/>
      <c r="AK47" s="2500"/>
      <c r="AM47" s="664"/>
      <c r="AN47" s="664" t="str">
        <f>IF(T47="","",T47)</f>
        <v/>
      </c>
      <c r="AO47" s="664"/>
      <c r="AP47" s="664"/>
    </row>
    <row customHeight="1" ht="21">
      <c r="A48" s="1586" t="s">
        <v>251</v>
      </c>
      <c r="B48" s="1586" t="s">
        <v>252</v>
      </c>
      <c r="C48" s="1586" t="s">
        <v>253</v>
      </c>
      <c r="D48" s="1586" t="s">
        <v>2101</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251</v>
      </c>
      <c r="B49" s="1586" t="s">
        <v>252</v>
      </c>
      <c r="C49" s="1586" t="s">
        <v>253</v>
      </c>
      <c r="D49" s="1586" t="s">
        <v>2101</v>
      </c>
      <c r="E49" s="2352"/>
      <c r="F49" s="2352"/>
      <c r="G49" s="2352"/>
      <c r="H49" s="2352"/>
      <c r="I49" s="2380"/>
      <c r="J49" s="1586"/>
      <c r="K49" s="1586"/>
      <c r="L49" s="1587"/>
      <c r="P49" s="2350"/>
      <c r="Q49" s="1705"/>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251</v>
      </c>
      <c r="B50" s="1586" t="s">
        <v>252</v>
      </c>
      <c r="C50" s="1586" t="s">
        <v>253</v>
      </c>
      <c r="D50" s="1586" t="s">
        <v>2101</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251</v>
      </c>
      <c r="B51" s="1565" t="s">
        <v>252</v>
      </c>
      <c r="C51" s="1536"/>
      <c r="D51" s="1536"/>
      <c r="E51" s="2352"/>
      <c r="F51" s="2351"/>
      <c r="G51" s="1536"/>
      <c r="H51" s="1536"/>
      <c r="I51" s="1536"/>
      <c r="J51" s="1536"/>
      <c r="K51" s="1536"/>
      <c r="L51" s="1718"/>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251</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718"/>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c r="M54" s="1348"/>
      <c r="N54" s="1348"/>
      <c r="O54" s="701"/>
      <c r="P54" s="1343"/>
      <c r="Q54" s="1343"/>
      <c r="R54" s="1343"/>
      <c r="S54" s="1343"/>
      <c r="AL54" s="1343"/>
      <c r="AM54" s="1343"/>
      <c r="AN54" s="1343"/>
      <c r="AO54" s="1343"/>
      <c r="AP54" s="1343"/>
    </row>
    <row customHeight="1" ht="14.25">
      <c r="O55" s="701"/>
      <c r="S55" s="1460" t="s">
        <v>1517</v>
      </c>
      <c r="T55" s="2379" t="s">
        <v>2102</v>
      </c>
      <c r="U55" s="2379"/>
      <c r="V55" s="2379"/>
      <c r="W55" s="2379"/>
      <c r="X55" s="2379"/>
      <c r="Y55" s="2379"/>
      <c r="Z55" s="2379"/>
      <c r="AA55" s="2379"/>
      <c r="AB55" s="2379"/>
      <c r="AC55" s="2379"/>
      <c r="AD55" s="2379"/>
      <c r="AE55" s="2379"/>
      <c r="AF55" s="2379"/>
      <c r="AG55" s="2379"/>
      <c r="AH55" s="2379"/>
      <c r="AI55" s="2379"/>
      <c r="AJ55" s="2379"/>
      <c r="AK55" s="2379"/>
    </row>
    <row customHeight="1" ht="14.25">
      <c r="O56" s="701"/>
    </row>
    <row customHeight="1" ht="14.25">
      <c r="O57" s="701"/>
      <c r="S57" s="1460" t="s">
        <v>1517</v>
      </c>
      <c r="T57" s="2379" t="s">
        <v>2103</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C0F14F2-87C8-A0D3-8387-BAF42F2252F9}"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516" width="19.140625" hidden="1" customWidth="1"/>
    <col min="13" max="14" style="6617" width="12.28125" hidden="1" customWidth="1"/>
    <col min="15" max="15" style="6617" width="23.421875" hidden="1" customWidth="1"/>
    <col min="16" max="16" style="7517"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717">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711"/>
      <c r="Q3" s="500"/>
      <c r="R3" s="501"/>
      <c r="S3" s="1717">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717">
        <f>INDEX(PT_DIFFERENTIATION_NUM_CS,MATCH(C4,PT_DIFFERENTIATION_CS_ID,0))</f>
      </c>
      <c r="T4" s="448" t="s">
        <v>2094</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2095</v>
      </c>
      <c r="AM4" s="664"/>
      <c r="AN4" s="664" t="str">
        <f>IF(T4="","",T4)</f>
        <v>Наименование централизованной системы горячего водоснабжения</v>
      </c>
      <c r="AO4" s="664"/>
      <c r="AP4" s="664"/>
    </row>
    <row customHeight="1" ht="23.25" hidden="1">
      <c r="A5" s="1586"/>
      <c r="B5" s="1586"/>
      <c r="C5" s="1586"/>
      <c r="D5" s="1586"/>
      <c r="E5" s="2352"/>
      <c r="F5" s="2352"/>
      <c r="G5" s="2352"/>
      <c r="H5" s="2352"/>
      <c r="I5" s="2380">
        <f>S4&amp;".1"</f>
      </c>
      <c r="J5" s="1586"/>
      <c r="K5" s="1586"/>
      <c r="L5" s="1587"/>
      <c r="P5" s="2350">
        <v>1</v>
      </c>
      <c r="Q5" s="1705"/>
      <c r="R5" s="504"/>
      <c r="S5" s="1717">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717">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717">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714"/>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705"/>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718"/>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14.25" hidden="1">
      <c r="L18" s="1702"/>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702"/>
      <c r="M19" s="1585"/>
      <c r="N19" s="1585"/>
      <c r="O19" s="1585"/>
      <c r="P19" s="1585"/>
      <c r="Q19" s="1594"/>
      <c r="R19" s="1594"/>
      <c r="S19" s="894"/>
      <c r="AB19" s="1589"/>
      <c r="AI19" s="1589"/>
      <c r="AL19" s="675"/>
      <c r="AM19" s="675"/>
      <c r="AN19" s="675"/>
      <c r="AO19" s="675"/>
      <c r="AP19" s="675"/>
    </row>
    <row s="6539" customFormat="1" customHeight="1" ht="12" hidden="1">
      <c r="L20" s="1702"/>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IF(TEMPLATE_GROUP="P",PT_P_FORM_HOTVSNA_4_NAME_FORM,PT_R_FORM_HOTVSNA_16_NAME_FORM)</f>
        <v>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712"/>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707" t="s">
        <v>2096</v>
      </c>
      <c r="W38" s="2355" t="s">
        <v>2097</v>
      </c>
      <c r="X38" s="2356"/>
      <c r="Y38" s="2361" t="s">
        <v>1505</v>
      </c>
      <c r="Z38" s="2362"/>
      <c r="AA38" s="2363"/>
      <c r="AB38" s="2372"/>
      <c r="AC38" s="1707" t="s">
        <v>2096</v>
      </c>
      <c r="AD38" s="2355" t="s">
        <v>2097</v>
      </c>
      <c r="AE38" s="2356"/>
      <c r="AF38" s="2361" t="s">
        <v>1505</v>
      </c>
      <c r="AG38" s="2362"/>
      <c r="AH38" s="2363"/>
      <c r="AI38" s="2372"/>
      <c r="AJ38" s="2375"/>
      <c r="AK38" s="2204"/>
    </row>
    <row customHeight="1" ht="86.2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707" t="s">
        <v>2098</v>
      </c>
      <c r="W39" s="1424" t="s">
        <v>2099</v>
      </c>
      <c r="X39" s="1424" t="s">
        <v>2100</v>
      </c>
      <c r="Y39" s="1713" t="s">
        <v>1515</v>
      </c>
      <c r="Z39" s="2364" t="s">
        <v>1516</v>
      </c>
      <c r="AA39" s="2365"/>
      <c r="AB39" s="2373"/>
      <c r="AC39" s="1707" t="s">
        <v>2098</v>
      </c>
      <c r="AD39" s="1424" t="s">
        <v>2099</v>
      </c>
      <c r="AE39" s="1424" t="s">
        <v>2100</v>
      </c>
      <c r="AF39" s="1713"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706">
        <f>OFFSET(V40,0,-1)+1</f>
        <v>3</v>
      </c>
      <c r="W40" s="1706">
        <f>OFFSET(W40,0,-1)+1</f>
        <v>4</v>
      </c>
      <c r="X40" s="1706">
        <f>OFFSET(X40,0,-1)+1</f>
        <v>5</v>
      </c>
      <c r="Y40" s="1706">
        <f>OFFSET(Y40,0,-1)+1</f>
        <v>6</v>
      </c>
      <c r="Z40" s="2366">
        <f>OFFSET(Z40,0,-1)+1</f>
        <v>7</v>
      </c>
      <c r="AA40" s="2366"/>
      <c r="AB40" s="1706">
        <f>OFFSET(AB40,0,-2)+1</f>
        <v>8</v>
      </c>
      <c r="AC40" s="1706">
        <f>OFFSET(AC40,0,-1)+1</f>
        <v>9</v>
      </c>
      <c r="AD40" s="1706">
        <f>OFFSET(AD40,0,-1)+1</f>
        <v>10</v>
      </c>
      <c r="AE40" s="1706">
        <f>OFFSET(AE40,0,-1)+1</f>
        <v>11</v>
      </c>
      <c r="AF40" s="1706">
        <f>OFFSET(AF40,0,-1)+1</f>
        <v>12</v>
      </c>
      <c r="AG40" s="2366">
        <f>OFFSET(AG40,0,-1)+1</f>
        <v>13</v>
      </c>
      <c r="AH40" s="2366"/>
      <c r="AI40" s="1706">
        <f>OFFSET(AI40,0,-2)+1</f>
        <v>14</v>
      </c>
      <c r="AJ40" s="1450">
        <f>OFFSET(AJ40,0,-1)</f>
        <v>14</v>
      </c>
      <c r="AK40" s="1706">
        <f>OFFSET(AK40,0,-1)+1</f>
        <v>15</v>
      </c>
      <c r="AL40" s="675"/>
      <c r="AM40" s="675"/>
      <c r="AN40" s="675"/>
      <c r="AO40" s="675"/>
      <c r="AP40" s="675"/>
    </row>
    <row customHeight="1" ht="23.25">
      <c r="A41" s="1586" t="s">
        <v>251</v>
      </c>
      <c r="B41" s="1586"/>
      <c r="C41" s="1586"/>
      <c r="D41" s="1586"/>
      <c r="E41" s="2351">
        <v>1</v>
      </c>
      <c r="F41" s="1586"/>
      <c r="G41" s="1586"/>
      <c r="H41" s="1586"/>
      <c r="I41" s="1586"/>
      <c r="J41" s="1586"/>
      <c r="K41" s="1586"/>
      <c r="L41" s="1587"/>
      <c r="M41" s="1588"/>
      <c r="N41" s="1588"/>
      <c r="O41" s="1588"/>
      <c r="P41" s="509"/>
      <c r="Q41" s="508"/>
      <c r="R41" s="503"/>
      <c r="S41" s="1717">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251</v>
      </c>
      <c r="B42" s="1586" t="s">
        <v>252</v>
      </c>
      <c r="C42" s="1586"/>
      <c r="D42" s="1586"/>
      <c r="E42" s="2352"/>
      <c r="F42" s="2351">
        <v>1</v>
      </c>
      <c r="G42" s="1586"/>
      <c r="H42" s="1586"/>
      <c r="I42" s="1586"/>
      <c r="J42" s="1586"/>
      <c r="K42" s="1586"/>
      <c r="L42" s="1587"/>
      <c r="M42" s="1588"/>
      <c r="N42" s="1588"/>
      <c r="O42" s="1588"/>
      <c r="P42" s="1711"/>
      <c r="Q42" s="500"/>
      <c r="R42" s="501"/>
      <c r="S42" s="1717"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251</v>
      </c>
      <c r="B43" s="1586" t="s">
        <v>252</v>
      </c>
      <c r="C43" s="1586" t="s">
        <v>253</v>
      </c>
      <c r="D43" s="1586"/>
      <c r="E43" s="2352"/>
      <c r="F43" s="2352"/>
      <c r="G43" s="2351">
        <v>1</v>
      </c>
      <c r="H43" s="1586"/>
      <c r="I43" s="1586"/>
      <c r="J43" s="1586"/>
      <c r="K43" s="1586"/>
      <c r="L43" s="1587"/>
      <c r="M43" s="1588"/>
      <c r="N43" s="1588"/>
      <c r="O43" s="1588"/>
      <c r="P43" s="502"/>
      <c r="Q43" s="500"/>
      <c r="R43" s="501"/>
      <c r="S43" s="1717" t="str">
        <f>INDEX(PT_DIFFERENTIATION_NUM_CS,MATCH(C43,PT_DIFFERENTIATION_CS_ID,0))</f>
        <v>..</v>
      </c>
      <c r="T43" s="448" t="s">
        <v>2094</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2095</v>
      </c>
      <c r="AM43" s="664"/>
      <c r="AN43" s="664" t="str">
        <f>IF(T43="","",T43)</f>
        <v>Наименование централизованной системы горячего водоснабжения</v>
      </c>
      <c r="AO43" s="664"/>
      <c r="AP43" s="664"/>
    </row>
    <row customHeight="1" ht="23.25">
      <c r="A44" s="1586" t="s">
        <v>251</v>
      </c>
      <c r="B44" s="1586" t="s">
        <v>252</v>
      </c>
      <c r="C44" s="1586" t="s">
        <v>253</v>
      </c>
      <c r="D44" s="1586" t="s">
        <v>2101</v>
      </c>
      <c r="E44" s="2352"/>
      <c r="F44" s="2352"/>
      <c r="G44" s="2352"/>
      <c r="H44" s="2352"/>
      <c r="I44" s="2380" t="str">
        <f>S43&amp;".1"</f>
        <v>...1</v>
      </c>
      <c r="J44" s="1586"/>
      <c r="K44" s="1586"/>
      <c r="L44" s="1587"/>
      <c r="P44" s="2350">
        <v>1</v>
      </c>
      <c r="Q44" s="1705"/>
      <c r="R44" s="504"/>
      <c r="S44" s="1717"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251</v>
      </c>
      <c r="B45" s="1586" t="s">
        <v>252</v>
      </c>
      <c r="C45" s="1586" t="s">
        <v>253</v>
      </c>
      <c r="D45" s="1586" t="s">
        <v>2101</v>
      </c>
      <c r="E45" s="2352"/>
      <c r="F45" s="2352"/>
      <c r="G45" s="2352"/>
      <c r="H45" s="2352"/>
      <c r="I45" s="2381"/>
      <c r="J45" s="2349" t="str">
        <f>I44&amp;".1"</f>
        <v>...1.1</v>
      </c>
      <c r="K45" s="1586"/>
      <c r="L45" s="1587" t="s">
        <v>1478</v>
      </c>
      <c r="P45" s="2350"/>
      <c r="Q45" s="2350">
        <v>1</v>
      </c>
      <c r="R45" s="505"/>
      <c r="S45" s="1717"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251</v>
      </c>
      <c r="B46" s="1586" t="s">
        <v>252</v>
      </c>
      <c r="C46" s="1586" t="s">
        <v>253</v>
      </c>
      <c r="D46" s="1586" t="s">
        <v>2101</v>
      </c>
      <c r="E46" s="2352"/>
      <c r="F46" s="2352"/>
      <c r="G46" s="2352"/>
      <c r="H46" s="2352"/>
      <c r="I46" s="2381"/>
      <c r="J46" s="2382"/>
      <c r="K46" s="2349" t="str">
        <f>J45&amp;".1"</f>
        <v>...1.1.1</v>
      </c>
      <c r="L46" s="1587"/>
      <c r="P46" s="2350"/>
      <c r="Q46" s="2350"/>
      <c r="R46" s="505">
        <v>1</v>
      </c>
      <c r="S46" s="1717" t="str">
        <f>$K46</f>
        <v>...1.1.1</v>
      </c>
      <c r="T46" s="1661"/>
      <c r="U46" s="437"/>
      <c r="V46" s="4025"/>
      <c r="W46" s="4025"/>
      <c r="X46" s="4026"/>
      <c r="Y46" s="2359"/>
      <c r="Z46" s="2360" t="s">
        <v>66</v>
      </c>
      <c r="AA46" s="2359"/>
      <c r="AB46" s="2360" t="s">
        <v>66</v>
      </c>
      <c r="AC46" s="3992"/>
      <c r="AD46" s="3992"/>
      <c r="AE46" s="3994"/>
      <c r="AF46" s="2357"/>
      <c r="AG46" s="2069" t="s">
        <v>66</v>
      </c>
      <c r="AH46" s="2383"/>
      <c r="AI46" s="2069" t="s">
        <v>56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251</v>
      </c>
      <c r="B47" s="1586" t="s">
        <v>252</v>
      </c>
      <c r="C47" s="1586" t="s">
        <v>253</v>
      </c>
      <c r="D47" s="1586" t="s">
        <v>2101</v>
      </c>
      <c r="E47" s="2352"/>
      <c r="F47" s="2352"/>
      <c r="G47" s="2352"/>
      <c r="H47" s="2352"/>
      <c r="I47" s="2381"/>
      <c r="J47" s="2382"/>
      <c r="K47" s="2349"/>
      <c r="L47" s="1587"/>
      <c r="P47" s="2350"/>
      <c r="Q47" s="2350"/>
      <c r="R47" s="505"/>
      <c r="S47" s="1714"/>
      <c r="T47" s="437"/>
      <c r="U47" s="437"/>
      <c r="V47" s="4025"/>
      <c r="W47" s="4025"/>
      <c r="X47" s="3998" t="str">
        <f>Y46&amp;"-"&amp;AA46</f>
        <v>-</v>
      </c>
      <c r="Y47" s="2360"/>
      <c r="Z47" s="2360"/>
      <c r="AA47" s="2360"/>
      <c r="AB47" s="2360"/>
      <c r="AC47" s="3993"/>
      <c r="AD47" s="3993"/>
      <c r="AE47" s="3998" t="str">
        <f>AF46&amp;"-"&amp;AH46</f>
        <v>-</v>
      </c>
      <c r="AF47" s="2358"/>
      <c r="AG47" s="2069"/>
      <c r="AH47" s="2384"/>
      <c r="AI47" s="2069"/>
      <c r="AJ47" s="4499"/>
      <c r="AK47" s="2500"/>
      <c r="AM47" s="664"/>
      <c r="AN47" s="664" t="str">
        <f>IF(T47="","",T47)</f>
        <v/>
      </c>
      <c r="AO47" s="664"/>
      <c r="AP47" s="664"/>
    </row>
    <row customHeight="1" ht="21">
      <c r="A48" s="1586" t="s">
        <v>251</v>
      </c>
      <c r="B48" s="1586" t="s">
        <v>252</v>
      </c>
      <c r="C48" s="1586" t="s">
        <v>253</v>
      </c>
      <c r="D48" s="1586" t="s">
        <v>2101</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251</v>
      </c>
      <c r="B49" s="1586" t="s">
        <v>252</v>
      </c>
      <c r="C49" s="1586" t="s">
        <v>253</v>
      </c>
      <c r="D49" s="1586" t="s">
        <v>2101</v>
      </c>
      <c r="E49" s="2352"/>
      <c r="F49" s="2352"/>
      <c r="G49" s="2352"/>
      <c r="H49" s="2352"/>
      <c r="I49" s="2380"/>
      <c r="J49" s="1586"/>
      <c r="K49" s="1586"/>
      <c r="L49" s="1587"/>
      <c r="P49" s="2350"/>
      <c r="Q49" s="1705"/>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251</v>
      </c>
      <c r="B50" s="1586" t="s">
        <v>252</v>
      </c>
      <c r="C50" s="1586" t="s">
        <v>253</v>
      </c>
      <c r="D50" s="1586" t="s">
        <v>2101</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251</v>
      </c>
      <c r="B51" s="1565" t="s">
        <v>252</v>
      </c>
      <c r="C51" s="1536"/>
      <c r="D51" s="1536"/>
      <c r="E51" s="2352"/>
      <c r="F51" s="2351"/>
      <c r="G51" s="1536"/>
      <c r="H51" s="1536"/>
      <c r="I51" s="1536"/>
      <c r="J51" s="1536"/>
      <c r="K51" s="1536"/>
      <c r="L51" s="1718"/>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251</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718"/>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c r="M54" s="1348"/>
      <c r="N54" s="1348"/>
      <c r="O54" s="701"/>
      <c r="P54" s="1343"/>
      <c r="Q54" s="1343"/>
      <c r="R54" s="1343"/>
      <c r="S54" s="1343"/>
      <c r="AL54" s="1343"/>
      <c r="AM54" s="1343"/>
      <c r="AN54" s="1343"/>
      <c r="AO54" s="1343"/>
      <c r="AP54" s="1343"/>
    </row>
    <row customHeight="1" ht="14.25">
      <c r="O55" s="701"/>
      <c r="S55" s="1460" t="s">
        <v>1517</v>
      </c>
      <c r="T55" s="2379" t="s">
        <v>2102</v>
      </c>
      <c r="U55" s="2379"/>
      <c r="V55" s="2379"/>
      <c r="W55" s="2379"/>
      <c r="X55" s="2379"/>
      <c r="Y55" s="2379"/>
      <c r="Z55" s="2379"/>
      <c r="AA55" s="2379"/>
      <c r="AB55" s="2379"/>
      <c r="AC55" s="2379"/>
      <c r="AD55" s="2379"/>
      <c r="AE55" s="2379"/>
      <c r="AF55" s="2379"/>
      <c r="AG55" s="2379"/>
      <c r="AH55" s="2379"/>
      <c r="AI55" s="2379"/>
      <c r="AJ55" s="2379"/>
      <c r="AK55" s="2379"/>
    </row>
    <row customHeight="1" ht="14.25">
      <c r="O56" s="701"/>
    </row>
    <row customHeight="1" ht="14.25">
      <c r="O57" s="701"/>
      <c r="S57" s="1460" t="s">
        <v>1517</v>
      </c>
      <c r="T57" s="2379" t="s">
        <v>2103</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3C4D6C-1AAB-E454-201E-111040409BAC}"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6539" width="11.57421875" hidden="1" customWidth="1"/>
    <col min="2" max="2" style="6539" width="11.00390625" hidden="1" customWidth="1"/>
    <col min="3" max="3" style="6539" width="10.57421875" hidden="1"/>
    <col min="4" max="4" style="6539" width="12.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7516" width="19.140625" hidden="1" customWidth="1"/>
    <col min="13" max="14" style="6617" width="12.28125" hidden="1" customWidth="1"/>
    <col min="15" max="15" style="6617" width="23.421875" hidden="1" customWidth="1"/>
    <col min="16" max="16" style="6617" width="3.7109375" hidden="1" customWidth="1"/>
    <col min="17" max="17" style="6765" width="3.7109375" hidden="1" customWidth="1"/>
    <col min="18" max="18" style="6619" width="3.7109375" customWidth="1"/>
    <col min="19" max="19" style="6620" width="12.7109375" customWidth="1"/>
    <col min="20" max="20" style="6104" width="32.00390625" customWidth="1"/>
    <col min="21" max="21" style="6104" width="0.140625" customWidth="1"/>
    <col min="22" max="25" style="6104" width="21.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2" style="6104" width="3.7109375" customWidth="1"/>
    <col min="33" max="33" style="6104" width="24.7109375" customWidth="1"/>
    <col min="34" max="36" style="6104" width="3.7109375" customWidth="1"/>
    <col min="37" max="37" style="6104" width="24.7109375" customWidth="1"/>
    <col min="38" max="40" style="6104" width="3.7109375" customWidth="1"/>
    <col min="41" max="41" style="6104" width="18.8515625" customWidth="1"/>
    <col min="42" max="44" style="6104" width="3.7109375" customWidth="1"/>
    <col min="45" max="45" style="6104" width="18.8515625" customWidth="1"/>
    <col min="46" max="49" style="6104" width="21.7109375" customWidth="1"/>
    <col min="50" max="50" style="6104" width="11.7109375" customWidth="1"/>
    <col min="51" max="51" style="6104" width="3.7109375" customWidth="1"/>
    <col min="52" max="52" style="6104" width="11.7109375" customWidth="1"/>
    <col min="53" max="53" style="6104" width="8.57421875" hidden="1" customWidth="1"/>
    <col min="54" max="54" style="6104" width="4.7109375" customWidth="1"/>
    <col min="55" max="55" style="6104" width="115.7109375" customWidth="1"/>
    <col min="56" max="57" style="6608" width="10.57421875"/>
    <col min="58" max="58" style="6608" width="11.140625" customWidth="1"/>
    <col min="59" max="60" style="6608" width="10.57421875"/>
  </cols>
  <sheetData>
    <row customHeight="1" ht="14.25" hidden="1">
      <c r="W1" s="475"/>
      <c r="Y1" s="475"/>
      <c r="Z1" s="475"/>
      <c r="AW1" s="475"/>
      <c r="AX1" s="475"/>
    </row>
    <row customHeight="1" ht="21" hidden="1">
      <c r="A2" s="1586"/>
      <c r="B2" s="1586"/>
      <c r="C2" s="1586"/>
      <c r="D2" s="1586"/>
      <c r="E2" s="2351">
        <v>1</v>
      </c>
      <c r="F2" s="1586"/>
      <c r="G2" s="1586"/>
      <c r="H2" s="1586"/>
      <c r="I2" s="1586"/>
      <c r="J2" s="1586"/>
      <c r="K2" s="1586"/>
      <c r="L2" s="1587"/>
      <c r="M2" s="1588"/>
      <c r="N2" s="1588"/>
      <c r="O2" s="1588"/>
      <c r="P2" s="1633"/>
      <c r="Q2" s="1047"/>
      <c r="R2" s="503"/>
      <c r="S2" s="1717">
        <f>INDEX(PT_DIFFERENTIATION_NUM_NTAR,MATCH(A2,PT_DIFFERENTIATION_NTAR_ID,0))</f>
      </c>
      <c r="T2" s="435" t="s">
        <v>132</v>
      </c>
      <c r="U2" s="437"/>
      <c r="V2" s="3965"/>
      <c r="W2" s="3965"/>
      <c r="X2" s="3965"/>
      <c r="Y2" s="3965"/>
      <c r="Z2" s="3965"/>
      <c r="AA2" s="3965"/>
      <c r="AB2" s="3965"/>
      <c r="AC2" s="3966"/>
      <c r="AD2" s="3964">
        <f>INDEX(PT_DIFFERENTIATION_NTAR,MATCH(A2,PT_DIFFERENTIATION_NTAR_ID,0))</f>
      </c>
      <c r="AE2" s="3965"/>
      <c r="AF2" s="3965"/>
      <c r="AG2" s="3965"/>
      <c r="AH2" s="3965"/>
      <c r="AI2" s="3965"/>
      <c r="AJ2" s="3965"/>
      <c r="AK2" s="3965"/>
      <c r="AL2" s="3965"/>
      <c r="AM2" s="3965"/>
      <c r="AN2" s="3965"/>
      <c r="AO2" s="3965"/>
      <c r="AP2" s="3965"/>
      <c r="AQ2" s="3965"/>
      <c r="AR2" s="3965"/>
      <c r="AS2" s="3965"/>
      <c r="AT2" s="3965"/>
      <c r="AU2" s="3965"/>
      <c r="AV2" s="3965"/>
      <c r="AW2" s="3965"/>
      <c r="AX2" s="3965"/>
      <c r="AY2" s="3965"/>
      <c r="AZ2" s="3965"/>
      <c r="BA2" s="3965"/>
      <c r="BB2" s="3966"/>
      <c r="BC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4"/>
      <c r="BF2" s="664" t="str">
        <f>IF(T2="","",T2)</f>
        <v>Наименование тарифа</v>
      </c>
      <c r="BG2" s="664"/>
      <c r="BH2" s="664"/>
    </row>
    <row customHeight="1" ht="21" hidden="1">
      <c r="A3" s="1586"/>
      <c r="B3" s="1586"/>
      <c r="C3" s="1586"/>
      <c r="D3" s="1586"/>
      <c r="E3" s="2352"/>
      <c r="F3" s="2351">
        <v>1</v>
      </c>
      <c r="G3" s="1586"/>
      <c r="H3" s="1586"/>
      <c r="I3" s="1586"/>
      <c r="J3" s="1586"/>
      <c r="K3" s="1586"/>
      <c r="L3" s="1587"/>
      <c r="M3" s="1588"/>
      <c r="N3" s="1588"/>
      <c r="O3" s="1588"/>
      <c r="P3" s="1634"/>
      <c r="Q3" s="1635"/>
      <c r="R3" s="501"/>
      <c r="S3" s="1717">
        <f>INDEX(PT_DIFFERENTIATION_NUM_TER,MATCH(B3,PT_DIFFERENTIATION_TER_ID,0))</f>
      </c>
      <c r="T3" s="447" t="s">
        <v>1469</v>
      </c>
      <c r="U3" s="437"/>
      <c r="V3" s="3965"/>
      <c r="W3" s="3965"/>
      <c r="X3" s="3965"/>
      <c r="Y3" s="3965"/>
      <c r="Z3" s="3965"/>
      <c r="AA3" s="3965"/>
      <c r="AB3" s="3965"/>
      <c r="AC3" s="3966"/>
      <c r="AD3" s="3964">
        <f>INDEX(PT_DIFFERENTIATION_TER,MATCH(B3,PT_DIFFERENTIATION_TER_ID,0))</f>
      </c>
      <c r="AE3" s="3965"/>
      <c r="AF3" s="3965"/>
      <c r="AG3" s="3965"/>
      <c r="AH3" s="3965"/>
      <c r="AI3" s="3965"/>
      <c r="AJ3" s="3965"/>
      <c r="AK3" s="3965"/>
      <c r="AL3" s="3965"/>
      <c r="AM3" s="3965"/>
      <c r="AN3" s="3965"/>
      <c r="AO3" s="3965"/>
      <c r="AP3" s="3965"/>
      <c r="AQ3" s="3965"/>
      <c r="AR3" s="3965"/>
      <c r="AS3" s="3965"/>
      <c r="AT3" s="3965"/>
      <c r="AU3" s="3965"/>
      <c r="AV3" s="3965"/>
      <c r="AW3" s="3965"/>
      <c r="AX3" s="3965"/>
      <c r="AY3" s="3965"/>
      <c r="AZ3" s="3965"/>
      <c r="BA3" s="3965"/>
      <c r="BB3" s="3966"/>
      <c r="BC3" s="1473" t="s">
        <v>1470</v>
      </c>
      <c r="BE3" s="664"/>
      <c r="BF3" s="664" t="str">
        <f>IF(T3="","",T3)</f>
        <v>Территория действия тарифа</v>
      </c>
      <c r="BG3" s="664"/>
      <c r="BH3" s="664"/>
    </row>
    <row customHeight="1" ht="33.75" hidden="1">
      <c r="A4" s="1586"/>
      <c r="B4" s="1586"/>
      <c r="C4" s="1586"/>
      <c r="D4" s="1586"/>
      <c r="E4" s="2352"/>
      <c r="F4" s="2352"/>
      <c r="G4" s="2351">
        <v>1</v>
      </c>
      <c r="H4" s="1586"/>
      <c r="I4" s="1586"/>
      <c r="J4" s="1586"/>
      <c r="K4" s="1586"/>
      <c r="L4" s="1587"/>
      <c r="M4" s="1588"/>
      <c r="N4" s="1588"/>
      <c r="O4" s="1588"/>
      <c r="P4" s="1636"/>
      <c r="Q4" s="1635"/>
      <c r="R4" s="501"/>
      <c r="S4" s="1717">
        <f>INDEX(PT_DIFFERENTIATION_NUM_CS,MATCH(C4,PT_DIFFERENTIATION_CS_ID,0))</f>
      </c>
      <c r="T4" s="448" t="s">
        <v>2094</v>
      </c>
      <c r="U4" s="437"/>
      <c r="V4" s="3965"/>
      <c r="W4" s="3965"/>
      <c r="X4" s="3965"/>
      <c r="Y4" s="3965"/>
      <c r="Z4" s="3965"/>
      <c r="AA4" s="3965"/>
      <c r="AB4" s="3965"/>
      <c r="AC4" s="3966"/>
      <c r="AD4" s="3964">
        <f>INDEX(PT_DIFFERENTIATION_CS,MATCH(C4,PT_DIFFERENTIATION_CS_ID,0))</f>
      </c>
      <c r="AE4" s="3965"/>
      <c r="AF4" s="3965"/>
      <c r="AG4" s="3965"/>
      <c r="AH4" s="3965"/>
      <c r="AI4" s="3965"/>
      <c r="AJ4" s="3965"/>
      <c r="AK4" s="3965"/>
      <c r="AL4" s="3965"/>
      <c r="AM4" s="3965"/>
      <c r="AN4" s="3965"/>
      <c r="AO4" s="3965"/>
      <c r="AP4" s="3965"/>
      <c r="AQ4" s="3965"/>
      <c r="AR4" s="3965"/>
      <c r="AS4" s="3965"/>
      <c r="AT4" s="3965"/>
      <c r="AU4" s="3965"/>
      <c r="AV4" s="3965"/>
      <c r="AW4" s="3965"/>
      <c r="AX4" s="3965"/>
      <c r="AY4" s="3965"/>
      <c r="AZ4" s="3965"/>
      <c r="BA4" s="3965"/>
      <c r="BB4" s="3966"/>
      <c r="BC4" s="1473" t="s">
        <v>2095</v>
      </c>
      <c r="BE4" s="664"/>
      <c r="BF4" s="664" t="str">
        <f>IF(T4="","",T4)</f>
        <v>Наименование централизованной системы горячего водоснабжения</v>
      </c>
      <c r="BG4" s="664"/>
      <c r="BH4" s="664"/>
    </row>
    <row s="6608" customFormat="1" customHeight="1" ht="14.25" hidden="1">
      <c r="A5" s="1565"/>
      <c r="B5" s="1565"/>
      <c r="C5" s="1565"/>
      <c r="D5" s="1565"/>
      <c r="E5" s="2352"/>
      <c r="F5" s="2352"/>
      <c r="G5" s="2352"/>
      <c r="H5" s="2351">
        <v>1</v>
      </c>
      <c r="I5" s="1565"/>
      <c r="J5" s="1565"/>
      <c r="K5" s="1565"/>
      <c r="L5" s="1568"/>
      <c r="M5" s="1537"/>
      <c r="N5" s="1537"/>
      <c r="O5" s="1537"/>
      <c r="P5" s="1721"/>
      <c r="Q5" s="1722"/>
      <c r="R5" s="505"/>
      <c r="S5" s="1227"/>
      <c r="T5" s="1723"/>
      <c r="U5" s="1607"/>
      <c r="V5" s="2391"/>
      <c r="W5" s="2391"/>
      <c r="X5" s="2391"/>
      <c r="Y5" s="2391"/>
      <c r="Z5" s="2391"/>
      <c r="AA5" s="2391"/>
      <c r="AB5" s="2391"/>
      <c r="AC5" s="2392"/>
      <c r="AD5" s="2390"/>
      <c r="AE5" s="2391"/>
      <c r="AF5" s="2391"/>
      <c r="AG5" s="2391"/>
      <c r="AH5" s="2391"/>
      <c r="AI5" s="2391"/>
      <c r="AJ5" s="2391"/>
      <c r="AK5" s="2391"/>
      <c r="AL5" s="2391"/>
      <c r="AM5" s="2391"/>
      <c r="AN5" s="2391"/>
      <c r="AO5" s="2391"/>
      <c r="AP5" s="2391"/>
      <c r="AQ5" s="2391"/>
      <c r="AR5" s="2391"/>
      <c r="AS5" s="2391"/>
      <c r="AT5" s="2391"/>
      <c r="AU5" s="2391"/>
      <c r="AV5" s="2391"/>
      <c r="AW5" s="2391"/>
      <c r="AX5" s="2391"/>
      <c r="AY5" s="2391"/>
      <c r="AZ5" s="2391"/>
      <c r="BA5" s="2391"/>
      <c r="BB5" s="2392"/>
      <c r="BC5" s="1608" t="s">
        <v>1474</v>
      </c>
      <c r="BE5" s="664"/>
      <c r="BF5" s="664" t="str">
        <f>IF(T5="","",T5)</f>
        <v/>
      </c>
      <c r="BG5" s="664"/>
      <c r="BH5" s="664"/>
    </row>
    <row s="6608" customFormat="1" customHeight="1" ht="14.25" hidden="1">
      <c r="A6" s="1565"/>
      <c r="B6" s="1565"/>
      <c r="C6" s="1565"/>
      <c r="D6" s="1565"/>
      <c r="E6" s="2352"/>
      <c r="F6" s="2352"/>
      <c r="G6" s="2352"/>
      <c r="H6" s="2352"/>
      <c r="I6" s="2380" t="str">
        <f>S5&amp;".1"</f>
        <v>.1</v>
      </c>
      <c r="J6" s="1565"/>
      <c r="K6" s="1565"/>
      <c r="L6" s="1568" t="s">
        <v>1475</v>
      </c>
      <c r="M6" s="674"/>
      <c r="N6" s="674"/>
      <c r="O6" s="674"/>
      <c r="P6" s="2350">
        <v>1</v>
      </c>
      <c r="Q6" s="1705"/>
      <c r="R6" s="504"/>
      <c r="S6" s="1227"/>
      <c r="T6" s="1606"/>
      <c r="U6" s="1607"/>
      <c r="V6" s="2391"/>
      <c r="W6" s="2391"/>
      <c r="X6" s="2391"/>
      <c r="Y6" s="2391"/>
      <c r="Z6" s="2391"/>
      <c r="AA6" s="2391"/>
      <c r="AB6" s="2391"/>
      <c r="AC6" s="2392"/>
      <c r="AD6" s="2390"/>
      <c r="AE6" s="2391"/>
      <c r="AF6" s="2391"/>
      <c r="AG6" s="2391"/>
      <c r="AH6" s="2391"/>
      <c r="AI6" s="2391"/>
      <c r="AJ6" s="2391"/>
      <c r="AK6" s="2391"/>
      <c r="AL6" s="2391"/>
      <c r="AM6" s="2391"/>
      <c r="AN6" s="2391"/>
      <c r="AO6" s="2391"/>
      <c r="AP6" s="2391"/>
      <c r="AQ6" s="2391"/>
      <c r="AR6" s="2391"/>
      <c r="AS6" s="2391"/>
      <c r="AT6" s="2391"/>
      <c r="AU6" s="2391"/>
      <c r="AV6" s="2391"/>
      <c r="AW6" s="2391"/>
      <c r="AX6" s="2391"/>
      <c r="AY6" s="2391"/>
      <c r="AZ6" s="2391"/>
      <c r="BA6" s="2391"/>
      <c r="BB6" s="2392"/>
      <c r="BC6" s="1608"/>
      <c r="BE6" s="664"/>
      <c r="BF6" s="664" t="str">
        <f>IF(T6="","",T6)</f>
        <v/>
      </c>
      <c r="BG6" s="664"/>
      <c r="BH6" s="664"/>
    </row>
    <row s="6608" customFormat="1" customHeight="1" ht="14.25" hidden="1">
      <c r="A7" s="1565"/>
      <c r="B7" s="1565"/>
      <c r="C7" s="1565"/>
      <c r="D7" s="1565"/>
      <c r="E7" s="2352"/>
      <c r="F7" s="2352"/>
      <c r="G7" s="2352"/>
      <c r="H7" s="2352"/>
      <c r="I7" s="2381"/>
      <c r="J7" s="2349" t="str">
        <f>S5&amp;".1"</f>
        <v>.1</v>
      </c>
      <c r="K7" s="1565"/>
      <c r="L7" s="1568"/>
      <c r="M7" s="674"/>
      <c r="N7" s="674"/>
      <c r="O7" s="674"/>
      <c r="P7" s="2350"/>
      <c r="Q7" s="2350">
        <v>1</v>
      </c>
      <c r="R7" s="505"/>
      <c r="S7" s="1227"/>
      <c r="T7" s="1622"/>
      <c r="U7" s="1607"/>
      <c r="V7" s="2391"/>
      <c r="W7" s="2391"/>
      <c r="X7" s="2391"/>
      <c r="Y7" s="2391"/>
      <c r="Z7" s="2391"/>
      <c r="AA7" s="2391"/>
      <c r="AB7" s="2391"/>
      <c r="AC7" s="2392"/>
      <c r="AD7" s="2390"/>
      <c r="AE7" s="2391"/>
      <c r="AF7" s="2391"/>
      <c r="AG7" s="2391"/>
      <c r="AH7" s="2391"/>
      <c r="AI7" s="2391"/>
      <c r="AJ7" s="2391"/>
      <c r="AK7" s="2391"/>
      <c r="AL7" s="2391"/>
      <c r="AM7" s="2391"/>
      <c r="AN7" s="2391"/>
      <c r="AO7" s="2391"/>
      <c r="AP7" s="2391"/>
      <c r="AQ7" s="2391"/>
      <c r="AR7" s="2391"/>
      <c r="AS7" s="2391"/>
      <c r="AT7" s="2391"/>
      <c r="AU7" s="2391"/>
      <c r="AV7" s="2391"/>
      <c r="AW7" s="2391"/>
      <c r="AX7" s="2391"/>
      <c r="AY7" s="2391"/>
      <c r="AZ7" s="2391"/>
      <c r="BA7" s="2391"/>
      <c r="BB7" s="2392"/>
      <c r="BC7" s="1608"/>
      <c r="BE7" s="664"/>
      <c r="BF7" s="664" t="str">
        <f>IF(T7="","",T7)</f>
        <v/>
      </c>
      <c r="BG7" s="664"/>
      <c r="BH7" s="664"/>
    </row>
    <row customHeight="1" ht="11.25" hidden="1">
      <c r="A8" s="1586"/>
      <c r="B8" s="1586"/>
      <c r="C8" s="1586"/>
      <c r="D8" s="1586"/>
      <c r="E8" s="2352"/>
      <c r="F8" s="2352"/>
      <c r="G8" s="2352"/>
      <c r="H8" s="2352"/>
      <c r="I8" s="2381"/>
      <c r="J8" s="2382"/>
      <c r="K8" s="2349">
        <f>S4&amp;".1"</f>
      </c>
      <c r="L8" s="1587"/>
      <c r="P8" s="2350"/>
      <c r="Q8" s="2350"/>
      <c r="R8" s="2440">
        <v>1</v>
      </c>
      <c r="S8" s="2434">
        <f>$K8</f>
      </c>
      <c r="T8" s="2512"/>
      <c r="U8" s="437"/>
      <c r="V8" s="3992"/>
      <c r="W8" s="3994"/>
      <c r="X8" s="3992"/>
      <c r="Y8" s="3994"/>
      <c r="Z8" s="1976"/>
      <c r="AA8" s="1693" t="s">
        <v>66</v>
      </c>
      <c r="AB8" s="1976"/>
      <c r="AC8" s="1693" t="s">
        <v>66</v>
      </c>
      <c r="AD8" s="2159" t="s">
        <v>66</v>
      </c>
      <c r="AE8" s="2423"/>
      <c r="AF8" s="2424">
        <v>1</v>
      </c>
      <c r="AG8" s="2516"/>
      <c r="AH8" s="2069" t="s">
        <v>66</v>
      </c>
      <c r="AI8" s="2423"/>
      <c r="AJ8" s="2424">
        <v>1</v>
      </c>
      <c r="AK8" s="2515" t="s">
        <v>17</v>
      </c>
      <c r="AL8" s="2069" t="s">
        <v>66</v>
      </c>
      <c r="AM8" s="2507"/>
      <c r="AN8" s="2424">
        <v>1</v>
      </c>
      <c r="AO8" s="2509"/>
      <c r="AP8" s="2510" t="s">
        <v>66</v>
      </c>
      <c r="AQ8" s="450"/>
      <c r="AR8" s="1710">
        <v>1</v>
      </c>
      <c r="AS8" s="1716" t="s">
        <v>17</v>
      </c>
      <c r="AT8" s="3992"/>
      <c r="AU8" s="3994"/>
      <c r="AV8" s="3992"/>
      <c r="AW8" s="3994"/>
      <c r="AX8" s="1976"/>
      <c r="AY8" s="1693" t="s">
        <v>66</v>
      </c>
      <c r="AZ8" s="1976"/>
      <c r="BA8" s="1693" t="s">
        <v>66</v>
      </c>
      <c r="BB8" s="4093"/>
      <c r="BC8" s="2346" t="s">
        <v>1705</v>
      </c>
      <c r="BE8" s="664"/>
      <c r="BF8" s="664" t="str">
        <f>IF(T8="","",T8)</f>
        <v/>
      </c>
      <c r="BG8" s="664"/>
      <c r="BH8" s="664"/>
    </row>
    <row customHeight="1" ht="11.25" hidden="1">
      <c r="A9" s="1586"/>
      <c r="B9" s="1586"/>
      <c r="C9" s="1586"/>
      <c r="D9" s="1586"/>
      <c r="E9" s="2352"/>
      <c r="F9" s="2352"/>
      <c r="G9" s="2352"/>
      <c r="H9" s="2352"/>
      <c r="I9" s="2381"/>
      <c r="J9" s="2382"/>
      <c r="K9" s="2349"/>
      <c r="L9" s="1587"/>
      <c r="P9" s="2350"/>
      <c r="Q9" s="2350"/>
      <c r="R9" s="2440"/>
      <c r="S9" s="2435"/>
      <c r="T9" s="2513"/>
      <c r="U9" s="437"/>
      <c r="V9" s="4152"/>
      <c r="W9" s="4208"/>
      <c r="X9" s="4152"/>
      <c r="Y9" s="4208"/>
      <c r="Z9" s="4152"/>
      <c r="AA9" s="4152"/>
      <c r="AB9" s="4152"/>
      <c r="AC9" s="4152"/>
      <c r="AD9" s="2160"/>
      <c r="AE9" s="2423"/>
      <c r="AF9" s="2424"/>
      <c r="AG9" s="2516"/>
      <c r="AH9" s="2069"/>
      <c r="AI9" s="2423"/>
      <c r="AJ9" s="2424"/>
      <c r="AK9" s="2515"/>
      <c r="AL9" s="2069"/>
      <c r="AM9" s="2508"/>
      <c r="AN9" s="2424"/>
      <c r="AO9" s="2509"/>
      <c r="AP9" s="2511"/>
      <c r="AQ9" s="457"/>
      <c r="AR9" s="579"/>
      <c r="AS9" s="579" t="s">
        <v>1706</v>
      </c>
      <c r="AT9" s="4152"/>
      <c r="AU9" s="4208"/>
      <c r="AV9" s="4152"/>
      <c r="AW9" s="4208"/>
      <c r="AX9" s="4152"/>
      <c r="AY9" s="4152"/>
      <c r="AZ9" s="4152"/>
      <c r="BA9" s="4152"/>
      <c r="BB9" s="4206"/>
      <c r="BC9" s="2347"/>
      <c r="BE9" s="664"/>
      <c r="BF9" s="664"/>
      <c r="BG9" s="664"/>
      <c r="BH9" s="664"/>
    </row>
    <row customHeight="1" ht="11.25" hidden="1">
      <c r="A10" s="1586"/>
      <c r="B10" s="1586"/>
      <c r="C10" s="1586"/>
      <c r="D10" s="1586"/>
      <c r="E10" s="2352"/>
      <c r="F10" s="2352"/>
      <c r="G10" s="2352"/>
      <c r="H10" s="2352"/>
      <c r="I10" s="2381"/>
      <c r="J10" s="2382"/>
      <c r="K10" s="2349"/>
      <c r="L10" s="1587"/>
      <c r="P10" s="2350"/>
      <c r="Q10" s="2350"/>
      <c r="R10" s="2440"/>
      <c r="S10" s="2435"/>
      <c r="T10" s="2513"/>
      <c r="U10" s="437"/>
      <c r="V10" s="4152"/>
      <c r="W10" s="4208"/>
      <c r="X10" s="4152"/>
      <c r="Y10" s="4208"/>
      <c r="Z10" s="4152"/>
      <c r="AA10" s="4152"/>
      <c r="AB10" s="4152"/>
      <c r="AC10" s="4152"/>
      <c r="AD10" s="2160"/>
      <c r="AE10" s="2423"/>
      <c r="AF10" s="2424"/>
      <c r="AG10" s="2516"/>
      <c r="AH10" s="2069"/>
      <c r="AI10" s="2423"/>
      <c r="AJ10" s="2424"/>
      <c r="AK10" s="2515"/>
      <c r="AL10" s="2069"/>
      <c r="AM10" s="457"/>
      <c r="AN10" s="1724"/>
      <c r="AO10" s="1724" t="s">
        <v>1707</v>
      </c>
      <c r="AP10" s="579"/>
      <c r="AQ10" s="579"/>
      <c r="AR10" s="579"/>
      <c r="AS10" s="4152"/>
      <c r="AT10" s="4152"/>
      <c r="AU10" s="4208"/>
      <c r="AV10" s="4152"/>
      <c r="AW10" s="4208"/>
      <c r="AX10" s="4152"/>
      <c r="AY10" s="4152"/>
      <c r="AZ10" s="4152"/>
      <c r="BA10" s="4152"/>
      <c r="BB10" s="4206"/>
      <c r="BC10" s="2347"/>
      <c r="BE10" s="664"/>
      <c r="BF10" s="664"/>
      <c r="BG10" s="664"/>
      <c r="BH10" s="664"/>
    </row>
    <row customHeight="1" ht="11.25" hidden="1">
      <c r="A11" s="1586"/>
      <c r="B11" s="1586"/>
      <c r="C11" s="1586"/>
      <c r="D11" s="1586"/>
      <c r="E11" s="2352"/>
      <c r="F11" s="2352"/>
      <c r="G11" s="2352"/>
      <c r="H11" s="2352"/>
      <c r="I11" s="2381"/>
      <c r="J11" s="2382"/>
      <c r="K11" s="2349"/>
      <c r="L11" s="1587"/>
      <c r="P11" s="2350"/>
      <c r="Q11" s="2350"/>
      <c r="R11" s="2440"/>
      <c r="S11" s="2435"/>
      <c r="T11" s="2513"/>
      <c r="U11" s="437"/>
      <c r="V11" s="4152"/>
      <c r="W11" s="4208"/>
      <c r="X11" s="4152"/>
      <c r="Y11" s="4208"/>
      <c r="Z11" s="4152"/>
      <c r="AA11" s="4152"/>
      <c r="AB11" s="4152"/>
      <c r="AC11" s="4152"/>
      <c r="AD11" s="2160"/>
      <c r="AE11" s="2423"/>
      <c r="AF11" s="2424"/>
      <c r="AG11" s="2516"/>
      <c r="AH11" s="2069"/>
      <c r="AI11" s="431"/>
      <c r="AJ11" s="578"/>
      <c r="AK11" s="452" t="s">
        <v>1708</v>
      </c>
      <c r="AL11" s="4152"/>
      <c r="AM11" s="4152"/>
      <c r="AN11" s="4152"/>
      <c r="AO11" s="4152"/>
      <c r="AP11" s="4152"/>
      <c r="AQ11" s="4152"/>
      <c r="AR11" s="4152"/>
      <c r="AS11" s="4152"/>
      <c r="AT11" s="4152"/>
      <c r="AU11" s="4208"/>
      <c r="AV11" s="4152"/>
      <c r="AW11" s="4208"/>
      <c r="AX11" s="4152"/>
      <c r="AY11" s="4152"/>
      <c r="AZ11" s="4152"/>
      <c r="BA11" s="4152"/>
      <c r="BB11" s="4206"/>
      <c r="BC11" s="2347"/>
      <c r="BE11" s="664"/>
      <c r="BF11" s="664"/>
      <c r="BG11" s="664"/>
      <c r="BH11" s="664"/>
    </row>
    <row customHeight="1" ht="11.25" hidden="1">
      <c r="A12" s="1586"/>
      <c r="B12" s="1586"/>
      <c r="C12" s="1586"/>
      <c r="D12" s="1586"/>
      <c r="E12" s="2352"/>
      <c r="F12" s="2352"/>
      <c r="G12" s="2352"/>
      <c r="H12" s="2352"/>
      <c r="I12" s="2381"/>
      <c r="J12" s="2382"/>
      <c r="K12" s="2349"/>
      <c r="L12" s="1587"/>
      <c r="P12" s="2350"/>
      <c r="Q12" s="2350"/>
      <c r="R12" s="2440"/>
      <c r="S12" s="2436"/>
      <c r="T12" s="2514"/>
      <c r="U12" s="437"/>
      <c r="V12" s="4152"/>
      <c r="W12" s="4153" t="str">
        <f>Z8&amp;"-"&amp;AB8</f>
        <v>-</v>
      </c>
      <c r="X12" s="4152"/>
      <c r="Y12" s="4153" t="str">
        <f>AB8&amp;"-"&amp;AD8</f>
        <v>-да</v>
      </c>
      <c r="Z12" s="4152"/>
      <c r="AA12" s="4152"/>
      <c r="AB12" s="4152"/>
      <c r="AC12" s="4152"/>
      <c r="AD12" s="2074"/>
      <c r="AE12" s="451"/>
      <c r="AF12" s="453"/>
      <c r="AG12" s="579" t="s">
        <v>1709</v>
      </c>
      <c r="AH12" s="4152"/>
      <c r="AI12" s="4152"/>
      <c r="AJ12" s="4152"/>
      <c r="AK12" s="4152"/>
      <c r="AL12" s="4152"/>
      <c r="AM12" s="4152"/>
      <c r="AN12" s="4152"/>
      <c r="AO12" s="4152"/>
      <c r="AP12" s="4152"/>
      <c r="AQ12" s="4152"/>
      <c r="AR12" s="4152"/>
      <c r="AS12" s="4152"/>
      <c r="AT12" s="4152"/>
      <c r="AU12" s="4153" t="str">
        <f>AX8&amp;"-"&amp;AZ8</f>
        <v>-</v>
      </c>
      <c r="AV12" s="4152"/>
      <c r="AW12" s="4153" t="str">
        <f>AZ8&amp;"-"&amp;BB8</f>
        <v>-</v>
      </c>
      <c r="AX12" s="4152"/>
      <c r="AY12" s="4152"/>
      <c r="AZ12" s="4152"/>
      <c r="BA12" s="4152"/>
      <c r="BB12" s="4213" t="str">
        <f>BE8&amp;"-"&amp;BG8</f>
        <v>-</v>
      </c>
      <c r="BC12" s="2347"/>
      <c r="BE12" s="664"/>
      <c r="BF12" s="664" t="str">
        <f>IF(T12="","",T12)</f>
        <v/>
      </c>
      <c r="BG12" s="664"/>
      <c r="BH12" s="664"/>
    </row>
    <row customHeight="1" ht="11.25" hidden="1">
      <c r="A13" s="1586"/>
      <c r="B13" s="1586"/>
      <c r="C13" s="1586"/>
      <c r="D13" s="1586"/>
      <c r="E13" s="2352"/>
      <c r="F13" s="2352"/>
      <c r="G13" s="2352"/>
      <c r="H13" s="2352"/>
      <c r="I13" s="2381"/>
      <c r="J13" s="2349"/>
      <c r="K13" s="1586"/>
      <c r="L13" s="1587"/>
      <c r="P13" s="2350"/>
      <c r="Q13" s="2350"/>
      <c r="R13" s="504"/>
      <c r="S13" s="1495"/>
      <c r="T13" s="424" t="s">
        <v>1549</v>
      </c>
      <c r="U13" s="519"/>
      <c r="V13" s="519"/>
      <c r="W13" s="519"/>
      <c r="X13" s="519"/>
      <c r="Y13" s="519"/>
      <c r="Z13" s="519"/>
      <c r="AA13" s="519"/>
      <c r="AB13" s="519"/>
      <c r="AC13" s="519"/>
      <c r="AD13" s="1729"/>
      <c r="AE13" s="519"/>
      <c r="AF13" s="519"/>
      <c r="AG13" s="519"/>
      <c r="AH13" s="519"/>
      <c r="AI13" s="519"/>
      <c r="AJ13" s="519"/>
      <c r="AK13" s="519"/>
      <c r="AL13" s="519"/>
      <c r="AM13" s="519"/>
      <c r="AN13" s="519"/>
      <c r="AO13" s="519"/>
      <c r="AP13" s="519"/>
      <c r="AQ13" s="519"/>
      <c r="AR13" s="519"/>
      <c r="AS13" s="519"/>
      <c r="AT13" s="519"/>
      <c r="AU13" s="519"/>
      <c r="AV13" s="519"/>
      <c r="AW13" s="519"/>
      <c r="AX13" s="519"/>
      <c r="AY13" s="519"/>
      <c r="AZ13" s="519"/>
      <c r="BA13" s="519"/>
      <c r="BB13" s="471"/>
      <c r="BC13" s="2348"/>
      <c r="BE13" s="664"/>
      <c r="BF13" s="664" t="str">
        <f>IF(T13="","",T13)</f>
        <v>Добавить строку</v>
      </c>
      <c r="BG13" s="664"/>
      <c r="BH13" s="664"/>
    </row>
    <row s="6608" customFormat="1" customHeight="1" ht="14.25" hidden="1">
      <c r="A14" s="1565"/>
      <c r="B14" s="1565"/>
      <c r="C14" s="1565"/>
      <c r="D14" s="1565"/>
      <c r="E14" s="2352"/>
      <c r="F14" s="2352"/>
      <c r="G14" s="2352"/>
      <c r="H14" s="2352"/>
      <c r="I14" s="2380"/>
      <c r="J14" s="1565"/>
      <c r="K14" s="1565"/>
      <c r="L14" s="1568"/>
      <c r="M14" s="674"/>
      <c r="N14" s="674"/>
      <c r="O14" s="674"/>
      <c r="P14" s="2350"/>
      <c r="Q14" s="1705"/>
      <c r="R14" s="504"/>
      <c r="S14" s="1609"/>
      <c r="T14" s="1610"/>
      <c r="U14" s="1611"/>
      <c r="V14" s="1611"/>
      <c r="W14" s="1611"/>
      <c r="X14" s="1611"/>
      <c r="Y14" s="1611"/>
      <c r="Z14" s="1611"/>
      <c r="AA14" s="1611"/>
      <c r="AB14" s="1611"/>
      <c r="AC14" s="1611"/>
      <c r="AD14" s="1611"/>
      <c r="AE14" s="1611"/>
      <c r="AF14" s="1611"/>
      <c r="AG14" s="1611"/>
      <c r="AH14" s="1611"/>
      <c r="AI14" s="1611"/>
      <c r="AJ14" s="1611"/>
      <c r="AK14" s="1611"/>
      <c r="AL14" s="1611"/>
      <c r="AM14" s="1611"/>
      <c r="AN14" s="1611"/>
      <c r="AO14" s="1611"/>
      <c r="AP14" s="1611"/>
      <c r="AQ14" s="1611"/>
      <c r="AR14" s="1611"/>
      <c r="AS14" s="1611"/>
      <c r="AT14" s="1611"/>
      <c r="AU14" s="1611"/>
      <c r="AV14" s="1611"/>
      <c r="AW14" s="1611"/>
      <c r="AX14" s="1611"/>
      <c r="AY14" s="1611"/>
      <c r="AZ14" s="1611"/>
      <c r="BA14" s="1611"/>
      <c r="BB14" s="1611"/>
      <c r="BC14" s="1612"/>
      <c r="BE14" s="664"/>
      <c r="BF14" s="664" t="str">
        <f>IF(T14="","",T14)</f>
        <v/>
      </c>
      <c r="BG14" s="664"/>
      <c r="BH14" s="664"/>
    </row>
    <row s="6608" customFormat="1" customHeight="1" ht="14.25" hidden="1">
      <c r="A15" s="1565"/>
      <c r="B15" s="1565"/>
      <c r="C15" s="1565"/>
      <c r="D15" s="1565"/>
      <c r="E15" s="2352"/>
      <c r="F15" s="2352"/>
      <c r="G15" s="2352"/>
      <c r="H15" s="2351"/>
      <c r="I15" s="1565"/>
      <c r="J15" s="1565"/>
      <c r="K15" s="1565"/>
      <c r="L15" s="1568"/>
      <c r="M15" s="1537"/>
      <c r="N15" s="1537"/>
      <c r="O15" s="682"/>
      <c r="P15" s="537"/>
      <c r="Q15" s="1566"/>
      <c r="R15" s="1624"/>
      <c r="S15" s="1609"/>
      <c r="T15" s="1610"/>
      <c r="U15" s="1611"/>
      <c r="V15" s="1611"/>
      <c r="W15" s="1611"/>
      <c r="X15" s="1611"/>
      <c r="Y15" s="1611"/>
      <c r="Z15" s="1611"/>
      <c r="AA15" s="1611"/>
      <c r="AB15" s="1611"/>
      <c r="AC15" s="1611"/>
      <c r="AD15" s="1611"/>
      <c r="AE15" s="1611"/>
      <c r="AF15" s="1611"/>
      <c r="AG15" s="1611"/>
      <c r="AH15" s="1611"/>
      <c r="AI15" s="1611"/>
      <c r="AJ15" s="1611"/>
      <c r="AK15" s="1611"/>
      <c r="AL15" s="1611"/>
      <c r="AM15" s="1611"/>
      <c r="AN15" s="1611"/>
      <c r="AO15" s="1611"/>
      <c r="AP15" s="1611"/>
      <c r="AQ15" s="1611"/>
      <c r="AR15" s="1611"/>
      <c r="AS15" s="1611"/>
      <c r="AT15" s="1611"/>
      <c r="AU15" s="1611"/>
      <c r="AV15" s="1611"/>
      <c r="AW15" s="1611"/>
      <c r="AX15" s="1611"/>
      <c r="AY15" s="1611"/>
      <c r="AZ15" s="1611"/>
      <c r="BA15" s="1611"/>
      <c r="BB15" s="1611"/>
      <c r="BC15" s="1612"/>
      <c r="BE15" s="664"/>
      <c r="BF15" s="664" t="str">
        <f>IF(T15="","",T15)</f>
        <v/>
      </c>
      <c r="BG15" s="664"/>
      <c r="BH15" s="664"/>
    </row>
    <row s="6520" customFormat="1" customHeight="1" ht="14.25" hidden="1">
      <c r="A16" s="1565"/>
      <c r="B16" s="1565"/>
      <c r="C16" s="1565"/>
      <c r="D16" s="1536"/>
      <c r="E16" s="2352"/>
      <c r="F16" s="2352"/>
      <c r="G16" s="2351"/>
      <c r="H16" s="1536"/>
      <c r="I16" s="1536"/>
      <c r="J16" s="1536"/>
      <c r="K16" s="1536"/>
      <c r="L16" s="1718"/>
      <c r="M16" s="1537"/>
      <c r="N16" s="1537"/>
      <c r="P16" s="1538"/>
      <c r="Q16" s="1539"/>
      <c r="R16" s="1538"/>
      <c r="S16" s="1544"/>
      <c r="T16" s="1547"/>
      <c r="U16" s="1546"/>
      <c r="V16" s="1546"/>
      <c r="W16" s="1546"/>
      <c r="X16" s="1546"/>
      <c r="Y16" s="1546"/>
      <c r="Z16" s="1546"/>
      <c r="AA16" s="1546"/>
      <c r="AB16" s="1546"/>
      <c r="AC16" s="1546"/>
      <c r="AD16" s="1546"/>
      <c r="AE16" s="1546"/>
      <c r="AF16" s="1546"/>
      <c r="AG16" s="1546"/>
      <c r="AH16" s="1546"/>
      <c r="AI16" s="1546"/>
      <c r="AJ16" s="1546"/>
      <c r="AK16" s="1546"/>
      <c r="AL16" s="1546"/>
      <c r="AM16" s="1546"/>
      <c r="AN16" s="1546"/>
      <c r="AO16" s="1546"/>
      <c r="AP16" s="1546"/>
      <c r="AQ16" s="1546"/>
      <c r="AR16" s="1546"/>
      <c r="AS16" s="1546"/>
      <c r="AT16" s="1546"/>
      <c r="AU16" s="1546"/>
      <c r="AV16" s="1546"/>
      <c r="AW16" s="1546"/>
      <c r="AX16" s="1546"/>
      <c r="AY16" s="1546"/>
      <c r="AZ16" s="1546"/>
      <c r="BA16" s="1546"/>
      <c r="BB16" s="1546"/>
      <c r="BC16" s="1546"/>
      <c r="BE16" s="956"/>
      <c r="BF16" s="956" t="str">
        <f>IF(T16="","",T16)</f>
        <v/>
      </c>
      <c r="BG16" s="956"/>
      <c r="BH16" s="956"/>
    </row>
    <row s="6520" customFormat="1" customHeight="1" ht="14.25" hidden="1">
      <c r="A17" s="1565"/>
      <c r="B17" s="1565"/>
      <c r="C17" s="1536"/>
      <c r="D17" s="1536"/>
      <c r="E17" s="2352"/>
      <c r="F17" s="2351"/>
      <c r="G17" s="1536"/>
      <c r="H17" s="1536"/>
      <c r="I17" s="1536"/>
      <c r="J17" s="1536"/>
      <c r="K17" s="1536"/>
      <c r="L17" s="1718"/>
      <c r="M17" s="1543"/>
      <c r="N17" s="1543"/>
      <c r="P17" s="1538"/>
      <c r="Q17" s="1539"/>
      <c r="R17" s="1538"/>
      <c r="S17" s="1544"/>
      <c r="T17" s="1547" t="s">
        <v>1445</v>
      </c>
      <c r="U17" s="1546"/>
      <c r="V17" s="1546"/>
      <c r="W17" s="1546"/>
      <c r="X17" s="1546"/>
      <c r="Y17" s="1546"/>
      <c r="Z17" s="1546"/>
      <c r="AA17" s="1546"/>
      <c r="AB17" s="1546"/>
      <c r="AC17" s="1546"/>
      <c r="AD17" s="1546"/>
      <c r="AE17" s="1546"/>
      <c r="AF17" s="1546"/>
      <c r="AG17" s="1546"/>
      <c r="AH17" s="1546"/>
      <c r="AI17" s="1546"/>
      <c r="AJ17" s="1546"/>
      <c r="AK17" s="1546"/>
      <c r="AL17" s="1546"/>
      <c r="AM17" s="1546"/>
      <c r="AN17" s="1546"/>
      <c r="AO17" s="1546"/>
      <c r="AP17" s="1546"/>
      <c r="AQ17" s="1546"/>
      <c r="AR17" s="1546"/>
      <c r="AS17" s="1546"/>
      <c r="AT17" s="1546"/>
      <c r="AU17" s="1546"/>
      <c r="AV17" s="1546"/>
      <c r="AW17" s="1546"/>
      <c r="AX17" s="1546"/>
      <c r="AY17" s="1546"/>
      <c r="AZ17" s="1546"/>
      <c r="BA17" s="1546"/>
      <c r="BB17" s="1546"/>
      <c r="BC17" s="1546"/>
      <c r="BE17" s="956"/>
      <c r="BF17" s="956" t="str">
        <f>IF(T17="","",T17)</f>
        <v>Добавить централизованную систему для дифференциации</v>
      </c>
      <c r="BG17" s="956"/>
      <c r="BH17" s="956"/>
    </row>
    <row s="6608" customFormat="1" customHeight="1" ht="14.25" hidden="1">
      <c r="A18" s="1565"/>
      <c r="B18" s="1565"/>
      <c r="C18" s="1565"/>
      <c r="D18" s="1565"/>
      <c r="E18" s="2351"/>
      <c r="F18" s="1565"/>
      <c r="G18" s="1565"/>
      <c r="H18" s="1565"/>
      <c r="I18" s="1565"/>
      <c r="J18" s="1565"/>
      <c r="K18" s="1565"/>
      <c r="L18" s="1568"/>
      <c r="M18" s="1543"/>
      <c r="N18" s="1543"/>
      <c r="O18" s="682"/>
      <c r="P18" s="537"/>
      <c r="Q18" s="1566"/>
      <c r="R18" s="537"/>
      <c r="S18" s="1544"/>
      <c r="T18" s="1547" t="s">
        <v>1446</v>
      </c>
      <c r="U18" s="1546"/>
      <c r="V18" s="1546"/>
      <c r="W18" s="1546"/>
      <c r="X18" s="1546"/>
      <c r="Y18" s="1546"/>
      <c r="Z18" s="1546"/>
      <c r="AA18" s="1546"/>
      <c r="AB18" s="1546"/>
      <c r="AC18" s="1546"/>
      <c r="AD18" s="1546"/>
      <c r="AE18" s="1546"/>
      <c r="AF18" s="1546"/>
      <c r="AG18" s="1546"/>
      <c r="AH18" s="1546"/>
      <c r="AI18" s="1546"/>
      <c r="AJ18" s="1546"/>
      <c r="AK18" s="1546"/>
      <c r="AL18" s="1546"/>
      <c r="AM18" s="1546"/>
      <c r="AN18" s="1546"/>
      <c r="AO18" s="1546"/>
      <c r="AP18" s="1546"/>
      <c r="AQ18" s="1546"/>
      <c r="AR18" s="1546"/>
      <c r="AS18" s="1546"/>
      <c r="AT18" s="1546"/>
      <c r="AU18" s="1546"/>
      <c r="AV18" s="1546"/>
      <c r="AW18" s="1546"/>
      <c r="AX18" s="1546"/>
      <c r="AY18" s="1546"/>
      <c r="AZ18" s="1546"/>
      <c r="BA18" s="1546"/>
      <c r="BB18" s="1546"/>
      <c r="BC18" s="1546"/>
      <c r="BE18" s="664"/>
      <c r="BF18" s="664" t="str">
        <f>IF(T18="","",T18)</f>
        <v>Добавить территорию для дифференциации</v>
      </c>
      <c r="BG18" s="664"/>
      <c r="BH18" s="664"/>
    </row>
    <row customHeight="1" ht="14.25" hidden="1">
      <c r="AC19" s="475"/>
      <c r="BA19" s="475"/>
    </row>
    <row customHeight="1" ht="14.25" hidden="1">
      <c r="AD20" s="1546" t="s">
        <v>56</v>
      </c>
      <c r="AE20" s="1725"/>
      <c r="AF20" s="712">
        <v>1</v>
      </c>
      <c r="AG20" s="1726"/>
      <c r="AH20" s="1546" t="s">
        <v>56</v>
      </c>
      <c r="AI20" s="1725"/>
      <c r="AJ20" s="712">
        <v>1</v>
      </c>
      <c r="AK20" s="1726"/>
      <c r="AL20" s="1546" t="s">
        <v>56</v>
      </c>
      <c r="AM20" s="1727"/>
      <c r="AN20" s="712">
        <v>1</v>
      </c>
      <c r="AO20" s="1728"/>
      <c r="AP20" s="1546" t="s">
        <v>56</v>
      </c>
      <c r="AQ20" s="1727"/>
      <c r="AR20" s="712">
        <v>1</v>
      </c>
      <c r="AS20" s="1728"/>
      <c r="AT20" s="3993"/>
      <c r="AU20" s="4113"/>
      <c r="AV20" s="3993"/>
      <c r="AW20" s="4113"/>
      <c r="AX20" s="1978"/>
      <c r="AY20" s="1709" t="s">
        <v>66</v>
      </c>
      <c r="AZ20" s="1978"/>
      <c r="BA20" s="1709" t="s">
        <v>66</v>
      </c>
    </row>
    <row customHeight="1" ht="14.25" hidden="1">
      <c r="BD21" s="660"/>
      <c r="BE21" s="660"/>
      <c r="BF21" s="660"/>
      <c r="BG21" s="660"/>
      <c r="BH21" s="660"/>
    </row>
    <row customHeight="1" ht="14.25" hidden="1">
      <c r="O22" s="1590" t="s">
        <v>1486</v>
      </c>
      <c r="Z22" s="1567"/>
      <c r="AB22" s="1567"/>
      <c r="AC22" s="475"/>
      <c r="AX22" s="1567"/>
      <c r="AZ22" s="1567"/>
      <c r="BA22" s="475"/>
      <c r="BD22" s="660"/>
      <c r="BE22" s="660"/>
      <c r="BF22" s="660"/>
      <c r="BG22" s="660"/>
      <c r="BH22" s="660"/>
    </row>
    <row customHeight="1" ht="14.25" hidden="1">
      <c r="AC23" s="475"/>
      <c r="BA23" s="475"/>
      <c r="BD23" s="660"/>
      <c r="BE23" s="660"/>
      <c r="BF23" s="660"/>
      <c r="BG23" s="660"/>
      <c r="BH23" s="660"/>
    </row>
    <row s="6744" customFormat="1" customHeight="1" ht="14.25" hidden="1">
      <c r="M24" s="1732"/>
      <c r="N24" s="1732"/>
      <c r="O24" s="1733" t="s">
        <v>1487</v>
      </c>
      <c r="P24" s="1732"/>
      <c r="Q24" s="1734"/>
      <c r="R24" s="1734"/>
      <c r="AA24" s="1731" t="s">
        <v>1489</v>
      </c>
      <c r="AC24" s="1731" t="s">
        <v>1490</v>
      </c>
      <c r="AD24" s="1731" t="s">
        <v>1550</v>
      </c>
      <c r="AH24" s="1731" t="s">
        <v>1550</v>
      </c>
      <c r="AK24" s="1731" t="s">
        <v>1710</v>
      </c>
      <c r="AL24" s="1731" t="s">
        <v>1550</v>
      </c>
      <c r="AP24" s="1731" t="s">
        <v>1550</v>
      </c>
      <c r="AY24" s="1731" t="s">
        <v>1489</v>
      </c>
      <c r="BA24" s="1731" t="s">
        <v>1490</v>
      </c>
      <c r="BD24" s="1735"/>
      <c r="BE24" s="1735"/>
      <c r="BF24" s="1735"/>
      <c r="BG24" s="1735"/>
      <c r="BH24" s="1735"/>
    </row>
    <row customHeight="1" ht="14.25" hidden="1">
      <c r="O25" s="1587"/>
      <c r="BD25" s="660"/>
      <c r="BE25" s="660"/>
      <c r="BF25" s="660"/>
      <c r="BG25" s="660"/>
      <c r="BH25" s="660"/>
    </row>
    <row customHeight="1" ht="14.25" hidden="1">
      <c r="O26" s="1587"/>
      <c r="BD26" s="660"/>
      <c r="BE26" s="660"/>
      <c r="BF26" s="660"/>
      <c r="BG26" s="660"/>
      <c r="BH26" s="660"/>
    </row>
    <row customHeight="1" ht="14.25">
      <c r="Q27" s="428"/>
      <c r="R27" s="529"/>
      <c r="S27" s="1492"/>
      <c r="T27" s="513"/>
      <c r="U27" s="513"/>
      <c r="V27" s="673"/>
      <c r="W27" s="673"/>
      <c r="X27" s="673"/>
      <c r="Y27" s="673"/>
      <c r="Z27" s="673"/>
      <c r="AA27" s="673"/>
      <c r="AB27" s="673"/>
      <c r="AC27" s="673"/>
      <c r="AD27" s="673"/>
      <c r="AE27" s="673"/>
      <c r="AF27" s="673"/>
      <c r="AG27" s="673"/>
      <c r="AH27" s="673"/>
      <c r="AI27" s="673"/>
      <c r="AJ27" s="673"/>
      <c r="AK27" s="673"/>
      <c r="AL27" s="673"/>
      <c r="AM27" s="673"/>
      <c r="AN27" s="673"/>
      <c r="AO27" s="673"/>
      <c r="AP27" s="673"/>
      <c r="AQ27" s="673"/>
      <c r="AR27" s="673"/>
      <c r="AS27" s="673"/>
      <c r="AT27" s="673"/>
      <c r="AU27" s="673"/>
      <c r="AV27" s="673"/>
      <c r="AW27" s="673"/>
      <c r="AX27" s="673"/>
      <c r="AY27" s="673"/>
      <c r="AZ27" s="673"/>
      <c r="BA27" s="673"/>
    </row>
    <row customHeight="1" ht="33.75">
      <c r="Q28" s="428"/>
      <c r="R28" s="529"/>
      <c r="S28" s="2341" t="str">
        <f>IF(TEMPLATE_GROUP="P",PT_P_FORM_HOTVSNA_5_NAME_FORM,PT_R_FORM_HOTVSNA_17_NAME_FORM)</f>
        <v>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v>
      </c>
      <c r="T28" s="2341"/>
      <c r="U28" s="2341"/>
      <c r="V28" s="2341"/>
      <c r="W28" s="2341"/>
      <c r="X28" s="2341"/>
      <c r="Y28" s="2341"/>
      <c r="Z28" s="2341"/>
      <c r="AA28" s="2341"/>
      <c r="AB28" s="2341"/>
      <c r="AC28" s="2341"/>
      <c r="AD28" s="2341"/>
      <c r="AE28" s="2341"/>
      <c r="AF28" s="2341"/>
      <c r="AG28" s="2341"/>
      <c r="AH28" s="2341"/>
      <c r="AI28" s="2341"/>
      <c r="AJ28" s="2341"/>
      <c r="AK28" s="2341"/>
      <c r="AL28" s="2341"/>
      <c r="AM28" s="2341"/>
      <c r="AN28" s="2341"/>
      <c r="AO28" s="2341"/>
      <c r="AP28" s="2341"/>
      <c r="AQ28" s="2341"/>
      <c r="AR28" s="2341"/>
      <c r="AS28" s="2341"/>
      <c r="AT28" s="2341"/>
      <c r="AU28" s="2341"/>
      <c r="AV28" s="2341"/>
      <c r="AW28" s="2341"/>
      <c r="AX28" s="2341"/>
      <c r="AY28" s="2341"/>
      <c r="AZ28" s="2341"/>
      <c r="BA28" s="1448"/>
    </row>
    <row customHeight="1" ht="14.25">
      <c r="Q29" s="428"/>
      <c r="R29" s="529"/>
      <c r="S29"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342"/>
      <c r="U29" s="2342"/>
      <c r="V29" s="2342"/>
      <c r="W29" s="2342"/>
      <c r="X29" s="2342"/>
      <c r="Y29" s="2342"/>
      <c r="Z29" s="2342"/>
      <c r="AA29" s="2342"/>
      <c r="AB29" s="2342"/>
      <c r="AC29" s="2342"/>
      <c r="AD29" s="2342"/>
      <c r="AE29" s="2342"/>
      <c r="AF29" s="2342"/>
      <c r="AG29" s="2342"/>
      <c r="AH29" s="2342"/>
      <c r="AI29" s="2342"/>
      <c r="AJ29" s="2342"/>
      <c r="AK29" s="2342"/>
      <c r="AL29" s="2342"/>
      <c r="AM29" s="2342"/>
      <c r="AN29" s="2342"/>
      <c r="AO29" s="2342"/>
      <c r="AP29" s="2342"/>
      <c r="AQ29" s="2342"/>
      <c r="AR29" s="2342"/>
      <c r="AS29" s="2342"/>
      <c r="AT29" s="2342"/>
      <c r="AU29" s="2342"/>
      <c r="AV29" s="2342"/>
      <c r="AW29" s="2342"/>
      <c r="AX29" s="2342"/>
      <c r="AY29" s="2342"/>
      <c r="AZ29" s="2342"/>
      <c r="BA29" s="1448"/>
    </row>
    <row customHeight="1" ht="14.25" hidden="1">
      <c r="Q30" s="428"/>
      <c r="R30" s="529"/>
      <c r="S30" s="1492"/>
      <c r="T30" s="513"/>
      <c r="U30" s="513"/>
      <c r="V30" s="468"/>
      <c r="W30" s="468"/>
      <c r="X30" s="468"/>
      <c r="Y30" s="468"/>
      <c r="Z30" s="468"/>
      <c r="AA30" s="468"/>
      <c r="AB30" s="468"/>
      <c r="AC30" s="468"/>
      <c r="AD30" s="468"/>
      <c r="AE30" s="468"/>
      <c r="AF30" s="468"/>
      <c r="AG30" s="468"/>
      <c r="AH30" s="468"/>
      <c r="AI30" s="468"/>
      <c r="AJ30" s="468"/>
      <c r="AK30" s="468"/>
      <c r="AL30" s="468"/>
      <c r="AM30" s="468"/>
      <c r="AN30" s="468"/>
      <c r="AO30" s="468"/>
      <c r="AP30" s="468"/>
      <c r="AQ30" s="468"/>
      <c r="AR30" s="468"/>
      <c r="AS30" s="468"/>
      <c r="AT30" s="468"/>
      <c r="AU30" s="468"/>
      <c r="AV30" s="468"/>
      <c r="AW30" s="468"/>
      <c r="AX30" s="468"/>
      <c r="AY30" s="468"/>
      <c r="AZ30" s="468"/>
      <c r="BA30" s="468"/>
      <c r="BB30" s="673"/>
    </row>
    <row s="6550" customFormat="1" customHeight="1" ht="25.5" hidden="1">
      <c r="A31" s="1591"/>
      <c r="B31" s="1591"/>
      <c r="C31" s="1591"/>
      <c r="D31" s="1591"/>
      <c r="E31" s="1591"/>
      <c r="F31" s="1591"/>
      <c r="G31" s="1591"/>
      <c r="H31" s="1591"/>
      <c r="I31" s="1591"/>
      <c r="J31" s="1591"/>
      <c r="K31" s="1591"/>
      <c r="L31" s="1592"/>
      <c r="M31" s="1591"/>
      <c r="N31" s="1591"/>
      <c r="O31" s="1591"/>
      <c r="P31" s="1591"/>
      <c r="Q31" s="1591"/>
      <c r="S31" s="2343" t="s">
        <v>39</v>
      </c>
      <c r="T31" s="2343"/>
      <c r="U31" s="1595"/>
      <c r="V31" s="2344"/>
      <c r="W31" s="2344"/>
      <c r="X31" s="2344"/>
      <c r="Y31" s="2344"/>
      <c r="Z31" s="2344"/>
      <c r="AA31" s="2344"/>
      <c r="AB31" s="2344"/>
      <c r="AC31" s="474"/>
      <c r="AD31" s="2344" t="str">
        <f>IF(TITLE_NAME_OR_PR_CHANGE="",IF(TITLE_NAME_OR_PR="","",TITLE_NAME_OR_PR),TITLE_NAME_OR_PR_CHANGE)</f>
        <v/>
      </c>
      <c r="AE31" s="2344"/>
      <c r="AF31" s="2344"/>
      <c r="AG31" s="2344"/>
      <c r="AH31" s="2344"/>
      <c r="AI31" s="2344"/>
      <c r="AJ31" s="2344"/>
      <c r="AK31" s="2344"/>
      <c r="AL31" s="2344"/>
      <c r="AM31" s="2344"/>
      <c r="AN31" s="2344"/>
      <c r="AO31" s="2344"/>
      <c r="AP31" s="2344"/>
      <c r="AQ31" s="2344"/>
      <c r="AR31" s="2344"/>
      <c r="AS31" s="2344"/>
      <c r="AT31" s="2344"/>
      <c r="AU31" s="2344"/>
      <c r="AV31" s="2344"/>
      <c r="AW31" s="2344"/>
      <c r="AX31" s="2344"/>
      <c r="AY31" s="2344"/>
      <c r="AZ31" s="2344"/>
      <c r="BA31" s="474"/>
      <c r="BB31" s="474"/>
      <c r="BC31" s="417"/>
      <c r="BD31" s="520"/>
      <c r="BE31" s="520"/>
      <c r="BF31" s="520"/>
      <c r="BG31" s="520"/>
      <c r="BH31" s="520"/>
    </row>
    <row s="6550" customFormat="1" customHeight="1" ht="18.75" hidden="1">
      <c r="A32" s="1591"/>
      <c r="B32" s="1591"/>
      <c r="C32" s="1591"/>
      <c r="D32" s="1591"/>
      <c r="E32" s="1591"/>
      <c r="F32" s="1591"/>
      <c r="G32" s="1591"/>
      <c r="H32" s="1591"/>
      <c r="I32" s="1591"/>
      <c r="J32" s="1591"/>
      <c r="K32" s="1591"/>
      <c r="L32" s="1592"/>
      <c r="M32" s="1591"/>
      <c r="N32" s="1591"/>
      <c r="O32" s="1591"/>
      <c r="P32" s="1591"/>
      <c r="Q32" s="1591"/>
      <c r="S32" s="2343" t="s">
        <v>1492</v>
      </c>
      <c r="T32" s="2343"/>
      <c r="U32" s="1595"/>
      <c r="V32" s="2344"/>
      <c r="W32" s="2344"/>
      <c r="X32" s="2344"/>
      <c r="Y32" s="2344"/>
      <c r="Z32" s="2344"/>
      <c r="AA32" s="2344"/>
      <c r="AB32" s="2344"/>
      <c r="AC32" s="474"/>
      <c r="AD32" s="2344" t="str">
        <f>IF(TITLE_DATE_CHANGE_PERIOD="",IF(TITLE_DATE_PR="","",TITLE_DATE_PR),TITLE_DATE_CHANGE_PERIOD)</f>
        <v/>
      </c>
      <c r="AE32" s="2344"/>
      <c r="AF32" s="2344"/>
      <c r="AG32" s="2344"/>
      <c r="AH32" s="2344"/>
      <c r="AI32" s="2344"/>
      <c r="AJ32" s="2344"/>
      <c r="AK32" s="2344"/>
      <c r="AL32" s="2344"/>
      <c r="AM32" s="2344"/>
      <c r="AN32" s="2344"/>
      <c r="AO32" s="2344"/>
      <c r="AP32" s="2344"/>
      <c r="AQ32" s="2344"/>
      <c r="AR32" s="2344"/>
      <c r="AS32" s="2344"/>
      <c r="AT32" s="2344"/>
      <c r="AU32" s="2344"/>
      <c r="AV32" s="2344"/>
      <c r="AW32" s="2344"/>
      <c r="AX32" s="2344"/>
      <c r="AY32" s="2344"/>
      <c r="AZ32" s="2344"/>
      <c r="BA32" s="474"/>
      <c r="BB32" s="474"/>
      <c r="BC32" s="417"/>
      <c r="BD32" s="520"/>
      <c r="BE32" s="520"/>
      <c r="BF32" s="520"/>
      <c r="BG32" s="520"/>
      <c r="BH32" s="520"/>
    </row>
    <row s="6550" customFormat="1" customHeight="1" ht="18.75" hidden="1">
      <c r="A33" s="1591"/>
      <c r="B33" s="1591"/>
      <c r="C33" s="1591"/>
      <c r="D33" s="1591"/>
      <c r="E33" s="1591"/>
      <c r="F33" s="1591"/>
      <c r="G33" s="1591"/>
      <c r="H33" s="1591"/>
      <c r="I33" s="1591"/>
      <c r="J33" s="1591"/>
      <c r="K33" s="1591"/>
      <c r="L33" s="1592"/>
      <c r="M33" s="1591"/>
      <c r="N33" s="1591"/>
      <c r="O33" s="1591"/>
      <c r="P33" s="1591"/>
      <c r="Q33" s="1591"/>
      <c r="S33" s="2343" t="s">
        <v>1493</v>
      </c>
      <c r="T33" s="2343"/>
      <c r="U33" s="1595"/>
      <c r="V33" s="2344"/>
      <c r="W33" s="2344"/>
      <c r="X33" s="2344"/>
      <c r="Y33" s="2344"/>
      <c r="Z33" s="2344"/>
      <c r="AA33" s="2344"/>
      <c r="AB33" s="2344"/>
      <c r="AC33" s="474"/>
      <c r="AD33" s="2344" t="str">
        <f>IF(TITLE_NUMBER_PR_CHANGE="",IF(TITLE_NUMBER_PR="","",TITLE_NUMBER_PR),TITLE_NUMBER_PR_CHANGE)</f>
        <v/>
      </c>
      <c r="AE33" s="2344"/>
      <c r="AF33" s="2344"/>
      <c r="AG33" s="2344"/>
      <c r="AH33" s="2344"/>
      <c r="AI33" s="2344"/>
      <c r="AJ33" s="2344"/>
      <c r="AK33" s="2344"/>
      <c r="AL33" s="2344"/>
      <c r="AM33" s="2344"/>
      <c r="AN33" s="2344"/>
      <c r="AO33" s="2344"/>
      <c r="AP33" s="2344"/>
      <c r="AQ33" s="2344"/>
      <c r="AR33" s="2344"/>
      <c r="AS33" s="2344"/>
      <c r="AT33" s="2344"/>
      <c r="AU33" s="2344"/>
      <c r="AV33" s="2344"/>
      <c r="AW33" s="2344"/>
      <c r="AX33" s="2344"/>
      <c r="AY33" s="2344"/>
      <c r="AZ33" s="2344"/>
      <c r="BA33" s="474"/>
      <c r="BB33" s="474"/>
      <c r="BC33" s="417"/>
      <c r="BD33" s="520"/>
      <c r="BE33" s="520"/>
      <c r="BF33" s="520"/>
      <c r="BG33" s="520"/>
      <c r="BH33" s="520"/>
    </row>
    <row s="6550" customFormat="1" customHeight="1" ht="18.75" hidden="1">
      <c r="A34" s="1591"/>
      <c r="B34" s="1591"/>
      <c r="C34" s="1591"/>
      <c r="D34" s="1591"/>
      <c r="E34" s="1591"/>
      <c r="F34" s="1591"/>
      <c r="G34" s="1591"/>
      <c r="H34" s="1591"/>
      <c r="I34" s="1591"/>
      <c r="J34" s="1591"/>
      <c r="K34" s="1591"/>
      <c r="L34" s="1592"/>
      <c r="M34" s="1591"/>
      <c r="N34" s="1591"/>
      <c r="O34" s="1591"/>
      <c r="P34" s="1591"/>
      <c r="Q34" s="1591"/>
      <c r="S34" s="2343" t="s">
        <v>40</v>
      </c>
      <c r="T34" s="2343"/>
      <c r="U34" s="1595"/>
      <c r="V34" s="2344"/>
      <c r="W34" s="2344"/>
      <c r="X34" s="2344"/>
      <c r="Y34" s="2344"/>
      <c r="Z34" s="2344"/>
      <c r="AA34" s="2344"/>
      <c r="AB34" s="2344"/>
      <c r="AC34" s="474"/>
      <c r="AD34" s="2344" t="str">
        <f>IF(TITLE_IST_PUB_CHANGE="",IF(TITLE_IST_PUB="","",TITLE_IST_PUB),TITLE_IST_PUB_CHANGE)</f>
        <v/>
      </c>
      <c r="AE34" s="2344"/>
      <c r="AF34" s="2344"/>
      <c r="AG34" s="2344"/>
      <c r="AH34" s="2344"/>
      <c r="AI34" s="2344"/>
      <c r="AJ34" s="2344"/>
      <c r="AK34" s="2344"/>
      <c r="AL34" s="2344"/>
      <c r="AM34" s="2344"/>
      <c r="AN34" s="2344"/>
      <c r="AO34" s="2344"/>
      <c r="AP34" s="2344"/>
      <c r="AQ34" s="2344"/>
      <c r="AR34" s="2344"/>
      <c r="AS34" s="2344"/>
      <c r="AT34" s="2344"/>
      <c r="AU34" s="2344"/>
      <c r="AV34" s="2344"/>
      <c r="AW34" s="2344"/>
      <c r="AX34" s="2344"/>
      <c r="AY34" s="2344"/>
      <c r="AZ34" s="2344"/>
      <c r="BA34" s="474"/>
      <c r="BB34" s="474"/>
      <c r="BC34" s="417"/>
      <c r="BD34" s="520"/>
      <c r="BE34" s="520"/>
      <c r="BF34" s="520"/>
      <c r="BG34" s="520"/>
      <c r="BH34" s="520"/>
    </row>
    <row customHeight="1" ht="14.25" hidden="1">
      <c r="Q35" s="428"/>
      <c r="R35" s="529"/>
      <c r="S35" s="1492"/>
      <c r="T35" s="513"/>
      <c r="U35" s="513"/>
      <c r="V35" s="468"/>
      <c r="W35" s="468"/>
      <c r="X35" s="468"/>
      <c r="Y35" s="468"/>
      <c r="Z35" s="468"/>
      <c r="AA35" s="468"/>
      <c r="AB35" s="468"/>
      <c r="AC35" s="468"/>
      <c r="AD35" s="468"/>
      <c r="AE35" s="468"/>
      <c r="AF35" s="468"/>
      <c r="AG35" s="468"/>
      <c r="AH35" s="468"/>
      <c r="AI35" s="468"/>
      <c r="AJ35" s="468"/>
      <c r="AK35" s="468"/>
      <c r="AL35" s="468"/>
      <c r="AM35" s="468"/>
      <c r="AN35" s="468"/>
      <c r="AO35" s="468"/>
      <c r="AP35" s="468"/>
      <c r="AQ35" s="468"/>
      <c r="AR35" s="468"/>
      <c r="AS35" s="468"/>
      <c r="AT35" s="468"/>
      <c r="AU35" s="468"/>
      <c r="AV35" s="468"/>
      <c r="AW35" s="468"/>
      <c r="AX35" s="468"/>
      <c r="AY35" s="468"/>
      <c r="AZ35" s="468"/>
      <c r="BA35" s="468"/>
      <c r="BB35" s="673"/>
    </row>
    <row s="6550" customFormat="1" customHeight="1" ht="18.75" hidden="1">
      <c r="A36" s="1591"/>
      <c r="B36" s="1591"/>
      <c r="C36" s="1591"/>
      <c r="D36" s="1591"/>
      <c r="E36" s="1591"/>
      <c r="F36" s="1591"/>
      <c r="G36" s="1591"/>
      <c r="H36" s="1591"/>
      <c r="I36" s="1591"/>
      <c r="J36" s="1591"/>
      <c r="K36" s="1591"/>
      <c r="L36" s="1592"/>
      <c r="M36" s="1591"/>
      <c r="N36" s="1591"/>
      <c r="O36" s="1591"/>
      <c r="P36" s="1591"/>
      <c r="Q36" s="1591"/>
      <c r="S36" s="2343" t="s">
        <v>1492</v>
      </c>
      <c r="T36" s="2343"/>
      <c r="U36" s="1595"/>
      <c r="V36" s="2344"/>
      <c r="W36" s="2344"/>
      <c r="X36" s="2344"/>
      <c r="Y36" s="2344"/>
      <c r="Z36" s="2344"/>
      <c r="AA36" s="2344"/>
      <c r="AB36" s="2344"/>
      <c r="AC36" s="474"/>
      <c r="AD36" s="2344" t="str">
        <f>IF(TITLE_DATE_CHANGE_PERIOD="",IF(TITLE_DATE_PR="","",TITLE_DATE_PR),TITLE_DATE_CHANGE_PERIOD)</f>
        <v/>
      </c>
      <c r="AE36" s="2344"/>
      <c r="AF36" s="2344"/>
      <c r="AG36" s="2344"/>
      <c r="AH36" s="2344"/>
      <c r="AI36" s="2344"/>
      <c r="AJ36" s="2344"/>
      <c r="AK36" s="2344"/>
      <c r="AL36" s="2344"/>
      <c r="AM36" s="2344"/>
      <c r="AN36" s="2344"/>
      <c r="AO36" s="2344"/>
      <c r="AP36" s="2344"/>
      <c r="AQ36" s="2344"/>
      <c r="AR36" s="2344"/>
      <c r="AS36" s="2344"/>
      <c r="AT36" s="2344"/>
      <c r="AU36" s="2344"/>
      <c r="AV36" s="2344"/>
      <c r="AW36" s="2344"/>
      <c r="AX36" s="2344"/>
      <c r="AY36" s="2344"/>
      <c r="AZ36" s="2344"/>
      <c r="BA36" s="474"/>
      <c r="BB36" s="474"/>
      <c r="BC36" s="417"/>
      <c r="BD36" s="520"/>
      <c r="BE36" s="520"/>
      <c r="BF36" s="520"/>
      <c r="BG36" s="520"/>
      <c r="BH36" s="520"/>
    </row>
    <row s="6550" customFormat="1" customHeight="1" ht="18.75" hidden="1">
      <c r="A37" s="1591"/>
      <c r="B37" s="1591"/>
      <c r="C37" s="1591"/>
      <c r="D37" s="1591"/>
      <c r="E37" s="1591"/>
      <c r="F37" s="1591"/>
      <c r="G37" s="1591"/>
      <c r="H37" s="1591"/>
      <c r="I37" s="1591"/>
      <c r="J37" s="1591"/>
      <c r="K37" s="1591"/>
      <c r="L37" s="1592"/>
      <c r="M37" s="1591"/>
      <c r="N37" s="1591"/>
      <c r="O37" s="1591"/>
      <c r="P37" s="1591"/>
      <c r="Q37" s="1591"/>
      <c r="S37" s="2343" t="s">
        <v>1493</v>
      </c>
      <c r="T37" s="2343"/>
      <c r="U37" s="1595"/>
      <c r="V37" s="2344"/>
      <c r="W37" s="2344"/>
      <c r="X37" s="2344"/>
      <c r="Y37" s="2344"/>
      <c r="Z37" s="2344"/>
      <c r="AA37" s="2344"/>
      <c r="AB37" s="2344"/>
      <c r="AC37" s="474"/>
      <c r="AD37" s="2344" t="str">
        <f>IF(TITLE_NUMBER_PR_CHANGE="",IF(TITLE_NUMBER_PR="","",TITLE_NUMBER_PR),TITLE_NUMBER_PR_CHANGE)</f>
        <v/>
      </c>
      <c r="AE37" s="2344"/>
      <c r="AF37" s="2344"/>
      <c r="AG37" s="2344"/>
      <c r="AH37" s="2344"/>
      <c r="AI37" s="2344"/>
      <c r="AJ37" s="2344"/>
      <c r="AK37" s="2344"/>
      <c r="AL37" s="2344"/>
      <c r="AM37" s="2344"/>
      <c r="AN37" s="2344"/>
      <c r="AO37" s="2344"/>
      <c r="AP37" s="2344"/>
      <c r="AQ37" s="2344"/>
      <c r="AR37" s="2344"/>
      <c r="AS37" s="2344"/>
      <c r="AT37" s="2344"/>
      <c r="AU37" s="2344"/>
      <c r="AV37" s="2344"/>
      <c r="AW37" s="2344"/>
      <c r="AX37" s="2344"/>
      <c r="AY37" s="2344"/>
      <c r="AZ37" s="2344"/>
      <c r="BA37" s="474"/>
      <c r="BB37" s="474"/>
      <c r="BC37" s="417"/>
      <c r="BD37" s="520"/>
      <c r="BE37" s="520"/>
      <c r="BF37" s="520"/>
      <c r="BG37" s="520"/>
      <c r="BH37" s="520"/>
    </row>
    <row s="6550" customFormat="1" customHeight="1" ht="0">
      <c r="A38" s="1591"/>
      <c r="B38" s="1591"/>
      <c r="C38" s="1591"/>
      <c r="D38" s="1591"/>
      <c r="E38" s="1591"/>
      <c r="F38" s="1591"/>
      <c r="G38" s="1591"/>
      <c r="H38" s="1591"/>
      <c r="I38" s="1591"/>
      <c r="J38" s="1591"/>
      <c r="K38" s="1591"/>
      <c r="L38" s="1592"/>
      <c r="M38" s="1591"/>
      <c r="N38" s="1591"/>
      <c r="O38" s="1591"/>
      <c r="P38" s="1591"/>
      <c r="Q38" s="1591"/>
      <c r="S38" s="470"/>
      <c r="T38" s="470"/>
      <c r="U38" s="1712"/>
      <c r="V38" s="474"/>
      <c r="W38" s="474"/>
      <c r="X38" s="474"/>
      <c r="Y38" s="474"/>
      <c r="Z38" s="474"/>
      <c r="AA38" s="474"/>
      <c r="AB38" s="474"/>
      <c r="AC38" s="415" t="s">
        <v>1496</v>
      </c>
      <c r="AD38" s="474"/>
      <c r="AE38" s="474"/>
      <c r="AF38" s="474"/>
      <c r="AG38" s="474"/>
      <c r="AH38" s="474"/>
      <c r="AI38" s="474"/>
      <c r="AJ38" s="474"/>
      <c r="AK38" s="474"/>
      <c r="AL38" s="474"/>
      <c r="AM38" s="474"/>
      <c r="AN38" s="474"/>
      <c r="AO38" s="474"/>
      <c r="AP38" s="474"/>
      <c r="AQ38" s="474"/>
      <c r="AR38" s="474"/>
      <c r="AS38" s="474"/>
      <c r="AT38" s="474"/>
      <c r="AU38" s="474"/>
      <c r="AV38" s="474"/>
      <c r="AW38" s="474"/>
      <c r="AX38" s="474"/>
      <c r="AY38" s="474"/>
      <c r="AZ38" s="474"/>
      <c r="BA38" s="415" t="s">
        <v>1496</v>
      </c>
      <c r="BD38" s="520"/>
      <c r="BE38" s="520"/>
      <c r="BF38" s="520"/>
      <c r="BG38" s="520"/>
      <c r="BH38" s="520"/>
    </row>
    <row customHeight="1" ht="14.25">
      <c r="Q39" s="428"/>
      <c r="R39" s="529"/>
      <c r="S39" s="1492"/>
      <c r="T39" s="513"/>
      <c r="U39" s="1449"/>
      <c r="V39" s="2345"/>
      <c r="W39" s="2345"/>
      <c r="X39" s="2345"/>
      <c r="Y39" s="2345"/>
      <c r="Z39" s="2345"/>
      <c r="AA39" s="2345"/>
      <c r="AB39" s="2345"/>
      <c r="AC39" s="2345"/>
      <c r="AD39" s="2345"/>
      <c r="AE39" s="2345"/>
      <c r="AF39" s="2345"/>
      <c r="AG39" s="2345"/>
      <c r="AH39" s="2345"/>
      <c r="AI39" s="2345"/>
      <c r="AJ39" s="2345"/>
      <c r="AK39" s="2345"/>
      <c r="AL39" s="2345"/>
      <c r="AM39" s="2345"/>
      <c r="AN39" s="2345"/>
      <c r="AO39" s="2345"/>
      <c r="AP39" s="2345"/>
      <c r="AQ39" s="2345"/>
      <c r="AR39" s="2345"/>
      <c r="AS39" s="2345"/>
      <c r="AT39" s="2345"/>
      <c r="AU39" s="2345"/>
      <c r="AV39" s="2345"/>
      <c r="AW39" s="2345"/>
      <c r="AX39" s="2345"/>
      <c r="AY39" s="2345"/>
      <c r="AZ39" s="2345"/>
      <c r="BA39" s="2345"/>
    </row>
    <row customHeight="1" ht="14.25">
      <c r="Q40" s="428"/>
      <c r="R40" s="529"/>
      <c r="S40" s="2204" t="s">
        <v>300</v>
      </c>
      <c r="T40" s="2204"/>
      <c r="U40" s="2204"/>
      <c r="V40" s="2204"/>
      <c r="W40" s="2204"/>
      <c r="X40" s="2204"/>
      <c r="Y40" s="2204"/>
      <c r="Z40" s="2204"/>
      <c r="AA40" s="2204"/>
      <c r="AB40" s="2204"/>
      <c r="AC40" s="2204"/>
      <c r="AD40" s="2204"/>
      <c r="AE40" s="2204"/>
      <c r="AF40" s="2204"/>
      <c r="AG40" s="2204"/>
      <c r="AH40" s="2204"/>
      <c r="AI40" s="2204"/>
      <c r="AJ40" s="2204"/>
      <c r="AK40" s="2204"/>
      <c r="AL40" s="2204"/>
      <c r="AM40" s="2204"/>
      <c r="AN40" s="2204"/>
      <c r="AO40" s="2204"/>
      <c r="AP40" s="2204"/>
      <c r="AQ40" s="2204"/>
      <c r="AR40" s="2204"/>
      <c r="AS40" s="2204"/>
      <c r="AT40" s="2204"/>
      <c r="AU40" s="2204"/>
      <c r="AV40" s="2204"/>
      <c r="AW40" s="2204"/>
      <c r="AX40" s="2204"/>
      <c r="AY40" s="2204"/>
      <c r="AZ40" s="2204"/>
      <c r="BA40" s="2204"/>
      <c r="BB40" s="2204"/>
      <c r="BC40" s="2204" t="s">
        <v>301</v>
      </c>
    </row>
    <row customHeight="1" ht="14.25">
      <c r="Q41" s="428"/>
      <c r="R41" s="529"/>
      <c r="S41" s="2367" t="s">
        <v>87</v>
      </c>
      <c r="T41" s="2228" t="s">
        <v>1711</v>
      </c>
      <c r="U41" s="438"/>
      <c r="V41" s="2368" t="s">
        <v>1498</v>
      </c>
      <c r="W41" s="2369"/>
      <c r="X41" s="2369"/>
      <c r="Y41" s="2369"/>
      <c r="Z41" s="2369"/>
      <c r="AA41" s="2369"/>
      <c r="AB41" s="2370"/>
      <c r="AC41" s="2371" t="s">
        <v>1499</v>
      </c>
      <c r="AD41" s="2426" t="s">
        <v>1712</v>
      </c>
      <c r="AE41" s="2385"/>
      <c r="AF41" s="2385"/>
      <c r="AG41" s="2427"/>
      <c r="AH41" s="2426" t="s">
        <v>1713</v>
      </c>
      <c r="AI41" s="2385"/>
      <c r="AJ41" s="2385"/>
      <c r="AK41" s="2427"/>
      <c r="AL41" s="2426" t="s">
        <v>1714</v>
      </c>
      <c r="AM41" s="2385"/>
      <c r="AN41" s="2385"/>
      <c r="AO41" s="2427"/>
      <c r="AP41" s="2426" t="s">
        <v>1715</v>
      </c>
      <c r="AQ41" s="2385"/>
      <c r="AR41" s="2385"/>
      <c r="AS41" s="2427"/>
      <c r="AT41" s="2368" t="s">
        <v>1498</v>
      </c>
      <c r="AU41" s="2369"/>
      <c r="AV41" s="2369"/>
      <c r="AW41" s="2369"/>
      <c r="AX41" s="2369"/>
      <c r="AY41" s="2369"/>
      <c r="AZ41" s="2370"/>
      <c r="BA41" s="2371" t="s">
        <v>1499</v>
      </c>
      <c r="BB41" s="2374" t="s">
        <v>1501</v>
      </c>
      <c r="BC41" s="2204"/>
    </row>
    <row customHeight="1" ht="33.75">
      <c r="Q42" s="428"/>
      <c r="R42" s="529"/>
      <c r="S42" s="2367"/>
      <c r="T42" s="2228"/>
      <c r="U42" s="1216"/>
      <c r="V42" s="2217" t="s">
        <v>1716</v>
      </c>
      <c r="W42" s="2218"/>
      <c r="X42" s="2217" t="s">
        <v>1717</v>
      </c>
      <c r="Y42" s="2218"/>
      <c r="Z42" s="2404" t="s">
        <v>1718</v>
      </c>
      <c r="AA42" s="2405"/>
      <c r="AB42" s="2406"/>
      <c r="AC42" s="2372"/>
      <c r="AD42" s="2428"/>
      <c r="AE42" s="2429"/>
      <c r="AF42" s="2429"/>
      <c r="AG42" s="2430"/>
      <c r="AH42" s="2428"/>
      <c r="AI42" s="2429"/>
      <c r="AJ42" s="2429"/>
      <c r="AK42" s="2430"/>
      <c r="AL42" s="2428"/>
      <c r="AM42" s="2429"/>
      <c r="AN42" s="2429"/>
      <c r="AO42" s="2430"/>
      <c r="AP42" s="2428"/>
      <c r="AQ42" s="2429"/>
      <c r="AR42" s="2429"/>
      <c r="AS42" s="2430"/>
      <c r="AT42" s="2217" t="s">
        <v>1716</v>
      </c>
      <c r="AU42" s="2218"/>
      <c r="AV42" s="2217" t="s">
        <v>1717</v>
      </c>
      <c r="AW42" s="2218"/>
      <c r="AX42" s="2404" t="s">
        <v>1718</v>
      </c>
      <c r="AY42" s="2405"/>
      <c r="AZ42" s="2406"/>
      <c r="BA42" s="2372"/>
      <c r="BB42" s="2375"/>
      <c r="BC42" s="2204"/>
    </row>
    <row customHeight="1" ht="14.25">
      <c r="Q43" s="428"/>
      <c r="R43" s="529"/>
      <c r="S43" s="2367"/>
      <c r="T43" s="2228"/>
      <c r="U43" s="1216"/>
      <c r="V43" s="2219"/>
      <c r="W43" s="2220"/>
      <c r="X43" s="2219"/>
      <c r="Y43" s="2220"/>
      <c r="Z43" s="2407"/>
      <c r="AA43" s="2408"/>
      <c r="AB43" s="2409"/>
      <c r="AC43" s="2372"/>
      <c r="AD43" s="2428"/>
      <c r="AE43" s="2429"/>
      <c r="AF43" s="2429"/>
      <c r="AG43" s="2430"/>
      <c r="AH43" s="2428"/>
      <c r="AI43" s="2429"/>
      <c r="AJ43" s="2429"/>
      <c r="AK43" s="2430"/>
      <c r="AL43" s="2428"/>
      <c r="AM43" s="2429"/>
      <c r="AN43" s="2429"/>
      <c r="AO43" s="2430"/>
      <c r="AP43" s="2428"/>
      <c r="AQ43" s="2429"/>
      <c r="AR43" s="2429"/>
      <c r="AS43" s="2430"/>
      <c r="AT43" s="2219"/>
      <c r="AU43" s="2220"/>
      <c r="AV43" s="2219"/>
      <c r="AW43" s="2220"/>
      <c r="AX43" s="2407"/>
      <c r="AY43" s="2408"/>
      <c r="AZ43" s="2409"/>
      <c r="BA43" s="2372"/>
      <c r="BB43" s="2375"/>
      <c r="BC43" s="2204"/>
    </row>
    <row customHeight="1" ht="14.25">
      <c r="A44" s="1593"/>
      <c r="B44" s="1593" t="s">
        <v>144</v>
      </c>
      <c r="C44" s="1593" t="s">
        <v>145</v>
      </c>
      <c r="D44" s="1593" t="s">
        <v>146</v>
      </c>
      <c r="E44" s="1587" t="s">
        <v>1506</v>
      </c>
      <c r="F44" s="1587" t="s">
        <v>1507</v>
      </c>
      <c r="G44" s="1587" t="s">
        <v>1508</v>
      </c>
      <c r="H44" s="1587" t="s">
        <v>1509</v>
      </c>
      <c r="I44" s="1587" t="s">
        <v>1510</v>
      </c>
      <c r="J44" s="1587" t="s">
        <v>1511</v>
      </c>
      <c r="K44" s="1587" t="s">
        <v>1512</v>
      </c>
      <c r="L44" s="1587" t="s">
        <v>1487</v>
      </c>
      <c r="Q44" s="428"/>
      <c r="R44" s="529"/>
      <c r="S44" s="2367"/>
      <c r="T44" s="2228"/>
      <c r="U44" s="439"/>
      <c r="V44" s="1703" t="s">
        <v>1558</v>
      </c>
      <c r="W44" s="1703" t="s">
        <v>1559</v>
      </c>
      <c r="X44" s="1703" t="s">
        <v>1558</v>
      </c>
      <c r="Y44" s="1703" t="s">
        <v>1559</v>
      </c>
      <c r="Z44" s="1713" t="s">
        <v>1515</v>
      </c>
      <c r="AA44" s="2364" t="s">
        <v>1516</v>
      </c>
      <c r="AB44" s="2365"/>
      <c r="AC44" s="2373"/>
      <c r="AD44" s="2431"/>
      <c r="AE44" s="2432"/>
      <c r="AF44" s="2432"/>
      <c r="AG44" s="2433"/>
      <c r="AH44" s="2431"/>
      <c r="AI44" s="2432"/>
      <c r="AJ44" s="2432"/>
      <c r="AK44" s="2433"/>
      <c r="AL44" s="2431"/>
      <c r="AM44" s="2432"/>
      <c r="AN44" s="2432"/>
      <c r="AO44" s="2433"/>
      <c r="AP44" s="2431"/>
      <c r="AQ44" s="2432"/>
      <c r="AR44" s="2432"/>
      <c r="AS44" s="2433"/>
      <c r="AT44" s="1703" t="s">
        <v>1558</v>
      </c>
      <c r="AU44" s="1703" t="s">
        <v>1559</v>
      </c>
      <c r="AV44" s="1703" t="s">
        <v>1558</v>
      </c>
      <c r="AW44" s="1703" t="s">
        <v>1559</v>
      </c>
      <c r="AX44" s="1713" t="s">
        <v>1515</v>
      </c>
      <c r="AY44" s="2364" t="s">
        <v>1516</v>
      </c>
      <c r="AZ44" s="2365"/>
      <c r="BA44" s="2373"/>
      <c r="BB44" s="2376"/>
      <c r="BC44" s="2204"/>
    </row>
    <row s="5794" customFormat="1" customHeight="1" ht="11.25" hidden="1">
      <c r="A45" s="1593"/>
      <c r="B45" s="1593"/>
      <c r="C45" s="1593"/>
      <c r="D45" s="1593"/>
      <c r="E45" s="1593"/>
      <c r="F45" s="1593"/>
      <c r="G45" s="1593"/>
      <c r="H45" s="1593"/>
      <c r="I45" s="1593"/>
      <c r="J45" s="1593"/>
      <c r="K45" s="1593"/>
      <c r="L45" s="1587"/>
      <c r="M45" s="1585"/>
      <c r="N45" s="1585"/>
      <c r="O45" s="1585"/>
      <c r="P45" s="674"/>
      <c r="Q45" s="1467"/>
      <c r="R45" s="1467">
        <v>1</v>
      </c>
      <c r="S45" s="1494" t="s">
        <v>118</v>
      </c>
      <c r="T45" s="1468" t="s">
        <v>102</v>
      </c>
      <c r="U45" s="1450" t="str">
        <f>OFFSET(U45,0,-1)</f>
        <v>2</v>
      </c>
      <c r="V45" s="1706">
        <f>OFFSET(V45,0,-1)+1</f>
        <v>3</v>
      </c>
      <c r="W45" s="1706">
        <f>OFFSET(W45,0,-1)+1</f>
        <v>4</v>
      </c>
      <c r="X45" s="1706">
        <f>OFFSET(X45,0,-1)+1</f>
        <v>5</v>
      </c>
      <c r="Y45" s="1706">
        <f>OFFSET(Y45,0,-1)+1</f>
        <v>6</v>
      </c>
      <c r="Z45" s="1706">
        <f>OFFSET(Z45,0,-1)+1</f>
        <v>7</v>
      </c>
      <c r="AA45" s="2366">
        <f>OFFSET(AA45,0,-1)+1</f>
        <v>8</v>
      </c>
      <c r="AB45" s="2366"/>
      <c r="AC45" s="1706">
        <f>OFFSET(AC45,0,-2)+1</f>
        <v>9</v>
      </c>
      <c r="AD45" s="1706">
        <f>OFFSET(AD45,0,-1)+1</f>
        <v>10</v>
      </c>
      <c r="AE45" s="1706"/>
      <c r="AF45" s="1706"/>
      <c r="AG45" s="1706"/>
      <c r="AH45" s="1706"/>
      <c r="AI45" s="1706"/>
      <c r="AJ45" s="1706"/>
      <c r="AK45" s="1706"/>
      <c r="AL45" s="1706"/>
      <c r="AM45" s="1706"/>
      <c r="AN45" s="1706"/>
      <c r="AO45" s="1706"/>
      <c r="AP45" s="1706"/>
      <c r="AQ45" s="1706"/>
      <c r="AR45" s="1706"/>
      <c r="AS45" s="1706"/>
      <c r="AT45" s="1706"/>
      <c r="AU45" s="1706"/>
      <c r="AV45" s="1706"/>
      <c r="AW45" s="1706">
        <f>OFFSET(AW45,0,-1)+1</f>
        <v>1</v>
      </c>
      <c r="AX45" s="1706">
        <f>OFFSET(AX45,0,-1)+1</f>
        <v>2</v>
      </c>
      <c r="AY45" s="2366">
        <f>OFFSET(AY45,0,-1)+1</f>
        <v>3</v>
      </c>
      <c r="AZ45" s="2366"/>
      <c r="BA45" s="1706">
        <f>OFFSET(BA45,0,-2)+1</f>
        <v>4</v>
      </c>
      <c r="BB45" s="1450">
        <f>OFFSET(BB45,0,-1)</f>
        <v>4</v>
      </c>
      <c r="BC45" s="1706">
        <f>OFFSET(BC45,0,-1)+1</f>
        <v>5</v>
      </c>
      <c r="BD45" s="675"/>
      <c r="BE45" s="675"/>
      <c r="BF45" s="675"/>
      <c r="BG45" s="675"/>
      <c r="BH45" s="675"/>
    </row>
    <row customHeight="1" ht="21">
      <c r="A46" s="1586" t="s">
        <v>261</v>
      </c>
      <c r="B46" s="1586"/>
      <c r="C46" s="1586"/>
      <c r="D46" s="1586"/>
      <c r="E46" s="2351">
        <v>1</v>
      </c>
      <c r="F46" s="1586"/>
      <c r="G46" s="1586"/>
      <c r="H46" s="1586"/>
      <c r="I46" s="1586"/>
      <c r="J46" s="1586"/>
      <c r="K46" s="1586"/>
      <c r="L46" s="1587"/>
      <c r="M46" s="1588"/>
      <c r="N46" s="1588"/>
      <c r="O46" s="1588"/>
      <c r="P46" s="1633"/>
      <c r="Q46" s="1047"/>
      <c r="R46" s="503"/>
      <c r="S46" s="1717">
        <f>INDEX(PT_DIFFERENTIATION_NUM_NTAR,MATCH(A46,PT_DIFFERENTIATION_NTAR_ID,0))</f>
        <v>0</v>
      </c>
      <c r="T46" s="435" t="s">
        <v>132</v>
      </c>
      <c r="U46" s="437"/>
      <c r="V46" s="3965"/>
      <c r="W46" s="3965"/>
      <c r="X46" s="3965"/>
      <c r="Y46" s="3965"/>
      <c r="Z46" s="3965"/>
      <c r="AA46" s="3965"/>
      <c r="AB46" s="3965"/>
      <c r="AC46" s="3966"/>
      <c r="AD46" s="3964" t="str">
        <f>INDEX(PT_DIFFERENTIATION_NTAR,MATCH(A46,PT_DIFFERENTIATION_NTAR_ID,0))</f>
        <v/>
      </c>
      <c r="AE46" s="3965"/>
      <c r="AF46" s="3965"/>
      <c r="AG46" s="3965"/>
      <c r="AH46" s="3965"/>
      <c r="AI46" s="3965"/>
      <c r="AJ46" s="3965"/>
      <c r="AK46" s="3965"/>
      <c r="AL46" s="3965"/>
      <c r="AM46" s="3965"/>
      <c r="AN46" s="3965"/>
      <c r="AO46" s="3965"/>
      <c r="AP46" s="3965"/>
      <c r="AQ46" s="3965"/>
      <c r="AR46" s="3965"/>
      <c r="AS46" s="3965"/>
      <c r="AT46" s="3965"/>
      <c r="AU46" s="3965"/>
      <c r="AV46" s="3965"/>
      <c r="AW46" s="3965"/>
      <c r="AX46" s="3965"/>
      <c r="AY46" s="3965"/>
      <c r="AZ46" s="3965"/>
      <c r="BA46" s="3965"/>
      <c r="BB46" s="3966"/>
      <c r="BC46"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4"/>
      <c r="BF46" s="664" t="str">
        <f>IF(T46="","",T46)</f>
        <v>Наименование тарифа</v>
      </c>
      <c r="BG46" s="664"/>
      <c r="BH46" s="664"/>
    </row>
    <row customHeight="1" ht="21">
      <c r="A47" s="1586" t="s">
        <v>261</v>
      </c>
      <c r="B47" s="1586" t="s">
        <v>262</v>
      </c>
      <c r="C47" s="1586"/>
      <c r="D47" s="1586"/>
      <c r="E47" s="2352"/>
      <c r="F47" s="2351">
        <v>1</v>
      </c>
      <c r="G47" s="1586"/>
      <c r="H47" s="1586"/>
      <c r="I47" s="1586"/>
      <c r="J47" s="1586"/>
      <c r="K47" s="1586"/>
      <c r="L47" s="1587"/>
      <c r="M47" s="1588"/>
      <c r="N47" s="1588"/>
      <c r="O47" s="1588"/>
      <c r="P47" s="1634"/>
      <c r="Q47" s="1635"/>
      <c r="R47" s="501"/>
      <c r="S47" s="1717" t="str">
        <f>INDEX(PT_DIFFERENTIATION_NUM_TER,MATCH(B47,PT_DIFFERENTIATION_TER_ID,0))</f>
        <v>.</v>
      </c>
      <c r="T47" s="447" t="s">
        <v>1469</v>
      </c>
      <c r="U47" s="437"/>
      <c r="V47" s="3965"/>
      <c r="W47" s="3965"/>
      <c r="X47" s="3965"/>
      <c r="Y47" s="3965"/>
      <c r="Z47" s="3965"/>
      <c r="AA47" s="3965"/>
      <c r="AB47" s="3965"/>
      <c r="AC47" s="3966"/>
      <c r="AD47" s="3964" t="str">
        <f>INDEX(PT_DIFFERENTIATION_TER,MATCH(B47,PT_DIFFERENTIATION_TER_ID,0))</f>
        <v/>
      </c>
      <c r="AE47" s="3965"/>
      <c r="AF47" s="3965"/>
      <c r="AG47" s="3965"/>
      <c r="AH47" s="3965"/>
      <c r="AI47" s="3965"/>
      <c r="AJ47" s="3965"/>
      <c r="AK47" s="3965"/>
      <c r="AL47" s="3965"/>
      <c r="AM47" s="3965"/>
      <c r="AN47" s="3965"/>
      <c r="AO47" s="3965"/>
      <c r="AP47" s="3965"/>
      <c r="AQ47" s="3965"/>
      <c r="AR47" s="3965"/>
      <c r="AS47" s="3965"/>
      <c r="AT47" s="3965"/>
      <c r="AU47" s="3965"/>
      <c r="AV47" s="3965"/>
      <c r="AW47" s="3965"/>
      <c r="AX47" s="3965"/>
      <c r="AY47" s="3965"/>
      <c r="AZ47" s="3965"/>
      <c r="BA47" s="3965"/>
      <c r="BB47" s="3966"/>
      <c r="BC47" s="1473" t="s">
        <v>1470</v>
      </c>
      <c r="BE47" s="664"/>
      <c r="BF47" s="664" t="str">
        <f>IF(T47="","",T47)</f>
        <v>Территория действия тарифа</v>
      </c>
      <c r="BG47" s="664"/>
      <c r="BH47" s="664"/>
    </row>
    <row customHeight="1" ht="33.75">
      <c r="A48" s="1586" t="s">
        <v>261</v>
      </c>
      <c r="B48" s="1586" t="s">
        <v>262</v>
      </c>
      <c r="C48" s="1586" t="s">
        <v>263</v>
      </c>
      <c r="D48" s="1586"/>
      <c r="E48" s="2352"/>
      <c r="F48" s="2352"/>
      <c r="G48" s="2351">
        <v>1</v>
      </c>
      <c r="H48" s="1586"/>
      <c r="I48" s="1586"/>
      <c r="J48" s="1586"/>
      <c r="K48" s="1586"/>
      <c r="L48" s="1587"/>
      <c r="M48" s="1588"/>
      <c r="N48" s="1588"/>
      <c r="O48" s="1588"/>
      <c r="P48" s="1636"/>
      <c r="Q48" s="1635"/>
      <c r="R48" s="501"/>
      <c r="S48" s="1717" t="str">
        <f>INDEX(PT_DIFFERENTIATION_NUM_CS,MATCH(C48,PT_DIFFERENTIATION_CS_ID,0))</f>
        <v>..</v>
      </c>
      <c r="T48" s="448" t="s">
        <v>2094</v>
      </c>
      <c r="U48" s="437"/>
      <c r="V48" s="3965"/>
      <c r="W48" s="3965"/>
      <c r="X48" s="3965"/>
      <c r="Y48" s="3965"/>
      <c r="Z48" s="3965"/>
      <c r="AA48" s="3965"/>
      <c r="AB48" s="3965"/>
      <c r="AC48" s="3966"/>
      <c r="AD48" s="3964" t="str">
        <f>INDEX(PT_DIFFERENTIATION_CS,MATCH(C48,PT_DIFFERENTIATION_CS_ID,0))</f>
        <v/>
      </c>
      <c r="AE48" s="3965"/>
      <c r="AF48" s="3965"/>
      <c r="AG48" s="3965"/>
      <c r="AH48" s="3965"/>
      <c r="AI48" s="3965"/>
      <c r="AJ48" s="3965"/>
      <c r="AK48" s="3965"/>
      <c r="AL48" s="3965"/>
      <c r="AM48" s="3965"/>
      <c r="AN48" s="3965"/>
      <c r="AO48" s="3965"/>
      <c r="AP48" s="3965"/>
      <c r="AQ48" s="3965"/>
      <c r="AR48" s="3965"/>
      <c r="AS48" s="3965"/>
      <c r="AT48" s="3965"/>
      <c r="AU48" s="3965"/>
      <c r="AV48" s="3965"/>
      <c r="AW48" s="3965"/>
      <c r="AX48" s="3965"/>
      <c r="AY48" s="3965"/>
      <c r="AZ48" s="3965"/>
      <c r="BA48" s="3965"/>
      <c r="BB48" s="3966"/>
      <c r="BC48" s="1473" t="s">
        <v>2095</v>
      </c>
      <c r="BE48" s="664"/>
      <c r="BF48" s="664" t="str">
        <f>IF(T48="","",T48)</f>
        <v>Наименование централизованной системы горячего водоснабжения</v>
      </c>
      <c r="BG48" s="664"/>
      <c r="BH48" s="664"/>
    </row>
    <row s="6608" customFormat="1" customHeight="1" ht="0">
      <c r="A49" s="1565" t="s">
        <v>261</v>
      </c>
      <c r="B49" s="1565" t="s">
        <v>262</v>
      </c>
      <c r="C49" s="1565" t="s">
        <v>263</v>
      </c>
      <c r="D49" s="1565" t="s">
        <v>2104</v>
      </c>
      <c r="E49" s="2352"/>
      <c r="F49" s="2352"/>
      <c r="G49" s="2352"/>
      <c r="H49" s="2351">
        <v>1</v>
      </c>
      <c r="I49" s="1565"/>
      <c r="J49" s="1565"/>
      <c r="K49" s="1565"/>
      <c r="L49" s="1568"/>
      <c r="M49" s="1537"/>
      <c r="N49" s="1537"/>
      <c r="O49" s="1537"/>
      <c r="P49" s="1721"/>
      <c r="Q49" s="1722"/>
      <c r="R49" s="505"/>
      <c r="S49" s="1227"/>
      <c r="T49" s="1723"/>
      <c r="U49" s="1607"/>
      <c r="V49" s="2391"/>
      <c r="W49" s="2391"/>
      <c r="X49" s="2391"/>
      <c r="Y49" s="2391"/>
      <c r="Z49" s="2391"/>
      <c r="AA49" s="2391"/>
      <c r="AB49" s="2391"/>
      <c r="AC49" s="2392"/>
      <c r="AD49" s="2390"/>
      <c r="AE49" s="2391"/>
      <c r="AF49" s="2391"/>
      <c r="AG49" s="2391"/>
      <c r="AH49" s="2391"/>
      <c r="AI49" s="2391"/>
      <c r="AJ49" s="2391"/>
      <c r="AK49" s="2391"/>
      <c r="AL49" s="2391"/>
      <c r="AM49" s="2391"/>
      <c r="AN49" s="2391"/>
      <c r="AO49" s="2391"/>
      <c r="AP49" s="2391"/>
      <c r="AQ49" s="2391"/>
      <c r="AR49" s="2391"/>
      <c r="AS49" s="2391"/>
      <c r="AT49" s="2391"/>
      <c r="AU49" s="2391"/>
      <c r="AV49" s="2391"/>
      <c r="AW49" s="2391"/>
      <c r="AX49" s="2391"/>
      <c r="AY49" s="2391"/>
      <c r="AZ49" s="2391"/>
      <c r="BA49" s="2391"/>
      <c r="BB49" s="2392"/>
      <c r="BC49" s="1608" t="s">
        <v>1474</v>
      </c>
      <c r="BE49" s="664"/>
      <c r="BF49" s="664" t="str">
        <f>IF(T49="","",T49)</f>
        <v/>
      </c>
      <c r="BG49" s="664"/>
      <c r="BH49" s="664"/>
    </row>
    <row s="6608" customFormat="1" customHeight="1" ht="0">
      <c r="A50" s="1565" t="s">
        <v>261</v>
      </c>
      <c r="B50" s="1565" t="s">
        <v>262</v>
      </c>
      <c r="C50" s="1565" t="s">
        <v>263</v>
      </c>
      <c r="D50" s="1565" t="s">
        <v>2104</v>
      </c>
      <c r="E50" s="2352"/>
      <c r="F50" s="2352"/>
      <c r="G50" s="2352"/>
      <c r="H50" s="2352"/>
      <c r="I50" s="2380" t="str">
        <f>S49&amp;".1"</f>
        <v>.1</v>
      </c>
      <c r="J50" s="1565"/>
      <c r="K50" s="1565"/>
      <c r="L50" s="1568" t="s">
        <v>1475</v>
      </c>
      <c r="M50" s="674"/>
      <c r="N50" s="674"/>
      <c r="O50" s="674"/>
      <c r="P50" s="2350">
        <v>1</v>
      </c>
      <c r="Q50" s="1705"/>
      <c r="R50" s="504"/>
      <c r="S50" s="1227"/>
      <c r="T50" s="1606"/>
      <c r="U50" s="1607"/>
      <c r="V50" s="2391"/>
      <c r="W50" s="2391"/>
      <c r="X50" s="2391"/>
      <c r="Y50" s="2391"/>
      <c r="Z50" s="2391"/>
      <c r="AA50" s="2391"/>
      <c r="AB50" s="2391"/>
      <c r="AC50" s="2392"/>
      <c r="AD50" s="2390"/>
      <c r="AE50" s="2391"/>
      <c r="AF50" s="2391"/>
      <c r="AG50" s="2391"/>
      <c r="AH50" s="2391"/>
      <c r="AI50" s="2391"/>
      <c r="AJ50" s="2391"/>
      <c r="AK50" s="2391"/>
      <c r="AL50" s="2391"/>
      <c r="AM50" s="2391"/>
      <c r="AN50" s="2391"/>
      <c r="AO50" s="2391"/>
      <c r="AP50" s="2391"/>
      <c r="AQ50" s="2391"/>
      <c r="AR50" s="2391"/>
      <c r="AS50" s="2391"/>
      <c r="AT50" s="2391"/>
      <c r="AU50" s="2391"/>
      <c r="AV50" s="2391"/>
      <c r="AW50" s="2391"/>
      <c r="AX50" s="2391"/>
      <c r="AY50" s="2391"/>
      <c r="AZ50" s="2391"/>
      <c r="BA50" s="2391"/>
      <c r="BB50" s="2392"/>
      <c r="BC50" s="1608"/>
      <c r="BE50" s="664"/>
      <c r="BF50" s="664" t="str">
        <f>IF(T50="","",T50)</f>
        <v/>
      </c>
      <c r="BG50" s="664"/>
      <c r="BH50" s="664"/>
    </row>
    <row s="6608" customFormat="1" customHeight="1" ht="0">
      <c r="A51" s="1565" t="s">
        <v>261</v>
      </c>
      <c r="B51" s="1565" t="s">
        <v>262</v>
      </c>
      <c r="C51" s="1565" t="s">
        <v>263</v>
      </c>
      <c r="D51" s="1565" t="s">
        <v>2104</v>
      </c>
      <c r="E51" s="2352"/>
      <c r="F51" s="2352"/>
      <c r="G51" s="2352"/>
      <c r="H51" s="2352"/>
      <c r="I51" s="2381"/>
      <c r="J51" s="2349" t="str">
        <f>S49&amp;".1"</f>
        <v>.1</v>
      </c>
      <c r="K51" s="1565"/>
      <c r="L51" s="1568"/>
      <c r="M51" s="674"/>
      <c r="N51" s="674"/>
      <c r="O51" s="674"/>
      <c r="P51" s="2350"/>
      <c r="Q51" s="2350">
        <v>1</v>
      </c>
      <c r="R51" s="505"/>
      <c r="S51" s="1227"/>
      <c r="T51" s="1622"/>
      <c r="U51" s="1607"/>
      <c r="V51" s="2391"/>
      <c r="W51" s="2391"/>
      <c r="X51" s="2391"/>
      <c r="Y51" s="2391"/>
      <c r="Z51" s="2391"/>
      <c r="AA51" s="2391"/>
      <c r="AB51" s="2391"/>
      <c r="AC51" s="2392"/>
      <c r="AD51" s="2390"/>
      <c r="AE51" s="2391"/>
      <c r="AF51" s="2391"/>
      <c r="AG51" s="2391"/>
      <c r="AH51" s="2391"/>
      <c r="AI51" s="2391"/>
      <c r="AJ51" s="2391"/>
      <c r="AK51" s="2391"/>
      <c r="AL51" s="2391"/>
      <c r="AM51" s="2391"/>
      <c r="AN51" s="2517"/>
      <c r="AO51" s="2517"/>
      <c r="AP51" s="2391"/>
      <c r="AQ51" s="2391"/>
      <c r="AR51" s="2391"/>
      <c r="AS51" s="2391"/>
      <c r="AT51" s="2391"/>
      <c r="AU51" s="2391"/>
      <c r="AV51" s="2391"/>
      <c r="AW51" s="2391"/>
      <c r="AX51" s="2391"/>
      <c r="AY51" s="2391"/>
      <c r="AZ51" s="2391"/>
      <c r="BA51" s="2391"/>
      <c r="BB51" s="2392"/>
      <c r="BC51" s="1608"/>
      <c r="BE51" s="664"/>
      <c r="BF51" s="664" t="str">
        <f>IF(T51="","",T51)</f>
        <v/>
      </c>
      <c r="BG51" s="664"/>
      <c r="BH51" s="664"/>
    </row>
    <row customHeight="1" ht="11.25">
      <c r="A52" s="1586" t="s">
        <v>261</v>
      </c>
      <c r="B52" s="1586" t="s">
        <v>262</v>
      </c>
      <c r="C52" s="1586" t="s">
        <v>263</v>
      </c>
      <c r="D52" s="1586" t="s">
        <v>2104</v>
      </c>
      <c r="E52" s="2352"/>
      <c r="F52" s="2352"/>
      <c r="G52" s="2352"/>
      <c r="H52" s="2352"/>
      <c r="I52" s="2381"/>
      <c r="J52" s="2382"/>
      <c r="K52" s="2349" t="str">
        <f>S48&amp;".1"</f>
        <v>...1</v>
      </c>
      <c r="L52" s="1587"/>
      <c r="P52" s="2350"/>
      <c r="Q52" s="2350"/>
      <c r="R52" s="505">
        <v>1</v>
      </c>
      <c r="S52" s="2434" t="str">
        <f>$K52</f>
        <v>...1</v>
      </c>
      <c r="T52" s="2512"/>
      <c r="U52" s="437"/>
      <c r="V52" s="3992"/>
      <c r="W52" s="3994"/>
      <c r="X52" s="3992"/>
      <c r="Y52" s="3994"/>
      <c r="Z52" s="1976"/>
      <c r="AA52" s="1693" t="s">
        <v>66</v>
      </c>
      <c r="AB52" s="1976"/>
      <c r="AC52" s="1693" t="s">
        <v>66</v>
      </c>
      <c r="AD52" s="2159" t="s">
        <v>66</v>
      </c>
      <c r="AE52" s="2423"/>
      <c r="AF52" s="2424">
        <v>1</v>
      </c>
      <c r="AG52" s="2516"/>
      <c r="AH52" s="2069" t="s">
        <v>66</v>
      </c>
      <c r="AI52" s="2423"/>
      <c r="AJ52" s="2424">
        <v>1</v>
      </c>
      <c r="AK52" s="2515" t="s">
        <v>17</v>
      </c>
      <c r="AL52" s="2069" t="s">
        <v>66</v>
      </c>
      <c r="AM52" s="2507"/>
      <c r="AN52" s="2424">
        <v>1</v>
      </c>
      <c r="AO52" s="2509"/>
      <c r="AP52" s="2510" t="s">
        <v>66</v>
      </c>
      <c r="AQ52" s="450"/>
      <c r="AR52" s="1710">
        <v>1</v>
      </c>
      <c r="AS52" s="1716" t="s">
        <v>17</v>
      </c>
      <c r="AT52" s="3992"/>
      <c r="AU52" s="3994"/>
      <c r="AV52" s="3992"/>
      <c r="AW52" s="3994"/>
      <c r="AX52" s="1976"/>
      <c r="AY52" s="1693" t="s">
        <v>66</v>
      </c>
      <c r="AZ52" s="1976"/>
      <c r="BA52" s="1693" t="s">
        <v>66</v>
      </c>
      <c r="BB52" s="4093"/>
      <c r="BC52" s="2346" t="s">
        <v>1705</v>
      </c>
      <c r="BE52" s="664"/>
      <c r="BF52" s="664" t="str">
        <f>IF(T52="","",T52)</f>
        <v/>
      </c>
      <c r="BG52" s="664"/>
      <c r="BH52" s="664"/>
    </row>
    <row customHeight="1" ht="11.25">
      <c r="A53" s="1586"/>
      <c r="B53" s="1586"/>
      <c r="C53" s="1586"/>
      <c r="D53" s="1586"/>
      <c r="E53" s="2352"/>
      <c r="F53" s="2352"/>
      <c r="G53" s="2352"/>
      <c r="H53" s="2352"/>
      <c r="I53" s="2381"/>
      <c r="J53" s="2382"/>
      <c r="K53" s="2349"/>
      <c r="L53" s="1587"/>
      <c r="P53" s="2350"/>
      <c r="Q53" s="2350"/>
      <c r="R53" s="505"/>
      <c r="S53" s="2435"/>
      <c r="T53" s="2513"/>
      <c r="U53" s="437"/>
      <c r="V53" s="4152"/>
      <c r="W53" s="4208"/>
      <c r="X53" s="4152"/>
      <c r="Y53" s="4208"/>
      <c r="Z53" s="4152"/>
      <c r="AA53" s="4152"/>
      <c r="AB53" s="4152"/>
      <c r="AC53" s="4152"/>
      <c r="AD53" s="2160"/>
      <c r="AE53" s="2423"/>
      <c r="AF53" s="2424"/>
      <c r="AG53" s="2516"/>
      <c r="AH53" s="2069"/>
      <c r="AI53" s="2423"/>
      <c r="AJ53" s="2424"/>
      <c r="AK53" s="2515"/>
      <c r="AL53" s="2069"/>
      <c r="AM53" s="2508"/>
      <c r="AN53" s="2424"/>
      <c r="AO53" s="2509"/>
      <c r="AP53" s="2511"/>
      <c r="AQ53" s="457"/>
      <c r="AR53" s="579"/>
      <c r="AS53" s="579" t="s">
        <v>1706</v>
      </c>
      <c r="AT53" s="4152"/>
      <c r="AU53" s="4208"/>
      <c r="AV53" s="4152"/>
      <c r="AW53" s="4208"/>
      <c r="AX53" s="4152"/>
      <c r="AY53" s="4152"/>
      <c r="AZ53" s="4152"/>
      <c r="BA53" s="4152"/>
      <c r="BB53" s="4206"/>
      <c r="BC53" s="2347"/>
      <c r="BE53" s="664"/>
      <c r="BF53" s="664"/>
      <c r="BG53" s="664"/>
      <c r="BH53" s="664"/>
    </row>
    <row customHeight="1" ht="11.25">
      <c r="A54" s="1586" t="s">
        <v>261</v>
      </c>
      <c r="B54" s="1586"/>
      <c r="C54" s="1586"/>
      <c r="D54" s="1586"/>
      <c r="E54" s="2352"/>
      <c r="F54" s="2352"/>
      <c r="G54" s="2352"/>
      <c r="H54" s="2352"/>
      <c r="I54" s="2381"/>
      <c r="J54" s="2382"/>
      <c r="K54" s="2349"/>
      <c r="L54" s="1587"/>
      <c r="P54" s="2350"/>
      <c r="Q54" s="2350"/>
      <c r="R54" s="505"/>
      <c r="S54" s="2435"/>
      <c r="T54" s="2513"/>
      <c r="U54" s="437"/>
      <c r="V54" s="4152"/>
      <c r="W54" s="4208"/>
      <c r="X54" s="4152"/>
      <c r="Y54" s="4208"/>
      <c r="Z54" s="4152"/>
      <c r="AA54" s="4152"/>
      <c r="AB54" s="4152"/>
      <c r="AC54" s="4152"/>
      <c r="AD54" s="2160"/>
      <c r="AE54" s="2423"/>
      <c r="AF54" s="2424"/>
      <c r="AG54" s="2516"/>
      <c r="AH54" s="2069"/>
      <c r="AI54" s="2423"/>
      <c r="AJ54" s="2424"/>
      <c r="AK54" s="2515"/>
      <c r="AL54" s="2069"/>
      <c r="AM54" s="457"/>
      <c r="AN54" s="1724"/>
      <c r="AO54" s="1724" t="s">
        <v>1707</v>
      </c>
      <c r="AP54" s="579"/>
      <c r="AQ54" s="579"/>
      <c r="AR54" s="579"/>
      <c r="AS54" s="4152"/>
      <c r="AT54" s="4152"/>
      <c r="AU54" s="4208"/>
      <c r="AV54" s="4152"/>
      <c r="AW54" s="4208"/>
      <c r="AX54" s="4152"/>
      <c r="AY54" s="4152"/>
      <c r="AZ54" s="4152"/>
      <c r="BA54" s="4152"/>
      <c r="BB54" s="4206"/>
      <c r="BC54" s="2347"/>
      <c r="BE54" s="664"/>
      <c r="BF54" s="664"/>
      <c r="BG54" s="664"/>
      <c r="BH54" s="664"/>
    </row>
    <row customHeight="1" ht="11.25">
      <c r="A55" s="1586" t="s">
        <v>261</v>
      </c>
      <c r="B55" s="1586"/>
      <c r="C55" s="1586"/>
      <c r="D55" s="1586"/>
      <c r="E55" s="2352"/>
      <c r="F55" s="2352"/>
      <c r="G55" s="2352"/>
      <c r="H55" s="2352"/>
      <c r="I55" s="2381"/>
      <c r="J55" s="2382"/>
      <c r="K55" s="2349"/>
      <c r="L55" s="1587"/>
      <c r="P55" s="2350"/>
      <c r="Q55" s="2350"/>
      <c r="R55" s="505"/>
      <c r="S55" s="2435"/>
      <c r="T55" s="2513"/>
      <c r="U55" s="437"/>
      <c r="V55" s="4152"/>
      <c r="W55" s="4208"/>
      <c r="X55" s="4152"/>
      <c r="Y55" s="4208"/>
      <c r="Z55" s="4152"/>
      <c r="AA55" s="4152"/>
      <c r="AB55" s="4152"/>
      <c r="AC55" s="4152"/>
      <c r="AD55" s="2160"/>
      <c r="AE55" s="2423"/>
      <c r="AF55" s="2424"/>
      <c r="AG55" s="2516"/>
      <c r="AH55" s="2069"/>
      <c r="AI55" s="431"/>
      <c r="AJ55" s="578"/>
      <c r="AK55" s="452" t="s">
        <v>1708</v>
      </c>
      <c r="AL55" s="4152"/>
      <c r="AM55" s="4152"/>
      <c r="AN55" s="4152"/>
      <c r="AO55" s="4152"/>
      <c r="AP55" s="4152"/>
      <c r="AQ55" s="4152"/>
      <c r="AR55" s="4152"/>
      <c r="AS55" s="4152"/>
      <c r="AT55" s="4152"/>
      <c r="AU55" s="4208"/>
      <c r="AV55" s="4152"/>
      <c r="AW55" s="4208"/>
      <c r="AX55" s="4152"/>
      <c r="AY55" s="4152"/>
      <c r="AZ55" s="4152"/>
      <c r="BA55" s="4152"/>
      <c r="BB55" s="4206"/>
      <c r="BC55" s="2347"/>
      <c r="BE55" s="664"/>
      <c r="BF55" s="664"/>
      <c r="BG55" s="664"/>
      <c r="BH55" s="664"/>
    </row>
    <row customHeight="1" ht="11.25">
      <c r="A56" s="1586" t="s">
        <v>261</v>
      </c>
      <c r="B56" s="1586" t="s">
        <v>262</v>
      </c>
      <c r="C56" s="1586" t="s">
        <v>263</v>
      </c>
      <c r="D56" s="1586" t="s">
        <v>2104</v>
      </c>
      <c r="E56" s="2352"/>
      <c r="F56" s="2352"/>
      <c r="G56" s="2352"/>
      <c r="H56" s="2352"/>
      <c r="I56" s="2381"/>
      <c r="J56" s="2382"/>
      <c r="K56" s="2349"/>
      <c r="L56" s="1587"/>
      <c r="P56" s="2350"/>
      <c r="Q56" s="2350"/>
      <c r="R56" s="505"/>
      <c r="S56" s="2436"/>
      <c r="T56" s="2514"/>
      <c r="U56" s="437"/>
      <c r="V56" s="4152"/>
      <c r="W56" s="4153" t="str">
        <f>Z52&amp;"-"&amp;AB52</f>
        <v>-</v>
      </c>
      <c r="X56" s="4152"/>
      <c r="Y56" s="4153" t="str">
        <f>AB52&amp;"-"&amp;AD52</f>
        <v>-да</v>
      </c>
      <c r="Z56" s="4152"/>
      <c r="AA56" s="4152"/>
      <c r="AB56" s="4152"/>
      <c r="AC56" s="4152"/>
      <c r="AD56" s="2074"/>
      <c r="AE56" s="451"/>
      <c r="AF56" s="453"/>
      <c r="AG56" s="579" t="s">
        <v>1709</v>
      </c>
      <c r="AH56" s="4152"/>
      <c r="AI56" s="4152"/>
      <c r="AJ56" s="4152"/>
      <c r="AK56" s="4152"/>
      <c r="AL56" s="4152"/>
      <c r="AM56" s="4152"/>
      <c r="AN56" s="4152"/>
      <c r="AO56" s="4152"/>
      <c r="AP56" s="4152"/>
      <c r="AQ56" s="4152"/>
      <c r="AR56" s="4152"/>
      <c r="AS56" s="4152"/>
      <c r="AT56" s="4152"/>
      <c r="AU56" s="4153" t="str">
        <f>AX52&amp;"-"&amp;AZ52</f>
        <v>-</v>
      </c>
      <c r="AV56" s="4152"/>
      <c r="AW56" s="4153" t="str">
        <f>AZ52&amp;"-"&amp;BB52</f>
        <v>-</v>
      </c>
      <c r="AX56" s="4152"/>
      <c r="AY56" s="4152"/>
      <c r="AZ56" s="4152"/>
      <c r="BA56" s="4152"/>
      <c r="BB56" s="4213" t="str">
        <f>BE52&amp;"-"&amp;BG52</f>
        <v>-</v>
      </c>
      <c r="BC56" s="2347"/>
      <c r="BE56" s="664"/>
      <c r="BF56" s="664" t="str">
        <f>IF(T56="","",T56)</f>
        <v/>
      </c>
      <c r="BG56" s="664"/>
      <c r="BH56" s="664"/>
    </row>
    <row customHeight="1" ht="11.25">
      <c r="A57" s="1586" t="s">
        <v>261</v>
      </c>
      <c r="B57" s="1586" t="s">
        <v>262</v>
      </c>
      <c r="C57" s="1586" t="s">
        <v>263</v>
      </c>
      <c r="D57" s="1586" t="s">
        <v>2104</v>
      </c>
      <c r="E57" s="2352"/>
      <c r="F57" s="2352"/>
      <c r="G57" s="2352"/>
      <c r="H57" s="2352"/>
      <c r="I57" s="2381"/>
      <c r="J57" s="2349"/>
      <c r="K57" s="1586"/>
      <c r="L57" s="1587"/>
      <c r="P57" s="2350"/>
      <c r="Q57" s="2350"/>
      <c r="R57" s="504"/>
      <c r="S57" s="1495"/>
      <c r="T57" s="424" t="s">
        <v>1549</v>
      </c>
      <c r="U57" s="519"/>
      <c r="V57" s="519"/>
      <c r="W57" s="519"/>
      <c r="X57" s="519"/>
      <c r="Y57" s="519"/>
      <c r="Z57" s="519"/>
      <c r="AA57" s="519"/>
      <c r="AB57" s="519"/>
      <c r="AC57" s="471"/>
      <c r="AD57" s="1729"/>
      <c r="AE57" s="519"/>
      <c r="AF57" s="519"/>
      <c r="AG57" s="519"/>
      <c r="AH57" s="519"/>
      <c r="AI57" s="519"/>
      <c r="AJ57" s="519"/>
      <c r="AK57" s="519"/>
      <c r="AL57" s="519"/>
      <c r="AM57" s="519"/>
      <c r="AN57" s="519"/>
      <c r="AO57" s="519"/>
      <c r="AP57" s="519"/>
      <c r="AQ57" s="519"/>
      <c r="AR57" s="519"/>
      <c r="AS57" s="519"/>
      <c r="AT57" s="519"/>
      <c r="AU57" s="519"/>
      <c r="AV57" s="519"/>
      <c r="AW57" s="519"/>
      <c r="AX57" s="519"/>
      <c r="AY57" s="519"/>
      <c r="AZ57" s="519"/>
      <c r="BA57" s="519"/>
      <c r="BB57" s="471"/>
      <c r="BC57" s="2348"/>
      <c r="BE57" s="664"/>
      <c r="BF57" s="664" t="str">
        <f>IF(T57="","",T57)</f>
        <v>Добавить строку</v>
      </c>
      <c r="BG57" s="664"/>
      <c r="BH57" s="664"/>
    </row>
    <row s="6608" customFormat="1" customHeight="1" ht="0">
      <c r="A58" s="1565" t="s">
        <v>261</v>
      </c>
      <c r="B58" s="1565" t="s">
        <v>262</v>
      </c>
      <c r="C58" s="1565" t="s">
        <v>263</v>
      </c>
      <c r="D58" s="1565" t="s">
        <v>2104</v>
      </c>
      <c r="E58" s="2352"/>
      <c r="F58" s="2352"/>
      <c r="G58" s="2352"/>
      <c r="H58" s="2352"/>
      <c r="I58" s="2380"/>
      <c r="J58" s="1565"/>
      <c r="K58" s="1565"/>
      <c r="L58" s="1568"/>
      <c r="M58" s="674"/>
      <c r="N58" s="674"/>
      <c r="O58" s="674"/>
      <c r="P58" s="2350"/>
      <c r="Q58" s="1705"/>
      <c r="R58" s="504"/>
      <c r="S58" s="1609"/>
      <c r="T58" s="1610"/>
      <c r="U58" s="1611"/>
      <c r="V58" s="1611"/>
      <c r="W58" s="1611"/>
      <c r="X58" s="1611"/>
      <c r="Y58" s="1611"/>
      <c r="Z58" s="1611"/>
      <c r="AA58" s="1611"/>
      <c r="AB58" s="1611"/>
      <c r="AC58" s="1611"/>
      <c r="AD58" s="1611"/>
      <c r="AE58" s="1611"/>
      <c r="AF58" s="1611"/>
      <c r="AG58" s="1611"/>
      <c r="AH58" s="1611"/>
      <c r="AI58" s="1611"/>
      <c r="AJ58" s="1611"/>
      <c r="AK58" s="1611"/>
      <c r="AL58" s="1611"/>
      <c r="AM58" s="1611"/>
      <c r="AN58" s="1611"/>
      <c r="AO58" s="1611"/>
      <c r="AP58" s="1611"/>
      <c r="AQ58" s="1611"/>
      <c r="AR58" s="1611"/>
      <c r="AS58" s="1611"/>
      <c r="AT58" s="1611"/>
      <c r="AU58" s="1611"/>
      <c r="AV58" s="1611"/>
      <c r="AW58" s="1611"/>
      <c r="AX58" s="1611"/>
      <c r="AY58" s="1611"/>
      <c r="AZ58" s="1611"/>
      <c r="BA58" s="1611"/>
      <c r="BB58" s="1611"/>
      <c r="BC58" s="1612"/>
      <c r="BE58" s="664"/>
      <c r="BF58" s="664" t="str">
        <f>IF(T58="","",T58)</f>
        <v/>
      </c>
      <c r="BG58" s="664"/>
      <c r="BH58" s="664"/>
    </row>
    <row s="6608" customFormat="1" customHeight="1" ht="0">
      <c r="A59" s="1565" t="s">
        <v>261</v>
      </c>
      <c r="B59" s="1565" t="s">
        <v>262</v>
      </c>
      <c r="C59" s="1565" t="s">
        <v>263</v>
      </c>
      <c r="D59" s="1565" t="s">
        <v>2104</v>
      </c>
      <c r="E59" s="2352"/>
      <c r="F59" s="2352"/>
      <c r="G59" s="2352"/>
      <c r="H59" s="2351"/>
      <c r="I59" s="1565"/>
      <c r="J59" s="1565"/>
      <c r="K59" s="1565"/>
      <c r="L59" s="1568"/>
      <c r="M59" s="1537"/>
      <c r="N59" s="1537"/>
      <c r="O59" s="682"/>
      <c r="P59" s="537"/>
      <c r="Q59" s="1566"/>
      <c r="R59" s="1624"/>
      <c r="S59" s="1609"/>
      <c r="T59" s="1610"/>
      <c r="U59" s="1611"/>
      <c r="V59" s="1611"/>
      <c r="W59" s="1611"/>
      <c r="X59" s="1611"/>
      <c r="Y59" s="1611"/>
      <c r="Z59" s="1611"/>
      <c r="AA59" s="1611"/>
      <c r="AB59" s="1611"/>
      <c r="AC59" s="1611"/>
      <c r="AD59" s="1611"/>
      <c r="AE59" s="1611"/>
      <c r="AF59" s="1611"/>
      <c r="AG59" s="1611"/>
      <c r="AH59" s="1611"/>
      <c r="AI59" s="1611"/>
      <c r="AJ59" s="1611"/>
      <c r="AK59" s="1611"/>
      <c r="AL59" s="1611"/>
      <c r="AM59" s="1611"/>
      <c r="AN59" s="1611"/>
      <c r="AO59" s="1611"/>
      <c r="AP59" s="1611"/>
      <c r="AQ59" s="1611"/>
      <c r="AR59" s="1611"/>
      <c r="AS59" s="1611"/>
      <c r="AT59" s="1611"/>
      <c r="AU59" s="1611"/>
      <c r="AV59" s="1611"/>
      <c r="AW59" s="1611"/>
      <c r="AX59" s="1611"/>
      <c r="AY59" s="1611"/>
      <c r="AZ59" s="1611"/>
      <c r="BA59" s="1611"/>
      <c r="BB59" s="1611"/>
      <c r="BC59" s="1612"/>
      <c r="BE59" s="664"/>
      <c r="BF59" s="664" t="str">
        <f>IF(T59="","",T59)</f>
        <v/>
      </c>
      <c r="BG59" s="664"/>
      <c r="BH59" s="664"/>
    </row>
    <row s="6520" customFormat="1" customHeight="1" ht="0">
      <c r="A60" s="1565" t="s">
        <v>261</v>
      </c>
      <c r="B60" s="1565" t="s">
        <v>262</v>
      </c>
      <c r="C60" s="1565" t="s">
        <v>263</v>
      </c>
      <c r="D60" s="1536"/>
      <c r="E60" s="2352"/>
      <c r="F60" s="2352"/>
      <c r="G60" s="2351"/>
      <c r="H60" s="1536"/>
      <c r="I60" s="1536"/>
      <c r="J60" s="1536"/>
      <c r="K60" s="1536"/>
      <c r="L60" s="1718"/>
      <c r="M60" s="1537"/>
      <c r="N60" s="1537"/>
      <c r="P60" s="1538"/>
      <c r="Q60" s="1539"/>
      <c r="R60" s="1538"/>
      <c r="S60" s="1544"/>
      <c r="T60" s="1547"/>
      <c r="U60" s="1546"/>
      <c r="V60" s="1546"/>
      <c r="W60" s="1546"/>
      <c r="X60" s="1546"/>
      <c r="Y60" s="1546"/>
      <c r="Z60" s="1546"/>
      <c r="AA60" s="1546"/>
      <c r="AB60" s="1546"/>
      <c r="AC60" s="1546"/>
      <c r="AD60" s="1546"/>
      <c r="AE60" s="1546"/>
      <c r="AF60" s="1546"/>
      <c r="AG60" s="1546"/>
      <c r="AH60" s="1546"/>
      <c r="AI60" s="1546"/>
      <c r="AJ60" s="1546"/>
      <c r="AK60" s="1546"/>
      <c r="AL60" s="1546"/>
      <c r="AM60" s="1546"/>
      <c r="AN60" s="1546"/>
      <c r="AO60" s="1546"/>
      <c r="AP60" s="1546"/>
      <c r="AQ60" s="1546"/>
      <c r="AR60" s="1546"/>
      <c r="AS60" s="1546"/>
      <c r="AT60" s="1546"/>
      <c r="AU60" s="1546"/>
      <c r="AV60" s="1546"/>
      <c r="AW60" s="1546"/>
      <c r="AX60" s="1546"/>
      <c r="AY60" s="1546"/>
      <c r="AZ60" s="1546"/>
      <c r="BA60" s="1546"/>
      <c r="BB60" s="1546"/>
      <c r="BC60" s="1546"/>
      <c r="BE60" s="956"/>
      <c r="BF60" s="956" t="str">
        <f>IF(T60="","",T60)</f>
        <v/>
      </c>
      <c r="BG60" s="956"/>
      <c r="BH60" s="956"/>
    </row>
    <row s="6520" customFormat="1" customHeight="1" ht="0">
      <c r="A61" s="1565" t="s">
        <v>261</v>
      </c>
      <c r="B61" s="1565" t="s">
        <v>262</v>
      </c>
      <c r="C61" s="1536"/>
      <c r="D61" s="1536"/>
      <c r="E61" s="2352"/>
      <c r="F61" s="2351"/>
      <c r="G61" s="1536"/>
      <c r="H61" s="1536"/>
      <c r="I61" s="1536"/>
      <c r="J61" s="1536"/>
      <c r="K61" s="1536"/>
      <c r="L61" s="1718"/>
      <c r="M61" s="1543"/>
      <c r="N61" s="1543"/>
      <c r="P61" s="1538"/>
      <c r="Q61" s="1539"/>
      <c r="R61" s="1538"/>
      <c r="S61" s="1544"/>
      <c r="T61" s="1547" t="s">
        <v>1445</v>
      </c>
      <c r="U61" s="1546"/>
      <c r="V61" s="1546"/>
      <c r="W61" s="1546"/>
      <c r="X61" s="1546"/>
      <c r="Y61" s="1546"/>
      <c r="Z61" s="1546"/>
      <c r="AA61" s="1546"/>
      <c r="AB61" s="1546"/>
      <c r="AC61" s="1546"/>
      <c r="AD61" s="1546"/>
      <c r="AE61" s="1546"/>
      <c r="AF61" s="1546"/>
      <c r="AG61" s="1546"/>
      <c r="AH61" s="1546"/>
      <c r="AI61" s="1546"/>
      <c r="AJ61" s="1546"/>
      <c r="AK61" s="1546"/>
      <c r="AL61" s="1546"/>
      <c r="AM61" s="1546"/>
      <c r="AN61" s="1546"/>
      <c r="AO61" s="1546"/>
      <c r="AP61" s="1546"/>
      <c r="AQ61" s="1546"/>
      <c r="AR61" s="1546"/>
      <c r="AS61" s="1546"/>
      <c r="AT61" s="1546"/>
      <c r="AU61" s="1546"/>
      <c r="AV61" s="1546"/>
      <c r="AW61" s="1546"/>
      <c r="AX61" s="1546"/>
      <c r="AY61" s="1546"/>
      <c r="AZ61" s="1546"/>
      <c r="BA61" s="1546"/>
      <c r="BB61" s="1546"/>
      <c r="BC61" s="1546"/>
      <c r="BE61" s="956"/>
      <c r="BF61" s="956" t="str">
        <f>IF(T61="","",T61)</f>
        <v>Добавить централизованную систему для дифференциации</v>
      </c>
      <c r="BG61" s="956"/>
      <c r="BH61" s="956"/>
    </row>
    <row s="6608" customFormat="1" customHeight="1" ht="0">
      <c r="A62" s="1565" t="s">
        <v>261</v>
      </c>
      <c r="B62" s="1565"/>
      <c r="C62" s="1565"/>
      <c r="D62" s="1565"/>
      <c r="E62" s="2351"/>
      <c r="F62" s="1565"/>
      <c r="G62" s="1565"/>
      <c r="H62" s="1565"/>
      <c r="I62" s="1565"/>
      <c r="J62" s="1565"/>
      <c r="K62" s="1565"/>
      <c r="L62" s="1568"/>
      <c r="M62" s="1543"/>
      <c r="N62" s="1543"/>
      <c r="O62" s="682"/>
      <c r="P62" s="537"/>
      <c r="Q62" s="1566"/>
      <c r="R62" s="537"/>
      <c r="S62" s="1544"/>
      <c r="T62" s="1547" t="s">
        <v>1446</v>
      </c>
      <c r="U62" s="1546"/>
      <c r="V62" s="1546"/>
      <c r="W62" s="1546"/>
      <c r="X62" s="1546"/>
      <c r="Y62" s="1546"/>
      <c r="Z62" s="1546"/>
      <c r="AA62" s="1546"/>
      <c r="AB62" s="1546"/>
      <c r="AC62" s="1546"/>
      <c r="AD62" s="1546"/>
      <c r="AE62" s="1546"/>
      <c r="AF62" s="1546"/>
      <c r="AG62" s="1546"/>
      <c r="AH62" s="1546"/>
      <c r="AI62" s="1546"/>
      <c r="AJ62" s="1546"/>
      <c r="AK62" s="1546"/>
      <c r="AL62" s="1546"/>
      <c r="AM62" s="1546"/>
      <c r="AN62" s="1546"/>
      <c r="AO62" s="1546"/>
      <c r="AP62" s="1546"/>
      <c r="AQ62" s="1546"/>
      <c r="AR62" s="1546"/>
      <c r="AS62" s="1546"/>
      <c r="AT62" s="1546"/>
      <c r="AU62" s="1546"/>
      <c r="AV62" s="1546"/>
      <c r="AW62" s="1546"/>
      <c r="AX62" s="1546"/>
      <c r="AY62" s="1546"/>
      <c r="AZ62" s="1546"/>
      <c r="BA62" s="1546"/>
      <c r="BB62" s="1546"/>
      <c r="BC62" s="1546"/>
      <c r="BE62" s="664"/>
      <c r="BF62" s="664" t="str">
        <f>IF(T62="","",T62)</f>
        <v>Добавить территорию для дифференциации</v>
      </c>
      <c r="BG62" s="664"/>
      <c r="BH62" s="664"/>
    </row>
    <row s="6520" customFormat="1" customHeight="1" ht="0">
      <c r="A63" s="1536"/>
      <c r="B63" s="1536"/>
      <c r="C63" s="1536"/>
      <c r="D63" s="1536"/>
      <c r="E63" s="1565"/>
      <c r="F63" s="1536"/>
      <c r="G63" s="1536"/>
      <c r="H63" s="1536"/>
      <c r="I63" s="1536"/>
      <c r="J63" s="1536"/>
      <c r="K63" s="1536"/>
      <c r="L63" s="1718"/>
      <c r="M63" s="1543"/>
      <c r="N63" s="1543"/>
      <c r="P63" s="1538"/>
      <c r="Q63" s="1539"/>
      <c r="R63" s="1538"/>
      <c r="S63" s="1544"/>
      <c r="T63" s="1547" t="s">
        <v>1447</v>
      </c>
      <c r="U63" s="1546"/>
      <c r="V63" s="1546"/>
      <c r="W63" s="1546"/>
      <c r="X63" s="1546"/>
      <c r="Y63" s="1546"/>
      <c r="Z63" s="1546"/>
      <c r="AA63" s="1546"/>
      <c r="AB63" s="1546"/>
      <c r="AC63" s="1546"/>
      <c r="AD63" s="1546"/>
      <c r="AE63" s="1546"/>
      <c r="AF63" s="1546"/>
      <c r="AG63" s="1546"/>
      <c r="AH63" s="1546"/>
      <c r="AI63" s="1546"/>
      <c r="AJ63" s="1546"/>
      <c r="AK63" s="1546"/>
      <c r="AL63" s="1546"/>
      <c r="AM63" s="1546"/>
      <c r="AN63" s="1546"/>
      <c r="AO63" s="1546"/>
      <c r="AP63" s="1546"/>
      <c r="AQ63" s="1546"/>
      <c r="AR63" s="1546"/>
      <c r="AS63" s="1546"/>
      <c r="AT63" s="1546"/>
      <c r="AU63" s="1546"/>
      <c r="AV63" s="1546"/>
      <c r="AW63" s="1546"/>
      <c r="AX63" s="1546"/>
      <c r="AY63" s="1546"/>
      <c r="AZ63" s="1546"/>
      <c r="BA63" s="1546"/>
      <c r="BB63" s="1546"/>
      <c r="BC63" s="1546"/>
      <c r="BE63" s="956"/>
      <c r="BF63" s="956" t="str">
        <f>IF(T63="","",T63)</f>
        <v>Добавить наименование тарифа</v>
      </c>
      <c r="BG63" s="956"/>
      <c r="BH63" s="956"/>
    </row>
    <row customHeight="1" ht="11.25" hidden="1">
      <c r="M64" s="1348"/>
      <c r="N64" s="1348"/>
      <c r="O64" s="701"/>
      <c r="P64" s="1348"/>
      <c r="Q64" s="1348"/>
      <c r="R64" s="1343"/>
      <c r="S64" s="1343"/>
      <c r="BD64" s="1343"/>
      <c r="BE64" s="1343"/>
      <c r="BF64" s="1343"/>
      <c r="BG64" s="1343"/>
      <c r="BH64" s="1343"/>
    </row>
    <row customHeight="1" ht="18.75" hidden="1">
      <c r="O65" s="701"/>
      <c r="S65" s="1460" t="s">
        <v>1517</v>
      </c>
      <c r="T65" s="2379" t="s">
        <v>1720</v>
      </c>
      <c r="U65" s="2379"/>
      <c r="V65" s="2379"/>
      <c r="W65" s="2379"/>
      <c r="X65" s="2379"/>
      <c r="Y65" s="2379"/>
      <c r="Z65" s="2379"/>
      <c r="AA65" s="2379"/>
      <c r="AB65" s="2379"/>
      <c r="AC65" s="2379"/>
      <c r="AD65" s="2379"/>
      <c r="AE65" s="2379"/>
      <c r="AF65" s="2379"/>
      <c r="AG65" s="2379"/>
      <c r="AH65" s="2379"/>
      <c r="AI65" s="2379"/>
      <c r="AJ65" s="2379"/>
      <c r="AK65" s="2379"/>
      <c r="AL65" s="2379"/>
      <c r="AM65" s="2379"/>
      <c r="AN65" s="2379"/>
      <c r="AO65" s="2379"/>
      <c r="AP65" s="2379"/>
      <c r="AQ65" s="2379"/>
      <c r="AR65" s="2379"/>
      <c r="AS65" s="2379"/>
      <c r="AT65" s="2379"/>
      <c r="AU65" s="2379"/>
      <c r="AV65" s="2379"/>
      <c r="AW65" s="2379"/>
      <c r="AX65" s="2379"/>
      <c r="AY65" s="2379"/>
      <c r="AZ65" s="2379"/>
      <c r="BA65" s="2379"/>
      <c r="BB65" s="2379"/>
      <c r="BC65" s="2379"/>
    </row>
    <row customHeight="1" ht="14.25" hidden="1">
      <c r="O66" s="701"/>
      <c r="T66" s="1704"/>
      <c r="U66" s="1704"/>
      <c r="V66" s="1704"/>
      <c r="W66" s="1704"/>
      <c r="X66" s="1704"/>
      <c r="Y66" s="1704"/>
      <c r="Z66" s="1704"/>
      <c r="AA66" s="1704"/>
      <c r="AB66" s="1704"/>
      <c r="AC66" s="1704"/>
      <c r="AD66" s="1704"/>
      <c r="AE66" s="1704"/>
      <c r="AF66" s="1704"/>
      <c r="AG66" s="1704"/>
      <c r="AH66" s="1704"/>
      <c r="AI66" s="1704"/>
      <c r="AJ66" s="1704"/>
      <c r="AK66" s="1704"/>
      <c r="AL66" s="1704"/>
      <c r="AM66" s="1704"/>
      <c r="AN66" s="1704"/>
      <c r="AO66" s="1704"/>
      <c r="AP66" s="1704"/>
      <c r="AQ66" s="1704"/>
      <c r="AR66" s="1704"/>
      <c r="AS66" s="1704"/>
      <c r="AT66" s="1704"/>
      <c r="AU66" s="1704"/>
      <c r="AV66" s="1704"/>
      <c r="AW66" s="1704"/>
      <c r="AX66" s="1704"/>
      <c r="AY66" s="1704"/>
      <c r="AZ66" s="1704"/>
      <c r="BA66" s="1704"/>
      <c r="BB66" s="1704"/>
      <c r="BC66" s="1704"/>
    </row>
    <row customHeight="1" ht="18.75" hidden="1">
      <c r="O67" s="701"/>
      <c r="S67" s="1460" t="s">
        <v>1517</v>
      </c>
      <c r="T67" s="2379" t="s">
        <v>1684</v>
      </c>
      <c r="U67" s="2379"/>
      <c r="V67" s="2379"/>
      <c r="W67" s="2379"/>
      <c r="X67" s="2379"/>
      <c r="Y67" s="2379"/>
      <c r="Z67" s="2379"/>
      <c r="AA67" s="2379"/>
      <c r="AB67" s="2379"/>
      <c r="AC67" s="2379"/>
      <c r="AD67" s="2379"/>
      <c r="AE67" s="2379"/>
      <c r="AF67" s="2379"/>
      <c r="AG67" s="2379"/>
      <c r="AH67" s="2379"/>
      <c r="AI67" s="2379"/>
      <c r="AJ67" s="2379"/>
      <c r="AK67" s="2379"/>
      <c r="AL67" s="2379"/>
      <c r="AM67" s="2379"/>
      <c r="AN67" s="2379"/>
      <c r="AO67" s="2379"/>
      <c r="AP67" s="2379"/>
      <c r="AQ67" s="2379"/>
      <c r="AR67" s="2379"/>
      <c r="AS67" s="2379"/>
      <c r="AT67" s="2379"/>
      <c r="AU67" s="2379"/>
      <c r="AV67" s="2379"/>
      <c r="AW67" s="2379"/>
      <c r="AX67" s="2379"/>
      <c r="AY67" s="2379"/>
      <c r="AZ67" s="2379"/>
      <c r="BA67" s="2379"/>
      <c r="BB67" s="2379"/>
      <c r="BC67" s="2379"/>
    </row>
    <row customHeight="1" ht="14.25">
      <c r="O68" s="701"/>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2D7452F-C16C-FC4E-A2D4-C07D351378DF}"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516" width="19.140625" hidden="1" customWidth="1"/>
    <col min="13" max="14" style="6617" width="12.28125" hidden="1" customWidth="1"/>
    <col min="15" max="15" style="6617" width="23.421875" hidden="1" customWidth="1"/>
    <col min="16" max="16" style="7517"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717">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711"/>
      <c r="Q3" s="500"/>
      <c r="R3" s="501"/>
      <c r="S3" s="1717">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717">
        <f>INDEX(PT_DIFFERENTIATION_NUM_CS,MATCH(C4,PT_DIFFERENTIATION_CS_ID,0))</f>
      </c>
      <c r="T4" s="448" t="s">
        <v>2105</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2106</v>
      </c>
      <c r="AM4" s="664"/>
      <c r="AN4" s="664" t="str">
        <f>IF(T4="","",T4)</f>
        <v>Наименование централизованной системы водоотведения</v>
      </c>
      <c r="AO4" s="664"/>
      <c r="AP4" s="664"/>
    </row>
    <row customHeight="1" ht="23.25" hidden="1">
      <c r="A5" s="1586"/>
      <c r="B5" s="1586"/>
      <c r="C5" s="1586"/>
      <c r="D5" s="1586"/>
      <c r="E5" s="2352"/>
      <c r="F5" s="2352"/>
      <c r="G5" s="2352"/>
      <c r="H5" s="2352"/>
      <c r="I5" s="2380">
        <f>S4&amp;".1"</f>
      </c>
      <c r="J5" s="1586"/>
      <c r="K5" s="1586"/>
      <c r="L5" s="1587"/>
      <c r="P5" s="2350">
        <v>1</v>
      </c>
      <c r="Q5" s="1705"/>
      <c r="R5" s="504"/>
      <c r="S5" s="1717">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717">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717">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714"/>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705"/>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718"/>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14.25" hidden="1">
      <c r="L18" s="1702"/>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702"/>
      <c r="M19" s="1585"/>
      <c r="N19" s="1585"/>
      <c r="O19" s="1585"/>
      <c r="P19" s="1585"/>
      <c r="Q19" s="1594"/>
      <c r="R19" s="1594"/>
      <c r="S19" s="894"/>
      <c r="AB19" s="1589"/>
      <c r="AI19" s="1589"/>
      <c r="AL19" s="675"/>
      <c r="AM19" s="675"/>
      <c r="AN19" s="675"/>
      <c r="AO19" s="675"/>
      <c r="AP19" s="675"/>
    </row>
    <row s="6539" customFormat="1" customHeight="1" ht="12" hidden="1">
      <c r="L20" s="1702"/>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712"/>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707" t="s">
        <v>1693</v>
      </c>
      <c r="W38" s="2355" t="s">
        <v>1504</v>
      </c>
      <c r="X38" s="2356"/>
      <c r="Y38" s="2361" t="s">
        <v>1505</v>
      </c>
      <c r="Z38" s="2362"/>
      <c r="AA38" s="2363"/>
      <c r="AB38" s="2372"/>
      <c r="AC38" s="1707" t="s">
        <v>1693</v>
      </c>
      <c r="AD38" s="2355" t="s">
        <v>1504</v>
      </c>
      <c r="AE38" s="2356"/>
      <c r="AF38" s="2361" t="s">
        <v>1505</v>
      </c>
      <c r="AG38" s="2362"/>
      <c r="AH38" s="2363"/>
      <c r="AI38" s="2372"/>
      <c r="AJ38" s="2375"/>
      <c r="AK38" s="2204"/>
    </row>
    <row customHeight="1" ht="86.2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707" t="s">
        <v>2107</v>
      </c>
      <c r="W39" s="1424" t="s">
        <v>2108</v>
      </c>
      <c r="X39" s="1424" t="s">
        <v>1698</v>
      </c>
      <c r="Y39" s="1713" t="s">
        <v>1515</v>
      </c>
      <c r="Z39" s="2364" t="s">
        <v>1516</v>
      </c>
      <c r="AA39" s="2365"/>
      <c r="AB39" s="2373"/>
      <c r="AC39" s="1707" t="s">
        <v>2107</v>
      </c>
      <c r="AD39" s="1424" t="s">
        <v>2108</v>
      </c>
      <c r="AE39" s="1424" t="s">
        <v>1698</v>
      </c>
      <c r="AF39" s="1713"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706">
        <f>OFFSET(V40,0,-1)+1</f>
        <v>3</v>
      </c>
      <c r="W40" s="1706">
        <f>OFFSET(W40,0,-1)+1</f>
        <v>4</v>
      </c>
      <c r="X40" s="1706">
        <f>OFFSET(X40,0,-1)+1</f>
        <v>5</v>
      </c>
      <c r="Y40" s="1706">
        <f>OFFSET(Y40,0,-1)+1</f>
        <v>6</v>
      </c>
      <c r="Z40" s="2366">
        <f>OFFSET(Z40,0,-1)+1</f>
        <v>7</v>
      </c>
      <c r="AA40" s="2366"/>
      <c r="AB40" s="1706">
        <f>OFFSET(AB40,0,-2)+1</f>
        <v>8</v>
      </c>
      <c r="AC40" s="1706">
        <f>OFFSET(AC40,0,-1)+1</f>
        <v>9</v>
      </c>
      <c r="AD40" s="1706">
        <f>OFFSET(AD40,0,-1)+1</f>
        <v>10</v>
      </c>
      <c r="AE40" s="1706">
        <f>OFFSET(AE40,0,-1)+1</f>
        <v>11</v>
      </c>
      <c r="AF40" s="1706">
        <f>OFFSET(AF40,0,-1)+1</f>
        <v>12</v>
      </c>
      <c r="AG40" s="2366">
        <f>OFFSET(AG40,0,-1)+1</f>
        <v>13</v>
      </c>
      <c r="AH40" s="2366"/>
      <c r="AI40" s="1706">
        <f>OFFSET(AI40,0,-2)+1</f>
        <v>14</v>
      </c>
      <c r="AJ40" s="1450">
        <f>OFFSET(AJ40,0,-1)</f>
        <v>14</v>
      </c>
      <c r="AK40" s="1706">
        <f>OFFSET(AK40,0,-1)+1</f>
        <v>15</v>
      </c>
      <c r="AL40" s="675"/>
      <c r="AM40" s="675"/>
      <c r="AN40" s="675"/>
      <c r="AO40" s="675"/>
      <c r="AP40" s="675"/>
    </row>
    <row customHeight="1" ht="23.25">
      <c r="A41" s="1586" t="s">
        <v>266</v>
      </c>
      <c r="B41" s="1586"/>
      <c r="C41" s="1586"/>
      <c r="D41" s="1586"/>
      <c r="E41" s="2351">
        <v>1</v>
      </c>
      <c r="F41" s="1586"/>
      <c r="G41" s="1586"/>
      <c r="H41" s="1586"/>
      <c r="I41" s="1586"/>
      <c r="J41" s="1586"/>
      <c r="K41" s="1586"/>
      <c r="L41" s="1587"/>
      <c r="M41" s="1588"/>
      <c r="N41" s="1588"/>
      <c r="O41" s="1588"/>
      <c r="P41" s="509"/>
      <c r="Q41" s="508"/>
      <c r="R41" s="503"/>
      <c r="S41" s="1717">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266</v>
      </c>
      <c r="B42" s="1586" t="s">
        <v>267</v>
      </c>
      <c r="C42" s="1586"/>
      <c r="D42" s="1586"/>
      <c r="E42" s="2352"/>
      <c r="F42" s="2351">
        <v>1</v>
      </c>
      <c r="G42" s="1586"/>
      <c r="H42" s="1586"/>
      <c r="I42" s="1586"/>
      <c r="J42" s="1586"/>
      <c r="K42" s="1586"/>
      <c r="L42" s="1587"/>
      <c r="M42" s="1588"/>
      <c r="N42" s="1588"/>
      <c r="O42" s="1588"/>
      <c r="P42" s="1711"/>
      <c r="Q42" s="500"/>
      <c r="R42" s="501"/>
      <c r="S42" s="1717"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266</v>
      </c>
      <c r="B43" s="1586" t="s">
        <v>267</v>
      </c>
      <c r="C43" s="1586" t="s">
        <v>268</v>
      </c>
      <c r="D43" s="1586"/>
      <c r="E43" s="2352"/>
      <c r="F43" s="2352"/>
      <c r="G43" s="2351">
        <v>1</v>
      </c>
      <c r="H43" s="1586"/>
      <c r="I43" s="1586"/>
      <c r="J43" s="1586"/>
      <c r="K43" s="1586"/>
      <c r="L43" s="1587"/>
      <c r="M43" s="1588"/>
      <c r="N43" s="1588"/>
      <c r="O43" s="1588"/>
      <c r="P43" s="502"/>
      <c r="Q43" s="500"/>
      <c r="R43" s="501"/>
      <c r="S43" s="1717" t="str">
        <f>INDEX(PT_DIFFERENTIATION_NUM_CS,MATCH(C43,PT_DIFFERENTIATION_CS_ID,0))</f>
        <v>..</v>
      </c>
      <c r="T43" s="448" t="s">
        <v>2105</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2106</v>
      </c>
      <c r="AM43" s="664"/>
      <c r="AN43" s="664" t="str">
        <f>IF(T43="","",T43)</f>
        <v>Наименование централизованной системы водоотведения</v>
      </c>
      <c r="AO43" s="664"/>
      <c r="AP43" s="664"/>
    </row>
    <row customHeight="1" ht="23.25">
      <c r="A44" s="1586" t="s">
        <v>266</v>
      </c>
      <c r="B44" s="1586" t="s">
        <v>267</v>
      </c>
      <c r="C44" s="1586" t="s">
        <v>268</v>
      </c>
      <c r="D44" s="1586" t="s">
        <v>2109</v>
      </c>
      <c r="E44" s="2352"/>
      <c r="F44" s="2352"/>
      <c r="G44" s="2352"/>
      <c r="H44" s="2352"/>
      <c r="I44" s="2380" t="str">
        <f>S43&amp;".1"</f>
        <v>...1</v>
      </c>
      <c r="J44" s="1586"/>
      <c r="K44" s="1586"/>
      <c r="L44" s="1587"/>
      <c r="P44" s="2350">
        <v>1</v>
      </c>
      <c r="Q44" s="1705"/>
      <c r="R44" s="504"/>
      <c r="S44" s="1717"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266</v>
      </c>
      <c r="B45" s="1586" t="s">
        <v>267</v>
      </c>
      <c r="C45" s="1586" t="s">
        <v>268</v>
      </c>
      <c r="D45" s="1586" t="s">
        <v>2109</v>
      </c>
      <c r="E45" s="2352"/>
      <c r="F45" s="2352"/>
      <c r="G45" s="2352"/>
      <c r="H45" s="2352"/>
      <c r="I45" s="2381"/>
      <c r="J45" s="2349" t="str">
        <f>I44&amp;".1"</f>
        <v>...1.1</v>
      </c>
      <c r="K45" s="1586"/>
      <c r="L45" s="1587" t="s">
        <v>1478</v>
      </c>
      <c r="P45" s="2350"/>
      <c r="Q45" s="2350">
        <v>1</v>
      </c>
      <c r="R45" s="505"/>
      <c r="S45" s="1717"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266</v>
      </c>
      <c r="B46" s="1586" t="s">
        <v>267</v>
      </c>
      <c r="C46" s="1586" t="s">
        <v>268</v>
      </c>
      <c r="D46" s="1586" t="s">
        <v>2109</v>
      </c>
      <c r="E46" s="2352"/>
      <c r="F46" s="2352"/>
      <c r="G46" s="2352"/>
      <c r="H46" s="2352"/>
      <c r="I46" s="2381"/>
      <c r="J46" s="2382"/>
      <c r="K46" s="2349" t="str">
        <f>J45&amp;".1"</f>
        <v>...1.1.1</v>
      </c>
      <c r="L46" s="1587"/>
      <c r="P46" s="2350"/>
      <c r="Q46" s="2350"/>
      <c r="R46" s="505">
        <v>1</v>
      </c>
      <c r="S46" s="1717" t="str">
        <f>$K46</f>
        <v>...1.1.1</v>
      </c>
      <c r="T46" s="1661"/>
      <c r="U46" s="437"/>
      <c r="V46" s="4025"/>
      <c r="W46" s="4025"/>
      <c r="X46" s="4026"/>
      <c r="Y46" s="2359"/>
      <c r="Z46" s="2360" t="s">
        <v>66</v>
      </c>
      <c r="AA46" s="2359"/>
      <c r="AB46" s="2360" t="s">
        <v>66</v>
      </c>
      <c r="AC46" s="3992"/>
      <c r="AD46" s="3992"/>
      <c r="AE46" s="3994"/>
      <c r="AF46" s="2357"/>
      <c r="AG46" s="2069" t="s">
        <v>66</v>
      </c>
      <c r="AH46" s="2383"/>
      <c r="AI46" s="2069" t="s">
        <v>56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266</v>
      </c>
      <c r="B47" s="1586" t="s">
        <v>267</v>
      </c>
      <c r="C47" s="1586" t="s">
        <v>268</v>
      </c>
      <c r="D47" s="1586" t="s">
        <v>2109</v>
      </c>
      <c r="E47" s="2352"/>
      <c r="F47" s="2352"/>
      <c r="G47" s="2352"/>
      <c r="H47" s="2352"/>
      <c r="I47" s="2381"/>
      <c r="J47" s="2382"/>
      <c r="K47" s="2349"/>
      <c r="L47" s="1587"/>
      <c r="P47" s="2350"/>
      <c r="Q47" s="2350"/>
      <c r="R47" s="505"/>
      <c r="S47" s="1714"/>
      <c r="T47" s="437"/>
      <c r="U47" s="437"/>
      <c r="V47" s="4025"/>
      <c r="W47" s="4025"/>
      <c r="X47" s="3998" t="str">
        <f>Y46&amp;"-"&amp;AA46</f>
        <v>-</v>
      </c>
      <c r="Y47" s="2360"/>
      <c r="Z47" s="2360"/>
      <c r="AA47" s="2360"/>
      <c r="AB47" s="2360"/>
      <c r="AC47" s="3993"/>
      <c r="AD47" s="3993"/>
      <c r="AE47" s="3998" t="str">
        <f>AF46&amp;"-"&amp;AH46</f>
        <v>-</v>
      </c>
      <c r="AF47" s="2358"/>
      <c r="AG47" s="2069"/>
      <c r="AH47" s="2384"/>
      <c r="AI47" s="2069"/>
      <c r="AJ47" s="4499"/>
      <c r="AK47" s="2500"/>
      <c r="AM47" s="664"/>
      <c r="AN47" s="664" t="str">
        <f>IF(T47="","",T47)</f>
        <v/>
      </c>
      <c r="AO47" s="664"/>
      <c r="AP47" s="664"/>
    </row>
    <row customHeight="1" ht="21">
      <c r="A48" s="1586" t="s">
        <v>266</v>
      </c>
      <c r="B48" s="1586" t="s">
        <v>267</v>
      </c>
      <c r="C48" s="1586" t="s">
        <v>268</v>
      </c>
      <c r="D48" s="1586" t="s">
        <v>2109</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266</v>
      </c>
      <c r="B49" s="1586" t="s">
        <v>267</v>
      </c>
      <c r="C49" s="1586" t="s">
        <v>268</v>
      </c>
      <c r="D49" s="1586" t="s">
        <v>2109</v>
      </c>
      <c r="E49" s="2352"/>
      <c r="F49" s="2352"/>
      <c r="G49" s="2352"/>
      <c r="H49" s="2352"/>
      <c r="I49" s="2380"/>
      <c r="J49" s="1586"/>
      <c r="K49" s="1586"/>
      <c r="L49" s="1587"/>
      <c r="P49" s="2350"/>
      <c r="Q49" s="1705"/>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266</v>
      </c>
      <c r="B50" s="1586" t="s">
        <v>267</v>
      </c>
      <c r="C50" s="1586" t="s">
        <v>268</v>
      </c>
      <c r="D50" s="1586" t="s">
        <v>2109</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266</v>
      </c>
      <c r="B51" s="1565" t="s">
        <v>267</v>
      </c>
      <c r="C51" s="1536"/>
      <c r="D51" s="1536"/>
      <c r="E51" s="2352"/>
      <c r="F51" s="2351"/>
      <c r="G51" s="1536"/>
      <c r="H51" s="1536"/>
      <c r="I51" s="1536"/>
      <c r="J51" s="1536"/>
      <c r="K51" s="1536"/>
      <c r="L51" s="1718"/>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266</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718"/>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c r="M54" s="1348"/>
      <c r="N54" s="1348"/>
      <c r="O54" s="701"/>
      <c r="P54" s="1343"/>
      <c r="Q54" s="1343"/>
      <c r="R54" s="1343"/>
      <c r="S54" s="1343"/>
      <c r="AL54" s="1343"/>
      <c r="AM54" s="1343"/>
      <c r="AN54" s="1343"/>
      <c r="AO54" s="1343"/>
      <c r="AP54" s="1343"/>
    </row>
    <row customHeight="1" ht="14.25">
      <c r="O55" s="701"/>
      <c r="S55" s="1460" t="s">
        <v>1517</v>
      </c>
      <c r="T55" s="2379" t="s">
        <v>2110</v>
      </c>
      <c r="U55" s="2379"/>
      <c r="V55" s="2379"/>
      <c r="W55" s="2379"/>
      <c r="X55" s="2379"/>
      <c r="Y55" s="2379"/>
      <c r="Z55" s="2379"/>
      <c r="AA55" s="2379"/>
      <c r="AB55" s="2379"/>
      <c r="AC55" s="2379"/>
      <c r="AD55" s="2379"/>
      <c r="AE55" s="2379"/>
      <c r="AF55" s="2379"/>
      <c r="AG55" s="2379"/>
      <c r="AH55" s="2379"/>
      <c r="AI55" s="2379"/>
      <c r="AJ55" s="2379"/>
      <c r="AK55" s="2379"/>
    </row>
    <row customHeight="1" ht="14.25">
      <c r="O56" s="701"/>
    </row>
    <row customHeight="1" ht="14.25">
      <c r="O57" s="701"/>
      <c r="S57" s="1460" t="s">
        <v>1517</v>
      </c>
      <c r="T57" s="2379" t="s">
        <v>2111</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7A5819-FF27-B572-EFA7-2B58F03561DA}" mc:Ignorable="x14ac xr xr2 xr3">
  <sheetPr>
    <tabColor theme="6" tint="0.4"/>
  </sheetPr>
  <dimension ref="A1:AP57"/>
  <sheetViews>
    <sheetView topLeftCell="P23" showGridLines="0" workbookViewId="0">
      <selection activeCell="A1" sqref="A1"/>
    </sheetView>
  </sheetViews>
  <sheetFormatPr defaultColWidth="10.57421875" customHeight="1" defaultRowHeight="14.25"/>
  <cols>
    <col min="1" max="1" style="6539" width="10.57421875" hidden="1"/>
    <col min="2" max="2" style="6539" width="11.00390625" hidden="1" customWidth="1"/>
    <col min="3" max="3" style="6539" width="10.57421875" hidden="1"/>
    <col min="4" max="4" style="6539" width="11.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4.140625" hidden="1" customWidth="1"/>
    <col min="10" max="10" style="6539" width="9.8515625" hidden="1" customWidth="1"/>
    <col min="11" max="11" style="6539" width="14.7109375" hidden="1" customWidth="1"/>
    <col min="12" max="12" style="7516" width="19.140625" hidden="1" customWidth="1"/>
    <col min="13" max="14" style="6617" width="12.28125" hidden="1" customWidth="1"/>
    <col min="15" max="15" style="6617" width="23.421875" hidden="1" customWidth="1"/>
    <col min="16" max="16" style="7517" width="3.7109375" customWidth="1"/>
    <col min="17" max="18" style="6619" width="3.7109375" customWidth="1"/>
    <col min="19" max="19" style="6620" width="12.7109375" customWidth="1"/>
    <col min="20" max="20" style="6104" width="35.7109375" customWidth="1"/>
    <col min="21" max="21" style="6104" width="0.140625" customWidth="1"/>
    <col min="22" max="24" style="6104" width="24.7109375" hidden="1" customWidth="1"/>
    <col min="25" max="25" style="6104" width="11.7109375" hidden="1" customWidth="1"/>
    <col min="26" max="26" style="6104" width="3.7109375" hidden="1" customWidth="1"/>
    <col min="27" max="27" style="6104" width="11.7109375" hidden="1" customWidth="1"/>
    <col min="28" max="28" style="6104" width="8.57421875" hidden="1" customWidth="1"/>
    <col min="29" max="31" style="6104" width="24.7109375" customWidth="1"/>
    <col min="32" max="32" style="6104" width="11.7109375" customWidth="1"/>
    <col min="33" max="33" style="6104" width="3.7109375" customWidth="1"/>
    <col min="34" max="34" style="6104" width="11.7109375" customWidth="1"/>
    <col min="35" max="35" style="6104" width="8.57421875" hidden="1" customWidth="1"/>
    <col min="36" max="36" style="6104" width="4.7109375" customWidth="1"/>
    <col min="37" max="37" style="6104" width="115.7109375" customWidth="1"/>
    <col min="38" max="39" style="6608" width="10.57421875"/>
    <col min="40" max="40" style="6608" width="11.140625" customWidth="1"/>
    <col min="41" max="42" style="6608" width="10.57421875"/>
  </cols>
  <sheetData>
    <row customHeight="1" ht="14.25" hidden="1">
      <c r="X1" s="475"/>
      <c r="Y1" s="475"/>
      <c r="AE1" s="475"/>
      <c r="AF1" s="475"/>
    </row>
    <row customHeight="1" ht="23.25" hidden="1">
      <c r="A2" s="1586"/>
      <c r="B2" s="1586"/>
      <c r="C2" s="1586"/>
      <c r="D2" s="1586"/>
      <c r="E2" s="2351">
        <v>1</v>
      </c>
      <c r="F2" s="1586"/>
      <c r="G2" s="1586"/>
      <c r="H2" s="1586"/>
      <c r="I2" s="1586"/>
      <c r="J2" s="1586"/>
      <c r="K2" s="1586"/>
      <c r="L2" s="1587"/>
      <c r="M2" s="1588"/>
      <c r="N2" s="1588"/>
      <c r="O2" s="1588"/>
      <c r="P2" s="509"/>
      <c r="Q2" s="508"/>
      <c r="R2" s="503"/>
      <c r="S2" s="1717">
        <f>INDEX(PT_DIFFERENTIATION_NUM_NTAR,MATCH(A2,PT_DIFFERENTIATION_NTAR_ID,0))</f>
      </c>
      <c r="T2" s="435" t="s">
        <v>132</v>
      </c>
      <c r="U2" s="437"/>
      <c r="V2" s="3964"/>
      <c r="W2" s="3965"/>
      <c r="X2" s="3965"/>
      <c r="Y2" s="3965"/>
      <c r="Z2" s="3965"/>
      <c r="AA2" s="3965"/>
      <c r="AB2" s="3966"/>
      <c r="AC2" s="3964">
        <f>INDEX(PT_DIFFERENTIATION_NTAR,MATCH(A2,PT_DIFFERENTIATION_NTAR_ID,0))</f>
      </c>
      <c r="AD2" s="3965"/>
      <c r="AE2" s="3965"/>
      <c r="AF2" s="3965"/>
      <c r="AG2" s="3965"/>
      <c r="AH2" s="3965"/>
      <c r="AI2" s="3965"/>
      <c r="AJ2" s="3966"/>
      <c r="AK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4"/>
      <c r="AN2" s="664" t="str">
        <f>IF(T2="","",T2)</f>
        <v>Наименование тарифа</v>
      </c>
      <c r="AO2" s="664"/>
      <c r="AP2" s="664"/>
    </row>
    <row customHeight="1" ht="23.25" hidden="1">
      <c r="A3" s="1586"/>
      <c r="B3" s="1586"/>
      <c r="C3" s="1586"/>
      <c r="D3" s="1586"/>
      <c r="E3" s="2352"/>
      <c r="F3" s="2351">
        <v>1</v>
      </c>
      <c r="G3" s="1586"/>
      <c r="H3" s="1586"/>
      <c r="I3" s="1586"/>
      <c r="J3" s="1586"/>
      <c r="K3" s="1586"/>
      <c r="L3" s="1587"/>
      <c r="M3" s="1588"/>
      <c r="N3" s="1588"/>
      <c r="O3" s="1588"/>
      <c r="P3" s="1711"/>
      <c r="Q3" s="500"/>
      <c r="R3" s="501"/>
      <c r="S3" s="1717">
        <f>INDEX(PT_DIFFERENTIATION_NUM_TER,MATCH(B3,PT_DIFFERENTIATION_TER_ID,0))</f>
      </c>
      <c r="T3" s="447" t="s">
        <v>1469</v>
      </c>
      <c r="U3" s="437"/>
      <c r="V3" s="3964"/>
      <c r="W3" s="3965"/>
      <c r="X3" s="3965"/>
      <c r="Y3" s="3965"/>
      <c r="Z3" s="3965"/>
      <c r="AA3" s="3965"/>
      <c r="AB3" s="3966"/>
      <c r="AC3" s="3964">
        <f>INDEX(PT_DIFFERENTIATION_TER,MATCH(B3,PT_DIFFERENTIATION_TER_ID,0))</f>
      </c>
      <c r="AD3" s="3965"/>
      <c r="AE3" s="3965"/>
      <c r="AF3" s="3965"/>
      <c r="AG3" s="3965"/>
      <c r="AH3" s="3965"/>
      <c r="AI3" s="3965"/>
      <c r="AJ3" s="3966"/>
      <c r="AK3" s="1473" t="s">
        <v>1470</v>
      </c>
      <c r="AM3" s="664"/>
      <c r="AN3" s="664" t="str">
        <f>IF(T3="","",T3)</f>
        <v>Территория действия тарифа</v>
      </c>
      <c r="AO3" s="664"/>
      <c r="AP3" s="664"/>
    </row>
    <row customHeight="1" ht="23.25" hidden="1">
      <c r="A4" s="1586"/>
      <c r="B4" s="1586"/>
      <c r="C4" s="1586"/>
      <c r="D4" s="1586"/>
      <c r="E4" s="2352"/>
      <c r="F4" s="2352"/>
      <c r="G4" s="2351">
        <v>1</v>
      </c>
      <c r="H4" s="1586"/>
      <c r="I4" s="1586"/>
      <c r="J4" s="1586"/>
      <c r="K4" s="1586"/>
      <c r="L4" s="1587"/>
      <c r="M4" s="1588"/>
      <c r="N4" s="1588"/>
      <c r="O4" s="1588"/>
      <c r="P4" s="502"/>
      <c r="Q4" s="500"/>
      <c r="R4" s="501"/>
      <c r="S4" s="1717">
        <f>INDEX(PT_DIFFERENTIATION_NUM_CS,MATCH(C4,PT_DIFFERENTIATION_CS_ID,0))</f>
      </c>
      <c r="T4" s="448" t="s">
        <v>2105</v>
      </c>
      <c r="U4" s="437"/>
      <c r="V4" s="3964"/>
      <c r="W4" s="3965"/>
      <c r="X4" s="3965"/>
      <c r="Y4" s="3965"/>
      <c r="Z4" s="3965"/>
      <c r="AA4" s="3965"/>
      <c r="AB4" s="3966"/>
      <c r="AC4" s="3964">
        <f>INDEX(PT_DIFFERENTIATION_CS,MATCH(C4,PT_DIFFERENTIATION_CS_ID,0))</f>
      </c>
      <c r="AD4" s="3965"/>
      <c r="AE4" s="3965"/>
      <c r="AF4" s="3965"/>
      <c r="AG4" s="3965"/>
      <c r="AH4" s="3965"/>
      <c r="AI4" s="3965"/>
      <c r="AJ4" s="3966"/>
      <c r="AK4" s="1473" t="s">
        <v>2106</v>
      </c>
      <c r="AM4" s="664"/>
      <c r="AN4" s="664" t="str">
        <f>IF(T4="","",T4)</f>
        <v>Наименование централизованной системы водоотведения</v>
      </c>
      <c r="AO4" s="664"/>
      <c r="AP4" s="664"/>
    </row>
    <row customHeight="1" ht="23.25" hidden="1">
      <c r="A5" s="1586"/>
      <c r="B5" s="1586"/>
      <c r="C5" s="1586"/>
      <c r="D5" s="1586"/>
      <c r="E5" s="2352"/>
      <c r="F5" s="2352"/>
      <c r="G5" s="2352"/>
      <c r="H5" s="2352"/>
      <c r="I5" s="2380">
        <f>S4&amp;".1"</f>
      </c>
      <c r="J5" s="1586"/>
      <c r="K5" s="1586"/>
      <c r="L5" s="1587"/>
      <c r="P5" s="2350">
        <v>1</v>
      </c>
      <c r="Q5" s="1705"/>
      <c r="R5" s="504"/>
      <c r="S5" s="1717">
        <f>$I5</f>
      </c>
      <c r="T5" s="422" t="s">
        <v>1687</v>
      </c>
      <c r="U5" s="437"/>
      <c r="V5" s="2501"/>
      <c r="W5" s="2502"/>
      <c r="X5" s="2502"/>
      <c r="Y5" s="2502"/>
      <c r="Z5" s="2502"/>
      <c r="AA5" s="2502"/>
      <c r="AB5" s="2503"/>
      <c r="AC5" s="2504"/>
      <c r="AD5" s="2505"/>
      <c r="AE5" s="2505"/>
      <c r="AF5" s="2505"/>
      <c r="AG5" s="2505"/>
      <c r="AH5" s="2505"/>
      <c r="AI5" s="2505"/>
      <c r="AJ5" s="2506"/>
      <c r="AK5" s="1473" t="s">
        <v>1688</v>
      </c>
      <c r="AM5" s="664"/>
      <c r="AN5" s="664" t="str">
        <f>IF(T5="","",T5)</f>
        <v>Наименование признака дифференциации</v>
      </c>
      <c r="AO5" s="664"/>
      <c r="AP5" s="664"/>
    </row>
    <row customHeight="1" ht="23.25" hidden="1">
      <c r="A6" s="1586"/>
      <c r="B6" s="1586"/>
      <c r="C6" s="1586"/>
      <c r="D6" s="1586"/>
      <c r="E6" s="2352"/>
      <c r="F6" s="2352"/>
      <c r="G6" s="2352"/>
      <c r="H6" s="2352"/>
      <c r="I6" s="2381"/>
      <c r="J6" s="2349">
        <f>I5&amp;".1"</f>
      </c>
      <c r="K6" s="1586"/>
      <c r="L6" s="1587" t="s">
        <v>1478</v>
      </c>
      <c r="P6" s="2350"/>
      <c r="Q6" s="2350">
        <v>1</v>
      </c>
      <c r="R6" s="505"/>
      <c r="S6" s="1717">
        <f>$J6</f>
      </c>
      <c r="T6" s="423" t="s">
        <v>1479</v>
      </c>
      <c r="U6" s="437"/>
      <c r="V6" s="2338"/>
      <c r="W6" s="2339"/>
      <c r="X6" s="2339"/>
      <c r="Y6" s="2339"/>
      <c r="Z6" s="2339"/>
      <c r="AA6" s="2339"/>
      <c r="AB6" s="2340"/>
      <c r="AC6" s="2338"/>
      <c r="AD6" s="2339"/>
      <c r="AE6" s="2339"/>
      <c r="AF6" s="2339"/>
      <c r="AG6" s="2339"/>
      <c r="AH6" s="2339"/>
      <c r="AI6" s="2339"/>
      <c r="AJ6" s="2340"/>
      <c r="AK6" s="1529" t="s">
        <v>1689</v>
      </c>
      <c r="AM6" s="664"/>
      <c r="AN6" s="664" t="str">
        <f>IF(T6="","",T6)</f>
        <v>Группа потребителей</v>
      </c>
      <c r="AO6" s="664"/>
      <c r="AP6" s="664"/>
    </row>
    <row customHeight="1" ht="23.25" hidden="1">
      <c r="A7" s="1586"/>
      <c r="B7" s="1586"/>
      <c r="C7" s="1586"/>
      <c r="D7" s="1586"/>
      <c r="E7" s="2352"/>
      <c r="F7" s="2352"/>
      <c r="G7" s="2352"/>
      <c r="H7" s="2352"/>
      <c r="I7" s="2381"/>
      <c r="J7" s="2382"/>
      <c r="K7" s="2349">
        <f>J6&amp;".1"</f>
      </c>
      <c r="L7" s="1587"/>
      <c r="P7" s="2350"/>
      <c r="Q7" s="2350"/>
      <c r="R7" s="505">
        <v>1</v>
      </c>
      <c r="S7" s="1717">
        <f>$K7</f>
      </c>
      <c r="T7" s="1661"/>
      <c r="U7" s="437"/>
      <c r="V7" s="3992"/>
      <c r="W7" s="3992"/>
      <c r="X7" s="3994"/>
      <c r="Y7" s="2357"/>
      <c r="Z7" s="2069" t="s">
        <v>66</v>
      </c>
      <c r="AA7" s="2357"/>
      <c r="AB7" s="2069" t="s">
        <v>66</v>
      </c>
      <c r="AC7" s="3992"/>
      <c r="AD7" s="3992"/>
      <c r="AE7" s="3994"/>
      <c r="AF7" s="2357"/>
      <c r="AG7" s="2069" t="s">
        <v>66</v>
      </c>
      <c r="AH7" s="2383"/>
      <c r="AI7" s="2069" t="s">
        <v>66</v>
      </c>
      <c r="AJ7" s="4496"/>
      <c r="AK7"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75">
        <f>STRCHECKDATE(V8:AJ8)</f>
      </c>
      <c r="AM7" s="664"/>
      <c r="AN7" s="664" t="str">
        <f>IF(T7="","",T7)</f>
        <v/>
      </c>
      <c r="AO7" s="664"/>
      <c r="AP7" s="664"/>
    </row>
    <row customHeight="1" ht="0.75" hidden="1">
      <c r="A8" s="1586"/>
      <c r="B8" s="1586"/>
      <c r="C8" s="1586"/>
      <c r="D8" s="1586"/>
      <c r="E8" s="2352"/>
      <c r="F8" s="2352"/>
      <c r="G8" s="2352"/>
      <c r="H8" s="2352"/>
      <c r="I8" s="2381"/>
      <c r="J8" s="2382"/>
      <c r="K8" s="2349"/>
      <c r="L8" s="1587"/>
      <c r="P8" s="2350"/>
      <c r="Q8" s="2350"/>
      <c r="R8" s="505"/>
      <c r="S8" s="1714"/>
      <c r="T8" s="437"/>
      <c r="U8" s="437"/>
      <c r="V8" s="3993"/>
      <c r="W8" s="3993"/>
      <c r="X8" s="3998" t="str">
        <f>Y7&amp;"-"&amp;AA7</f>
        <v>-</v>
      </c>
      <c r="Y8" s="2358"/>
      <c r="Z8" s="2069"/>
      <c r="AA8" s="2358"/>
      <c r="AB8" s="2069"/>
      <c r="AC8" s="3993"/>
      <c r="AD8" s="3993"/>
      <c r="AE8" s="3998" t="str">
        <f>AF7&amp;"-"&amp;AH7</f>
        <v>-</v>
      </c>
      <c r="AF8" s="2358"/>
      <c r="AG8" s="2069"/>
      <c r="AH8" s="2384"/>
      <c r="AI8" s="2069"/>
      <c r="AJ8" s="4499"/>
      <c r="AK8" s="2500"/>
      <c r="AM8" s="664"/>
      <c r="AN8" s="664" t="str">
        <f>IF(T8="","",T8)</f>
        <v/>
      </c>
      <c r="AO8" s="664"/>
      <c r="AP8" s="664"/>
    </row>
    <row customHeight="1" ht="21" hidden="1">
      <c r="A9" s="1586"/>
      <c r="B9" s="1586"/>
      <c r="C9" s="1586"/>
      <c r="D9" s="1586"/>
      <c r="E9" s="2352"/>
      <c r="F9" s="2352"/>
      <c r="G9" s="2352"/>
      <c r="H9" s="2352"/>
      <c r="I9" s="2381"/>
      <c r="J9" s="2349"/>
      <c r="K9" s="1586"/>
      <c r="L9" s="1587"/>
      <c r="P9" s="2350"/>
      <c r="Q9" s="2350"/>
      <c r="R9" s="504"/>
      <c r="S9" s="1495"/>
      <c r="T9" s="424" t="s">
        <v>1690</v>
      </c>
      <c r="U9" s="519"/>
      <c r="V9" s="519"/>
      <c r="W9" s="519"/>
      <c r="X9" s="519"/>
      <c r="Y9" s="519"/>
      <c r="Z9" s="519"/>
      <c r="AA9" s="519"/>
      <c r="AB9" s="519"/>
      <c r="AC9" s="519"/>
      <c r="AD9" s="519"/>
      <c r="AE9" s="519"/>
      <c r="AF9" s="519"/>
      <c r="AG9" s="519"/>
      <c r="AH9" s="519"/>
      <c r="AI9" s="519"/>
      <c r="AJ9" s="519"/>
      <c r="AK9" s="1473" t="s">
        <v>1691</v>
      </c>
      <c r="AM9" s="664"/>
      <c r="AN9" s="664" t="str">
        <f>IF(T9="","",T9)</f>
        <v>Добавить значение признака дифференциации</v>
      </c>
      <c r="AO9" s="664"/>
      <c r="AP9" s="664"/>
    </row>
    <row customHeight="1" ht="21" hidden="1">
      <c r="A10" s="1586"/>
      <c r="B10" s="1586"/>
      <c r="C10" s="1586"/>
      <c r="D10" s="1586"/>
      <c r="E10" s="2352"/>
      <c r="F10" s="2352"/>
      <c r="G10" s="2352"/>
      <c r="H10" s="2352"/>
      <c r="I10" s="2380"/>
      <c r="J10" s="1586"/>
      <c r="K10" s="1586"/>
      <c r="L10" s="1587"/>
      <c r="P10" s="2350"/>
      <c r="Q10" s="1705"/>
      <c r="R10" s="504"/>
      <c r="S10" s="1495"/>
      <c r="T10" s="516" t="s">
        <v>1484</v>
      </c>
      <c r="U10" s="519"/>
      <c r="V10" s="519"/>
      <c r="W10" s="519"/>
      <c r="X10" s="519"/>
      <c r="Y10" s="519"/>
      <c r="Z10" s="519"/>
      <c r="AA10" s="519"/>
      <c r="AB10" s="518"/>
      <c r="AC10" s="519"/>
      <c r="AD10" s="519"/>
      <c r="AE10" s="519"/>
      <c r="AF10" s="519"/>
      <c r="AG10" s="519"/>
      <c r="AH10" s="519"/>
      <c r="AI10" s="518"/>
      <c r="AJ10" s="519"/>
      <c r="AK10" s="1664"/>
      <c r="AM10" s="664"/>
      <c r="AN10" s="664" t="str">
        <f>IF(T10="","",T10)</f>
        <v>Добавить группу потребителей</v>
      </c>
      <c r="AO10" s="664"/>
      <c r="AP10" s="664"/>
    </row>
    <row customHeight="1" ht="21" hidden="1">
      <c r="A11" s="1586"/>
      <c r="B11" s="1586"/>
      <c r="C11" s="1586"/>
      <c r="D11" s="1586"/>
      <c r="E11" s="2352"/>
      <c r="F11" s="2352"/>
      <c r="G11" s="2352"/>
      <c r="H11" s="2351"/>
      <c r="I11" s="1586"/>
      <c r="J11" s="1586"/>
      <c r="K11" s="1586"/>
      <c r="L11" s="1587"/>
      <c r="M11" s="1588"/>
      <c r="N11" s="1588"/>
      <c r="O11" s="701"/>
      <c r="P11" s="508"/>
      <c r="Q11" s="528"/>
      <c r="R11" s="503"/>
      <c r="S11" s="1495"/>
      <c r="T11" s="524" t="s">
        <v>1692</v>
      </c>
      <c r="U11" s="519"/>
      <c r="V11" s="519"/>
      <c r="W11" s="519"/>
      <c r="X11" s="519"/>
      <c r="Y11" s="519"/>
      <c r="Z11" s="519"/>
      <c r="AA11" s="519"/>
      <c r="AB11" s="518"/>
      <c r="AC11" s="519"/>
      <c r="AD11" s="519"/>
      <c r="AE11" s="519"/>
      <c r="AF11" s="519"/>
      <c r="AG11" s="519"/>
      <c r="AH11" s="519"/>
      <c r="AI11" s="518"/>
      <c r="AJ11" s="519"/>
      <c r="AK11" s="440"/>
      <c r="AM11" s="664"/>
      <c r="AN11" s="664" t="str">
        <f>IF(T11="","",T11)</f>
        <v>Добавить наименование признака дифференциации</v>
      </c>
      <c r="AO11" s="664"/>
      <c r="AP11" s="664"/>
    </row>
    <row s="6520" customFormat="1" customHeight="1" ht="0.75" hidden="1">
      <c r="A12" s="1565"/>
      <c r="B12" s="1565"/>
      <c r="C12" s="1536"/>
      <c r="D12" s="1536"/>
      <c r="E12" s="2352"/>
      <c r="F12" s="2351"/>
      <c r="G12" s="1536"/>
      <c r="H12" s="1536"/>
      <c r="I12" s="1536"/>
      <c r="J12" s="1536"/>
      <c r="K12" s="1536"/>
      <c r="L12" s="1718"/>
      <c r="M12" s="1543"/>
      <c r="N12" s="1543"/>
      <c r="P12" s="1538"/>
      <c r="Q12" s="1539"/>
      <c r="R12" s="1538"/>
      <c r="S12" s="1544"/>
      <c r="T12" s="1547" t="s">
        <v>1445</v>
      </c>
      <c r="U12" s="1546"/>
      <c r="V12" s="1546"/>
      <c r="W12" s="1546"/>
      <c r="X12" s="1546"/>
      <c r="Y12" s="1546"/>
      <c r="Z12" s="1546"/>
      <c r="AA12" s="1546"/>
      <c r="AB12" s="1546"/>
      <c r="AC12" s="1546"/>
      <c r="AD12" s="1546"/>
      <c r="AE12" s="1546"/>
      <c r="AF12" s="1546"/>
      <c r="AG12" s="1546"/>
      <c r="AH12" s="1546"/>
      <c r="AI12" s="1546"/>
      <c r="AJ12" s="1546"/>
      <c r="AK12" s="1546"/>
      <c r="AM12" s="956"/>
      <c r="AN12" s="956" t="str">
        <f>IF(T12="","",T12)</f>
        <v>Добавить централизованную систему для дифференциации</v>
      </c>
      <c r="AO12" s="956"/>
      <c r="AP12" s="956"/>
    </row>
    <row s="6608" customFormat="1" customHeight="1" ht="0.75" hidden="1">
      <c r="A13" s="1565"/>
      <c r="B13" s="1565"/>
      <c r="C13" s="1565"/>
      <c r="D13" s="1565"/>
      <c r="E13" s="2351"/>
      <c r="F13" s="1565"/>
      <c r="G13" s="1565"/>
      <c r="H13" s="1565"/>
      <c r="I13" s="1565"/>
      <c r="J13" s="1565"/>
      <c r="K13" s="1565"/>
      <c r="L13" s="1568"/>
      <c r="M13" s="1543"/>
      <c r="N13" s="1543"/>
      <c r="O13" s="682"/>
      <c r="P13" s="537"/>
      <c r="Q13" s="1566"/>
      <c r="R13" s="537"/>
      <c r="S13" s="1544"/>
      <c r="T13" s="1547" t="s">
        <v>1446</v>
      </c>
      <c r="U13" s="1546"/>
      <c r="V13" s="1546"/>
      <c r="W13" s="1546"/>
      <c r="X13" s="1546"/>
      <c r="Y13" s="1546"/>
      <c r="Z13" s="1546"/>
      <c r="AA13" s="1546"/>
      <c r="AB13" s="1546"/>
      <c r="AC13" s="1546"/>
      <c r="AD13" s="1546"/>
      <c r="AE13" s="1546"/>
      <c r="AF13" s="1546"/>
      <c r="AG13" s="1546"/>
      <c r="AH13" s="1546"/>
      <c r="AI13" s="1546"/>
      <c r="AJ13" s="1546"/>
      <c r="AK13" s="1546"/>
      <c r="AM13" s="664"/>
      <c r="AN13" s="664" t="str">
        <f>IF(T13="","",T13)</f>
        <v>Добавить территорию для дифференциации</v>
      </c>
      <c r="AO13" s="664"/>
      <c r="AP13" s="664"/>
    </row>
    <row customHeight="1" ht="14.25" hidden="1">
      <c r="AB14" s="475"/>
      <c r="AI14" s="475"/>
    </row>
    <row customHeight="1" ht="14.25" hidden="1">
      <c r="AC15" s="4025"/>
      <c r="AD15" s="4025"/>
      <c r="AE15" s="4026"/>
      <c r="AF15" s="2359"/>
      <c r="AG15" s="2360" t="s">
        <v>66</v>
      </c>
      <c r="AH15" s="2359"/>
      <c r="AI15" s="2360" t="s">
        <v>66</v>
      </c>
    </row>
    <row customHeight="1" ht="14.25" hidden="1">
      <c r="AC16" s="4025"/>
      <c r="AD16" s="4025"/>
      <c r="AE16" s="3998" t="str">
        <f>AF15&amp;"-"&amp;AH15</f>
        <v>-</v>
      </c>
      <c r="AF16" s="2360"/>
      <c r="AG16" s="2360"/>
      <c r="AH16" s="2360"/>
      <c r="AI16" s="2360"/>
    </row>
    <row customHeight="1" ht="14.25" hidden="1">
      <c r="AI17" s="475"/>
    </row>
    <row s="6539" customFormat="1" customHeight="1" ht="14.25" hidden="1">
      <c r="L18" s="1702"/>
      <c r="M18" s="1585"/>
      <c r="N18" s="1585"/>
      <c r="O18" s="1590" t="s">
        <v>1486</v>
      </c>
      <c r="P18" s="1585"/>
      <c r="Q18" s="1594"/>
      <c r="R18" s="1594"/>
      <c r="S18" s="894"/>
      <c r="Y18" s="1590"/>
      <c r="AA18" s="1590"/>
      <c r="AB18" s="1589"/>
      <c r="AF18" s="1590"/>
      <c r="AH18" s="1590"/>
      <c r="AI18" s="1589"/>
      <c r="AL18" s="675"/>
      <c r="AM18" s="675"/>
      <c r="AN18" s="675"/>
      <c r="AO18" s="675"/>
      <c r="AP18" s="675"/>
    </row>
    <row s="6539" customFormat="1" customHeight="1" ht="14.25" hidden="1">
      <c r="L19" s="1702"/>
      <c r="M19" s="1585"/>
      <c r="N19" s="1585"/>
      <c r="O19" s="1585"/>
      <c r="P19" s="1585"/>
      <c r="Q19" s="1594"/>
      <c r="R19" s="1594"/>
      <c r="S19" s="894"/>
      <c r="AB19" s="1589"/>
      <c r="AI19" s="1589"/>
      <c r="AL19" s="675"/>
      <c r="AM19" s="675"/>
      <c r="AN19" s="675"/>
      <c r="AO19" s="675"/>
      <c r="AP19" s="675"/>
    </row>
    <row s="6539" customFormat="1" customHeight="1" ht="12" hidden="1">
      <c r="L20" s="1702"/>
      <c r="M20" s="1585"/>
      <c r="N20" s="1585"/>
      <c r="O20" s="1587" t="s">
        <v>1487</v>
      </c>
      <c r="P20" s="1585"/>
      <c r="Q20" s="1666"/>
      <c r="R20" s="1666"/>
      <c r="S20" s="894"/>
      <c r="T20" s="1348" t="s">
        <v>1488</v>
      </c>
      <c r="Z20" s="320" t="s">
        <v>1489</v>
      </c>
      <c r="AB20" s="320" t="s">
        <v>1490</v>
      </c>
      <c r="AC20" s="1348" t="s">
        <v>1488</v>
      </c>
      <c r="AG20" s="320" t="s">
        <v>1491</v>
      </c>
      <c r="AI20" s="320" t="s">
        <v>1490</v>
      </c>
    </row>
    <row customHeight="1" ht="14.25" hidden="1">
      <c r="O21" s="1587"/>
    </row>
    <row customHeight="1" ht="14.25" hidden="1">
      <c r="O22" s="1587"/>
    </row>
    <row customHeight="1" ht="14.25">
      <c r="Q23" s="529"/>
      <c r="R23" s="529"/>
      <c r="S23" s="1492"/>
      <c r="T23" s="513"/>
      <c r="U23" s="513"/>
      <c r="V23" s="673"/>
      <c r="W23" s="673"/>
      <c r="X23" s="673"/>
      <c r="Y23" s="673"/>
      <c r="Z23" s="673"/>
      <c r="AA23" s="673"/>
      <c r="AB23" s="673"/>
      <c r="AC23" s="673"/>
      <c r="AD23" s="673"/>
      <c r="AE23" s="673"/>
      <c r="AF23" s="673"/>
      <c r="AG23" s="673"/>
      <c r="AH23" s="673"/>
      <c r="AI23" s="673"/>
    </row>
    <row customHeight="1" ht="32.25">
      <c r="Q24" s="529"/>
      <c r="R24" s="529"/>
      <c r="S24" s="2341" t="str">
        <f>IF(TEMPLATE_GROUP="P",PT_P_FORM_VOTV_4_NAME_FORM,PT_R_FORM_VOTV_16_NAME_FORM)</f>
        <v>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v>
      </c>
      <c r="T24" s="2341"/>
      <c r="U24" s="2341"/>
      <c r="V24" s="2341"/>
      <c r="W24" s="2341"/>
      <c r="X24" s="2341"/>
      <c r="Y24" s="2341"/>
      <c r="Z24" s="2341"/>
      <c r="AA24" s="2341"/>
      <c r="AB24" s="2341"/>
      <c r="AC24" s="2341"/>
      <c r="AD24" s="2341"/>
      <c r="AE24" s="2341"/>
      <c r="AF24" s="2341"/>
      <c r="AG24" s="2341"/>
      <c r="AH24" s="2341"/>
      <c r="AI24" s="1448"/>
    </row>
    <row customHeight="1" ht="14.25">
      <c r="Q25" s="529"/>
      <c r="R25" s="529"/>
      <c r="S25"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5" s="2342"/>
      <c r="U25" s="2342"/>
      <c r="V25" s="2342"/>
      <c r="W25" s="2342"/>
      <c r="X25" s="2342"/>
      <c r="Y25" s="2342"/>
      <c r="Z25" s="2342"/>
      <c r="AA25" s="2342"/>
      <c r="AB25" s="2342"/>
      <c r="AC25" s="2342"/>
      <c r="AD25" s="2342"/>
      <c r="AE25" s="2342"/>
      <c r="AF25" s="2342"/>
      <c r="AG25" s="2342"/>
      <c r="AH25" s="2342"/>
      <c r="AI25" s="1448"/>
    </row>
    <row customHeight="1" ht="14.25" hidden="1">
      <c r="Q26" s="529"/>
      <c r="R26" s="529"/>
      <c r="S26" s="1492"/>
      <c r="T26" s="513"/>
      <c r="U26" s="513"/>
      <c r="V26" s="468"/>
      <c r="W26" s="468"/>
      <c r="X26" s="468"/>
      <c r="Y26" s="468"/>
      <c r="Z26" s="468"/>
      <c r="AA26" s="468"/>
      <c r="AB26" s="468"/>
      <c r="AC26" s="468"/>
      <c r="AD26" s="468"/>
      <c r="AE26" s="468"/>
      <c r="AF26" s="468"/>
      <c r="AG26" s="468"/>
      <c r="AH26" s="468"/>
      <c r="AI26" s="468"/>
      <c r="AJ26" s="673"/>
    </row>
    <row s="6550" customFormat="1" customHeight="1" ht="25.5" hidden="1">
      <c r="A27" s="1591"/>
      <c r="B27" s="1591"/>
      <c r="C27" s="1591"/>
      <c r="D27" s="1591"/>
      <c r="E27" s="1591"/>
      <c r="F27" s="1591"/>
      <c r="G27" s="1591"/>
      <c r="H27" s="1591"/>
      <c r="I27" s="1591"/>
      <c r="J27" s="1591"/>
      <c r="K27" s="1591"/>
      <c r="L27" s="1592"/>
      <c r="M27" s="1591"/>
      <c r="N27" s="1591"/>
      <c r="O27" s="1591"/>
      <c r="S27" s="2343" t="s">
        <v>39</v>
      </c>
      <c r="T27" s="2343"/>
      <c r="U27" s="1595"/>
      <c r="V27" s="2344" t="str">
        <f>IF(TITLE_NAME_OR_PR_CHANGE="",IF(TITLE_NAME_OR_PR="","",TITLE_NAME_OR_PR),TITLE_NAME_OR_PR_CHANGE)</f>
        <v/>
      </c>
      <c r="W27" s="2344"/>
      <c r="X27" s="2344"/>
      <c r="Y27" s="2344"/>
      <c r="Z27" s="2344"/>
      <c r="AA27" s="2344"/>
      <c r="AB27" s="474"/>
      <c r="AC27" s="2344" t="str">
        <f>IF(TITLE_NAME_OR_PR_CHANGE="",IF(TITLE_NAME_OR_PR="","",TITLE_NAME_OR_PR),TITLE_NAME_OR_PR_CHANGE)</f>
        <v/>
      </c>
      <c r="AD27" s="2344"/>
      <c r="AE27" s="2344"/>
      <c r="AF27" s="2344"/>
      <c r="AG27" s="2344"/>
      <c r="AH27" s="2344"/>
      <c r="AI27" s="474"/>
      <c r="AJ27" s="474"/>
      <c r="AK27" s="417"/>
      <c r="AL27" s="520"/>
      <c r="AM27" s="520"/>
      <c r="AN27" s="520"/>
      <c r="AO27" s="520"/>
      <c r="AP27" s="520"/>
    </row>
    <row s="6550" customFormat="1" customHeight="1" ht="18.75" hidden="1">
      <c r="A28" s="1591"/>
      <c r="B28" s="1591"/>
      <c r="C28" s="1591"/>
      <c r="D28" s="1591"/>
      <c r="E28" s="1591"/>
      <c r="F28" s="1591"/>
      <c r="G28" s="1591"/>
      <c r="H28" s="1591"/>
      <c r="I28" s="1591"/>
      <c r="J28" s="1591"/>
      <c r="K28" s="1591"/>
      <c r="L28" s="1592"/>
      <c r="M28" s="1591"/>
      <c r="N28" s="1591"/>
      <c r="O28" s="1591"/>
      <c r="S28" s="2343" t="s">
        <v>1492</v>
      </c>
      <c r="T28" s="2343"/>
      <c r="U28" s="1595"/>
      <c r="V28" s="2344" t="str">
        <f>IF(TITLE_DATE_CHANGE_PERIOD="",IF(TITLE_DATE_PR="","",TITLE_DATE_PR),TITLE_DATE_CHANGE_PERIOD)</f>
        <v/>
      </c>
      <c r="W28" s="2344"/>
      <c r="X28" s="2344"/>
      <c r="Y28" s="2344"/>
      <c r="Z28" s="2344"/>
      <c r="AA28" s="2344"/>
      <c r="AB28" s="474"/>
      <c r="AC28" s="2344" t="str">
        <f>IF(TITLE_DATE_CHANGE_PERIOD="",IF(TITLE_DATE_PR="","",TITLE_DATE_PR),TITLE_DATE_CHANGE_PERIOD)</f>
        <v/>
      </c>
      <c r="AD28" s="2344"/>
      <c r="AE28" s="2344"/>
      <c r="AF28" s="2344"/>
      <c r="AG28" s="2344"/>
      <c r="AH28" s="2344"/>
      <c r="AI28" s="474"/>
      <c r="AJ28" s="474"/>
      <c r="AK28" s="417"/>
      <c r="AL28" s="520"/>
      <c r="AM28" s="520"/>
      <c r="AN28" s="520"/>
      <c r="AO28" s="520"/>
      <c r="AP28" s="520"/>
    </row>
    <row s="6550" customFormat="1" customHeight="1" ht="18.75" hidden="1">
      <c r="A29" s="1591"/>
      <c r="B29" s="1591"/>
      <c r="C29" s="1591"/>
      <c r="D29" s="1591"/>
      <c r="E29" s="1591"/>
      <c r="F29" s="1591"/>
      <c r="G29" s="1591"/>
      <c r="H29" s="1591"/>
      <c r="I29" s="1591"/>
      <c r="J29" s="1591"/>
      <c r="K29" s="1591"/>
      <c r="L29" s="1592"/>
      <c r="M29" s="1591"/>
      <c r="N29" s="1591"/>
      <c r="O29" s="1591"/>
      <c r="S29" s="2343" t="s">
        <v>1493</v>
      </c>
      <c r="T29" s="2343"/>
      <c r="U29" s="1595"/>
      <c r="V29" s="2344" t="str">
        <f>IF(TITLE_NUMBER_PR_CHANGE="",IF(TITLE_NUMBER_PR="","",TITLE_NUMBER_PR),TITLE_NUMBER_PR_CHANGE)</f>
        <v/>
      </c>
      <c r="W29" s="2344"/>
      <c r="X29" s="2344"/>
      <c r="Y29" s="2344"/>
      <c r="Z29" s="2344"/>
      <c r="AA29" s="2344"/>
      <c r="AB29" s="474"/>
      <c r="AC29" s="2344" t="str">
        <f>IF(TITLE_NUMBER_PR_CHANGE="",IF(TITLE_NUMBER_PR="","",TITLE_NUMBER_PR),TITLE_NUMBER_PR_CHANGE)</f>
        <v/>
      </c>
      <c r="AD29" s="2344"/>
      <c r="AE29" s="2344"/>
      <c r="AF29" s="2344"/>
      <c r="AG29" s="2344"/>
      <c r="AH29" s="2344"/>
      <c r="AI29" s="474"/>
      <c r="AJ29" s="474"/>
      <c r="AK29" s="417"/>
      <c r="AL29" s="520"/>
      <c r="AM29" s="520"/>
      <c r="AN29" s="520"/>
      <c r="AO29" s="520"/>
      <c r="AP29" s="520"/>
    </row>
    <row s="6550" customFormat="1" customHeight="1" ht="18.75" hidden="1">
      <c r="A30" s="1591"/>
      <c r="B30" s="1591"/>
      <c r="C30" s="1591"/>
      <c r="D30" s="1591"/>
      <c r="E30" s="1591"/>
      <c r="F30" s="1591"/>
      <c r="G30" s="1591"/>
      <c r="H30" s="1591"/>
      <c r="I30" s="1591"/>
      <c r="J30" s="1591"/>
      <c r="K30" s="1591"/>
      <c r="L30" s="1592"/>
      <c r="M30" s="1591"/>
      <c r="N30" s="1591"/>
      <c r="O30" s="1591"/>
      <c r="S30" s="2343" t="s">
        <v>40</v>
      </c>
      <c r="T30" s="2343"/>
      <c r="U30" s="1595"/>
      <c r="V30" s="2344" t="str">
        <f>IF(TITLE_IST_PUB_CHANGE="",IF(TITLE_IST_PUB="","",TITLE_IST_PUB),TITLE_IST_PUB_CHANGE)</f>
        <v/>
      </c>
      <c r="W30" s="2344"/>
      <c r="X30" s="2344"/>
      <c r="Y30" s="2344"/>
      <c r="Z30" s="2344"/>
      <c r="AA30" s="2344"/>
      <c r="AB30" s="474"/>
      <c r="AC30" s="2344" t="str">
        <f>IF(TITLE_IST_PUB_CHANGE="",IF(TITLE_IST_PUB="","",TITLE_IST_PUB),TITLE_IST_PUB_CHANGE)</f>
        <v/>
      </c>
      <c r="AD30" s="2344"/>
      <c r="AE30" s="2344"/>
      <c r="AF30" s="2344"/>
      <c r="AG30" s="2344"/>
      <c r="AH30" s="2344"/>
      <c r="AI30" s="474"/>
      <c r="AJ30" s="474"/>
      <c r="AK30" s="417"/>
      <c r="AL30" s="520"/>
      <c r="AM30" s="520"/>
      <c r="AN30" s="520"/>
      <c r="AO30" s="520"/>
      <c r="AP30" s="520"/>
    </row>
    <row customHeight="1" ht="14.25" hidden="1">
      <c r="Q31" s="529"/>
      <c r="R31" s="529"/>
      <c r="S31" s="1492"/>
      <c r="T31" s="513"/>
      <c r="U31" s="513"/>
      <c r="V31" s="468"/>
      <c r="W31" s="468"/>
      <c r="X31" s="468"/>
      <c r="Y31" s="468"/>
      <c r="Z31" s="468"/>
      <c r="AA31" s="468"/>
      <c r="AB31" s="468"/>
      <c r="AC31" s="468"/>
      <c r="AD31" s="468"/>
      <c r="AE31" s="468"/>
      <c r="AF31" s="468"/>
      <c r="AG31" s="468"/>
      <c r="AH31" s="468"/>
      <c r="AI31" s="468"/>
      <c r="AJ31" s="673"/>
    </row>
    <row s="6550" customFormat="1" customHeight="1" ht="18.75" hidden="1">
      <c r="A32" s="1591"/>
      <c r="B32" s="1591"/>
      <c r="C32" s="1591"/>
      <c r="D32" s="1591"/>
      <c r="E32" s="1591"/>
      <c r="F32" s="1591"/>
      <c r="G32" s="1591"/>
      <c r="H32" s="1591"/>
      <c r="I32" s="1591"/>
      <c r="J32" s="1591"/>
      <c r="K32" s="1591"/>
      <c r="L32" s="1592"/>
      <c r="M32" s="1591"/>
      <c r="N32" s="1591"/>
      <c r="O32" s="1591"/>
      <c r="S32" s="2343" t="s">
        <v>1494</v>
      </c>
      <c r="T32" s="2343"/>
      <c r="U32" s="1595"/>
      <c r="V32" s="2344" t="str">
        <f>IF(TITLE_DATE_CHANGE_PERIOD="",IF(TITLE_DATE_PR="","",TITLE_DATE_PR),TITLE_DATE_CHANGE_PERIOD)</f>
        <v/>
      </c>
      <c r="W32" s="2344"/>
      <c r="X32" s="2344"/>
      <c r="Y32" s="2344"/>
      <c r="Z32" s="2344"/>
      <c r="AA32" s="2344"/>
      <c r="AB32" s="474"/>
      <c r="AC32" s="2344" t="str">
        <f>IF(TITLE_DATE_CHANGE_PERIOD="",IF(TITLE_DATE_PR="","",TITLE_DATE_PR),TITLE_DATE_CHANGE_PERIOD)</f>
        <v/>
      </c>
      <c r="AD32" s="2344"/>
      <c r="AE32" s="2344"/>
      <c r="AF32" s="2344"/>
      <c r="AG32" s="2344"/>
      <c r="AH32" s="2344"/>
      <c r="AI32" s="474"/>
      <c r="AJ32" s="474"/>
      <c r="AK32" s="417"/>
      <c r="AL32" s="520"/>
      <c r="AM32" s="520"/>
      <c r="AN32" s="520"/>
      <c r="AO32" s="520"/>
      <c r="AP32" s="520"/>
    </row>
    <row s="6550" customFormat="1" customHeight="1" ht="18.75" hidden="1">
      <c r="A33" s="1591"/>
      <c r="B33" s="1591"/>
      <c r="C33" s="1591"/>
      <c r="D33" s="1591"/>
      <c r="E33" s="1591"/>
      <c r="F33" s="1591"/>
      <c r="G33" s="1591"/>
      <c r="H33" s="1591"/>
      <c r="I33" s="1591"/>
      <c r="J33" s="1591"/>
      <c r="K33" s="1591"/>
      <c r="L33" s="1592"/>
      <c r="M33" s="1591"/>
      <c r="N33" s="1591"/>
      <c r="O33" s="1591"/>
      <c r="S33" s="2343" t="s">
        <v>1495</v>
      </c>
      <c r="T33" s="2343"/>
      <c r="U33" s="1595"/>
      <c r="V33" s="2344" t="str">
        <f>IF(TITLE_NUMBER_PR_CHANGE="",IF(TITLE_NUMBER_PR="","",TITLE_NUMBER_PR),TITLE_NUMBER_PR_CHANGE)</f>
        <v/>
      </c>
      <c r="W33" s="2344"/>
      <c r="X33" s="2344"/>
      <c r="Y33" s="2344"/>
      <c r="Z33" s="2344"/>
      <c r="AA33" s="2344"/>
      <c r="AB33" s="474"/>
      <c r="AC33" s="2344" t="str">
        <f>IF(TITLE_NUMBER_PR_CHANGE="",IF(TITLE_NUMBER_PR="","",TITLE_NUMBER_PR),TITLE_NUMBER_PR_CHANGE)</f>
        <v/>
      </c>
      <c r="AD33" s="2344"/>
      <c r="AE33" s="2344"/>
      <c r="AF33" s="2344"/>
      <c r="AG33" s="2344"/>
      <c r="AH33" s="2344"/>
      <c r="AI33" s="474"/>
      <c r="AJ33" s="474"/>
      <c r="AK33" s="417"/>
      <c r="AL33" s="520"/>
      <c r="AM33" s="520"/>
      <c r="AN33" s="520"/>
      <c r="AO33" s="520"/>
      <c r="AP33" s="520"/>
    </row>
    <row s="6550" customFormat="1" customHeight="1" ht="0.75">
      <c r="A34" s="1591"/>
      <c r="B34" s="1591"/>
      <c r="C34" s="1591"/>
      <c r="D34" s="1591"/>
      <c r="E34" s="1591"/>
      <c r="F34" s="1591"/>
      <c r="G34" s="1591"/>
      <c r="H34" s="1591"/>
      <c r="I34" s="1591"/>
      <c r="J34" s="1591"/>
      <c r="K34" s="1591"/>
      <c r="L34" s="1592"/>
      <c r="M34" s="1591"/>
      <c r="N34" s="1591"/>
      <c r="O34" s="1591"/>
      <c r="S34" s="470"/>
      <c r="T34" s="470"/>
      <c r="U34" s="1712"/>
      <c r="V34" s="474"/>
      <c r="W34" s="474"/>
      <c r="X34" s="474"/>
      <c r="Y34" s="474"/>
      <c r="Z34" s="474"/>
      <c r="AA34" s="474"/>
      <c r="AB34" s="415" t="s">
        <v>1496</v>
      </c>
      <c r="AC34" s="474"/>
      <c r="AD34" s="474"/>
      <c r="AE34" s="474"/>
      <c r="AF34" s="474"/>
      <c r="AG34" s="474"/>
      <c r="AH34" s="474"/>
      <c r="AI34" s="415" t="s">
        <v>1496</v>
      </c>
      <c r="AL34" s="520"/>
      <c r="AM34" s="520"/>
      <c r="AN34" s="520"/>
      <c r="AO34" s="520"/>
      <c r="AP34" s="520"/>
    </row>
    <row customHeight="1" ht="14.25">
      <c r="Q35" s="529"/>
      <c r="R35" s="529"/>
      <c r="S35" s="1492"/>
      <c r="T35" s="513"/>
      <c r="U35" s="1449"/>
      <c r="V35" s="2345"/>
      <c r="W35" s="2345"/>
      <c r="X35" s="2345"/>
      <c r="Y35" s="2345"/>
      <c r="Z35" s="2345"/>
      <c r="AA35" s="2345"/>
      <c r="AB35" s="2345"/>
      <c r="AC35" s="2345"/>
      <c r="AD35" s="2345"/>
      <c r="AE35" s="2345"/>
      <c r="AF35" s="2345"/>
      <c r="AG35" s="2345"/>
      <c r="AH35" s="2345"/>
      <c r="AI35" s="2345"/>
    </row>
    <row customHeight="1" ht="14.25">
      <c r="Q36" s="529"/>
      <c r="R36" s="529"/>
      <c r="S36" s="2204" t="s">
        <v>300</v>
      </c>
      <c r="T36" s="2204"/>
      <c r="U36" s="2204"/>
      <c r="V36" s="2204"/>
      <c r="W36" s="2204"/>
      <c r="X36" s="2204"/>
      <c r="Y36" s="2204"/>
      <c r="Z36" s="2204"/>
      <c r="AA36" s="2204"/>
      <c r="AB36" s="2204"/>
      <c r="AC36" s="2204"/>
      <c r="AD36" s="2204"/>
      <c r="AE36" s="2204"/>
      <c r="AF36" s="2204"/>
      <c r="AG36" s="2204"/>
      <c r="AH36" s="2204"/>
      <c r="AI36" s="2204"/>
      <c r="AJ36" s="2204"/>
      <c r="AK36" s="2204" t="s">
        <v>301</v>
      </c>
    </row>
    <row customHeight="1" ht="14.25">
      <c r="Q37" s="529"/>
      <c r="R37" s="529"/>
      <c r="S37" s="2367" t="s">
        <v>87</v>
      </c>
      <c r="T37" s="2228" t="s">
        <v>1497</v>
      </c>
      <c r="U37" s="438"/>
      <c r="V37" s="2368" t="s">
        <v>1498</v>
      </c>
      <c r="W37" s="2369"/>
      <c r="X37" s="2369"/>
      <c r="Y37" s="2369"/>
      <c r="Z37" s="2369"/>
      <c r="AA37" s="2370"/>
      <c r="AB37" s="2371" t="s">
        <v>1499</v>
      </c>
      <c r="AC37" s="2368" t="s">
        <v>1498</v>
      </c>
      <c r="AD37" s="2369"/>
      <c r="AE37" s="2369"/>
      <c r="AF37" s="2369"/>
      <c r="AG37" s="2369"/>
      <c r="AH37" s="2370"/>
      <c r="AI37" s="2371" t="s">
        <v>1500</v>
      </c>
      <c r="AJ37" s="2374" t="s">
        <v>1501</v>
      </c>
      <c r="AK37" s="2204"/>
    </row>
    <row customHeight="1" ht="33.75">
      <c r="Q38" s="529"/>
      <c r="R38" s="529"/>
      <c r="S38" s="2367"/>
      <c r="T38" s="2228"/>
      <c r="U38" s="1216"/>
      <c r="V38" s="1707" t="s">
        <v>1693</v>
      </c>
      <c r="W38" s="2355" t="s">
        <v>1504</v>
      </c>
      <c r="X38" s="2356"/>
      <c r="Y38" s="2361" t="s">
        <v>1505</v>
      </c>
      <c r="Z38" s="2362"/>
      <c r="AA38" s="2363"/>
      <c r="AB38" s="2372"/>
      <c r="AC38" s="1707" t="s">
        <v>1693</v>
      </c>
      <c r="AD38" s="2355" t="s">
        <v>1504</v>
      </c>
      <c r="AE38" s="2356"/>
      <c r="AF38" s="2361" t="s">
        <v>1505</v>
      </c>
      <c r="AG38" s="2362"/>
      <c r="AH38" s="2363"/>
      <c r="AI38" s="2372"/>
      <c r="AJ38" s="2375"/>
      <c r="AK38" s="2204"/>
    </row>
    <row customHeight="1" ht="86.25">
      <c r="A39" s="1593"/>
      <c r="B39" s="1593" t="s">
        <v>144</v>
      </c>
      <c r="C39" s="1593" t="s">
        <v>145</v>
      </c>
      <c r="D39" s="1593" t="s">
        <v>146</v>
      </c>
      <c r="E39" s="1587" t="s">
        <v>1506</v>
      </c>
      <c r="F39" s="1587" t="s">
        <v>1507</v>
      </c>
      <c r="G39" s="1587" t="s">
        <v>1508</v>
      </c>
      <c r="H39" s="1587"/>
      <c r="I39" s="1587" t="s">
        <v>1694</v>
      </c>
      <c r="J39" s="1587" t="s">
        <v>1511</v>
      </c>
      <c r="K39" s="1587" t="s">
        <v>1695</v>
      </c>
      <c r="L39" s="1587" t="s">
        <v>1487</v>
      </c>
      <c r="Q39" s="529"/>
      <c r="R39" s="529"/>
      <c r="S39" s="2367"/>
      <c r="T39" s="2228"/>
      <c r="U39" s="439"/>
      <c r="V39" s="1707" t="s">
        <v>2107</v>
      </c>
      <c r="W39" s="1424" t="s">
        <v>2108</v>
      </c>
      <c r="X39" s="1424" t="s">
        <v>1698</v>
      </c>
      <c r="Y39" s="1713" t="s">
        <v>1515</v>
      </c>
      <c r="Z39" s="2364" t="s">
        <v>1516</v>
      </c>
      <c r="AA39" s="2365"/>
      <c r="AB39" s="2373"/>
      <c r="AC39" s="1707" t="s">
        <v>2107</v>
      </c>
      <c r="AD39" s="1424" t="s">
        <v>2108</v>
      </c>
      <c r="AE39" s="1424" t="s">
        <v>1698</v>
      </c>
      <c r="AF39" s="1713" t="s">
        <v>1515</v>
      </c>
      <c r="AG39" s="2364" t="s">
        <v>1516</v>
      </c>
      <c r="AH39" s="2365"/>
      <c r="AI39" s="2373"/>
      <c r="AJ39" s="2376"/>
      <c r="AK39" s="2204"/>
    </row>
    <row s="5794" customFormat="1" customHeight="1" ht="11.25" hidden="1">
      <c r="A40" s="1593"/>
      <c r="B40" s="1593"/>
      <c r="C40" s="1593"/>
      <c r="D40" s="1593"/>
      <c r="E40" s="1593"/>
      <c r="F40" s="1593"/>
      <c r="G40" s="1593"/>
      <c r="H40" s="1593"/>
      <c r="I40" s="1593"/>
      <c r="J40" s="1593"/>
      <c r="K40" s="1593"/>
      <c r="L40" s="1587"/>
      <c r="M40" s="1585"/>
      <c r="N40" s="1585"/>
      <c r="O40" s="1585"/>
      <c r="P40" s="1451"/>
      <c r="Q40" s="1452"/>
      <c r="R40" s="1467">
        <v>1</v>
      </c>
      <c r="S40" s="1494" t="s">
        <v>118</v>
      </c>
      <c r="T40" s="1468" t="s">
        <v>102</v>
      </c>
      <c r="U40" s="1450" t="str">
        <f>OFFSET(U40,0,-1)</f>
        <v>2</v>
      </c>
      <c r="V40" s="1706">
        <f>OFFSET(V40,0,-1)+1</f>
        <v>3</v>
      </c>
      <c r="W40" s="1706">
        <f>OFFSET(W40,0,-1)+1</f>
        <v>4</v>
      </c>
      <c r="X40" s="1706">
        <f>OFFSET(X40,0,-1)+1</f>
        <v>5</v>
      </c>
      <c r="Y40" s="1706">
        <f>OFFSET(Y40,0,-1)+1</f>
        <v>6</v>
      </c>
      <c r="Z40" s="2366">
        <f>OFFSET(Z40,0,-1)+1</f>
        <v>7</v>
      </c>
      <c r="AA40" s="2366"/>
      <c r="AB40" s="1706">
        <f>OFFSET(AB40,0,-2)+1</f>
        <v>8</v>
      </c>
      <c r="AC40" s="1706">
        <f>OFFSET(AC40,0,-1)+1</f>
        <v>9</v>
      </c>
      <c r="AD40" s="1706">
        <f>OFFSET(AD40,0,-1)+1</f>
        <v>10</v>
      </c>
      <c r="AE40" s="1706">
        <f>OFFSET(AE40,0,-1)+1</f>
        <v>11</v>
      </c>
      <c r="AF40" s="1706">
        <f>OFFSET(AF40,0,-1)+1</f>
        <v>12</v>
      </c>
      <c r="AG40" s="2366">
        <f>OFFSET(AG40,0,-1)+1</f>
        <v>13</v>
      </c>
      <c r="AH40" s="2366"/>
      <c r="AI40" s="1706">
        <f>OFFSET(AI40,0,-2)+1</f>
        <v>14</v>
      </c>
      <c r="AJ40" s="1450">
        <f>OFFSET(AJ40,0,-1)</f>
        <v>14</v>
      </c>
      <c r="AK40" s="1706">
        <f>OFFSET(AK40,0,-1)+1</f>
        <v>15</v>
      </c>
      <c r="AL40" s="675"/>
      <c r="AM40" s="675"/>
      <c r="AN40" s="675"/>
      <c r="AO40" s="675"/>
      <c r="AP40" s="675"/>
    </row>
    <row customHeight="1" ht="23.25">
      <c r="A41" s="1586" t="s">
        <v>271</v>
      </c>
      <c r="B41" s="1586"/>
      <c r="C41" s="1586"/>
      <c r="D41" s="1586"/>
      <c r="E41" s="2351">
        <v>1</v>
      </c>
      <c r="F41" s="1586"/>
      <c r="G41" s="1586"/>
      <c r="H41" s="1586"/>
      <c r="I41" s="1586"/>
      <c r="J41" s="1586"/>
      <c r="K41" s="1586"/>
      <c r="L41" s="1587"/>
      <c r="M41" s="1588"/>
      <c r="N41" s="1588"/>
      <c r="O41" s="1588"/>
      <c r="P41" s="509"/>
      <c r="Q41" s="508"/>
      <c r="R41" s="503"/>
      <c r="S41" s="1717">
        <f>INDEX(PT_DIFFERENTIATION_NUM_NTAR,MATCH(A41,PT_DIFFERENTIATION_NTAR_ID,0))</f>
        <v>0</v>
      </c>
      <c r="T41" s="435" t="s">
        <v>132</v>
      </c>
      <c r="U41" s="437"/>
      <c r="V41" s="3964"/>
      <c r="W41" s="3965"/>
      <c r="X41" s="3965"/>
      <c r="Y41" s="3965"/>
      <c r="Z41" s="3965"/>
      <c r="AA41" s="3965"/>
      <c r="AB41" s="3966"/>
      <c r="AC41" s="3964" t="str">
        <f>INDEX(PT_DIFFERENTIATION_NTAR,MATCH(A41,PT_DIFFERENTIATION_NTAR_ID,0))</f>
        <v/>
      </c>
      <c r="AD41" s="3965"/>
      <c r="AE41" s="3965"/>
      <c r="AF41" s="3965"/>
      <c r="AG41" s="3965"/>
      <c r="AH41" s="3965"/>
      <c r="AI41" s="3965"/>
      <c r="AJ41" s="3966"/>
      <c r="AK41"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4"/>
      <c r="AN41" s="664" t="str">
        <f>IF(T41="","",T41)</f>
        <v>Наименование тарифа</v>
      </c>
      <c r="AO41" s="664"/>
      <c r="AP41" s="664"/>
    </row>
    <row customHeight="1" ht="23.25">
      <c r="A42" s="1586" t="s">
        <v>271</v>
      </c>
      <c r="B42" s="1586" t="s">
        <v>272</v>
      </c>
      <c r="C42" s="1586"/>
      <c r="D42" s="1586"/>
      <c r="E42" s="2352"/>
      <c r="F42" s="2351">
        <v>1</v>
      </c>
      <c r="G42" s="1586"/>
      <c r="H42" s="1586"/>
      <c r="I42" s="1586"/>
      <c r="J42" s="1586"/>
      <c r="K42" s="1586"/>
      <c r="L42" s="1587"/>
      <c r="M42" s="1588"/>
      <c r="N42" s="1588"/>
      <c r="O42" s="1588"/>
      <c r="P42" s="1711"/>
      <c r="Q42" s="500"/>
      <c r="R42" s="501"/>
      <c r="S42" s="1717" t="str">
        <f>INDEX(PT_DIFFERENTIATION_NUM_TER,MATCH(B42,PT_DIFFERENTIATION_TER_ID,0))</f>
        <v>.</v>
      </c>
      <c r="T42" s="447" t="s">
        <v>1469</v>
      </c>
      <c r="U42" s="437"/>
      <c r="V42" s="3964"/>
      <c r="W42" s="3965"/>
      <c r="X42" s="3965"/>
      <c r="Y42" s="3965"/>
      <c r="Z42" s="3965"/>
      <c r="AA42" s="3965"/>
      <c r="AB42" s="3966"/>
      <c r="AC42" s="3964" t="str">
        <f>INDEX(PT_DIFFERENTIATION_TER,MATCH(B42,PT_DIFFERENTIATION_TER_ID,0))</f>
        <v/>
      </c>
      <c r="AD42" s="3965"/>
      <c r="AE42" s="3965"/>
      <c r="AF42" s="3965"/>
      <c r="AG42" s="3965"/>
      <c r="AH42" s="3965"/>
      <c r="AI42" s="3965"/>
      <c r="AJ42" s="3966"/>
      <c r="AK42" s="1473" t="s">
        <v>1470</v>
      </c>
      <c r="AM42" s="664"/>
      <c r="AN42" s="664" t="str">
        <f>IF(T42="","",T42)</f>
        <v>Территория действия тарифа</v>
      </c>
      <c r="AO42" s="664"/>
      <c r="AP42" s="664"/>
    </row>
    <row customHeight="1" ht="23.25">
      <c r="A43" s="1586" t="s">
        <v>271</v>
      </c>
      <c r="B43" s="1586" t="s">
        <v>272</v>
      </c>
      <c r="C43" s="1586" t="s">
        <v>273</v>
      </c>
      <c r="D43" s="1586"/>
      <c r="E43" s="2352"/>
      <c r="F43" s="2352"/>
      <c r="G43" s="2351">
        <v>1</v>
      </c>
      <c r="H43" s="1586"/>
      <c r="I43" s="1586"/>
      <c r="J43" s="1586"/>
      <c r="K43" s="1586"/>
      <c r="L43" s="1587"/>
      <c r="M43" s="1588"/>
      <c r="N43" s="1588"/>
      <c r="O43" s="1588"/>
      <c r="P43" s="502"/>
      <c r="Q43" s="500"/>
      <c r="R43" s="501"/>
      <c r="S43" s="1717" t="str">
        <f>INDEX(PT_DIFFERENTIATION_NUM_CS,MATCH(C43,PT_DIFFERENTIATION_CS_ID,0))</f>
        <v>..</v>
      </c>
      <c r="T43" s="448" t="s">
        <v>2105</v>
      </c>
      <c r="U43" s="437"/>
      <c r="V43" s="3964"/>
      <c r="W43" s="3965"/>
      <c r="X43" s="3965"/>
      <c r="Y43" s="3965"/>
      <c r="Z43" s="3965"/>
      <c r="AA43" s="3965"/>
      <c r="AB43" s="3966"/>
      <c r="AC43" s="3964" t="str">
        <f>INDEX(PT_DIFFERENTIATION_CS,MATCH(C43,PT_DIFFERENTIATION_CS_ID,0))</f>
        <v/>
      </c>
      <c r="AD43" s="3965"/>
      <c r="AE43" s="3965"/>
      <c r="AF43" s="3965"/>
      <c r="AG43" s="3965"/>
      <c r="AH43" s="3965"/>
      <c r="AI43" s="3965"/>
      <c r="AJ43" s="3966"/>
      <c r="AK43" s="1473" t="s">
        <v>2106</v>
      </c>
      <c r="AM43" s="664"/>
      <c r="AN43" s="664" t="str">
        <f>IF(T43="","",T43)</f>
        <v>Наименование централизованной системы водоотведения</v>
      </c>
      <c r="AO43" s="664"/>
      <c r="AP43" s="664"/>
    </row>
    <row customHeight="1" ht="23.25">
      <c r="A44" s="1586" t="s">
        <v>271</v>
      </c>
      <c r="B44" s="1586" t="s">
        <v>272</v>
      </c>
      <c r="C44" s="1586" t="s">
        <v>273</v>
      </c>
      <c r="D44" s="1586" t="s">
        <v>2112</v>
      </c>
      <c r="E44" s="2352"/>
      <c r="F44" s="2352"/>
      <c r="G44" s="2352"/>
      <c r="H44" s="2352"/>
      <c r="I44" s="2380" t="str">
        <f>S43&amp;".1"</f>
        <v>...1</v>
      </c>
      <c r="J44" s="1586"/>
      <c r="K44" s="1586"/>
      <c r="L44" s="1587"/>
      <c r="P44" s="2350">
        <v>1</v>
      </c>
      <c r="Q44" s="1705"/>
      <c r="R44" s="504"/>
      <c r="S44" s="1717" t="str">
        <f>$I44</f>
        <v>...1</v>
      </c>
      <c r="T44" s="422" t="s">
        <v>1687</v>
      </c>
      <c r="U44" s="437"/>
      <c r="V44" s="2501"/>
      <c r="W44" s="2502"/>
      <c r="X44" s="2502"/>
      <c r="Y44" s="2502"/>
      <c r="Z44" s="2502"/>
      <c r="AA44" s="2502"/>
      <c r="AB44" s="2503"/>
      <c r="AC44" s="2504"/>
      <c r="AD44" s="2505"/>
      <c r="AE44" s="2505"/>
      <c r="AF44" s="2505"/>
      <c r="AG44" s="2505"/>
      <c r="AH44" s="2505"/>
      <c r="AI44" s="2505"/>
      <c r="AJ44" s="2506"/>
      <c r="AK44" s="1473" t="s">
        <v>1688</v>
      </c>
      <c r="AM44" s="664"/>
      <c r="AN44" s="664" t="str">
        <f>IF(T44="","",T44)</f>
        <v>Наименование признака дифференциации</v>
      </c>
      <c r="AO44" s="664"/>
      <c r="AP44" s="664"/>
    </row>
    <row customHeight="1" ht="23.25">
      <c r="A45" s="1586" t="s">
        <v>271</v>
      </c>
      <c r="B45" s="1586" t="s">
        <v>272</v>
      </c>
      <c r="C45" s="1586" t="s">
        <v>273</v>
      </c>
      <c r="D45" s="1586" t="s">
        <v>2112</v>
      </c>
      <c r="E45" s="2352"/>
      <c r="F45" s="2352"/>
      <c r="G45" s="2352"/>
      <c r="H45" s="2352"/>
      <c r="I45" s="2381"/>
      <c r="J45" s="2349" t="str">
        <f>I44&amp;".1"</f>
        <v>...1.1</v>
      </c>
      <c r="K45" s="1586"/>
      <c r="L45" s="1587" t="s">
        <v>1478</v>
      </c>
      <c r="P45" s="2350"/>
      <c r="Q45" s="2350">
        <v>1</v>
      </c>
      <c r="R45" s="505"/>
      <c r="S45" s="1717" t="str">
        <f>$J45</f>
        <v>...1.1</v>
      </c>
      <c r="T45" s="423" t="s">
        <v>1479</v>
      </c>
      <c r="U45" s="437"/>
      <c r="V45" s="2338"/>
      <c r="W45" s="2339"/>
      <c r="X45" s="2339"/>
      <c r="Y45" s="2339"/>
      <c r="Z45" s="2339"/>
      <c r="AA45" s="2339"/>
      <c r="AB45" s="2340"/>
      <c r="AC45" s="2338"/>
      <c r="AD45" s="2339"/>
      <c r="AE45" s="2339"/>
      <c r="AF45" s="2339"/>
      <c r="AG45" s="2339"/>
      <c r="AH45" s="2339"/>
      <c r="AI45" s="2339"/>
      <c r="AJ45" s="2340"/>
      <c r="AK45" s="1529" t="s">
        <v>1689</v>
      </c>
      <c r="AM45" s="664"/>
      <c r="AN45" s="664" t="str">
        <f>IF(T45="","",T45)</f>
        <v>Группа потребителей</v>
      </c>
      <c r="AO45" s="664"/>
      <c r="AP45" s="664"/>
    </row>
    <row customHeight="1" ht="23.25">
      <c r="A46" s="1586" t="s">
        <v>271</v>
      </c>
      <c r="B46" s="1586" t="s">
        <v>272</v>
      </c>
      <c r="C46" s="1586" t="s">
        <v>273</v>
      </c>
      <c r="D46" s="1586" t="s">
        <v>2112</v>
      </c>
      <c r="E46" s="2352"/>
      <c r="F46" s="2352"/>
      <c r="G46" s="2352"/>
      <c r="H46" s="2352"/>
      <c r="I46" s="2381"/>
      <c r="J46" s="2382"/>
      <c r="K46" s="2349" t="str">
        <f>J45&amp;".1"</f>
        <v>...1.1.1</v>
      </c>
      <c r="L46" s="1587"/>
      <c r="P46" s="2350"/>
      <c r="Q46" s="2350"/>
      <c r="R46" s="505">
        <v>1</v>
      </c>
      <c r="S46" s="1717" t="str">
        <f>$K46</f>
        <v>...1.1.1</v>
      </c>
      <c r="T46" s="1661"/>
      <c r="U46" s="437"/>
      <c r="V46" s="4025"/>
      <c r="W46" s="4025"/>
      <c r="X46" s="4026"/>
      <c r="Y46" s="2359"/>
      <c r="Z46" s="2360" t="s">
        <v>66</v>
      </c>
      <c r="AA46" s="2359"/>
      <c r="AB46" s="2360" t="s">
        <v>66</v>
      </c>
      <c r="AC46" s="3992"/>
      <c r="AD46" s="3992"/>
      <c r="AE46" s="3994"/>
      <c r="AF46" s="2357"/>
      <c r="AG46" s="2069" t="s">
        <v>66</v>
      </c>
      <c r="AH46" s="2383"/>
      <c r="AI46" s="2069" t="s">
        <v>56</v>
      </c>
      <c r="AJ46" s="4496"/>
      <c r="AK46" s="250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75">
        <f>STRCHECKDATE(V47:AJ47)</f>
      </c>
      <c r="AM46" s="664"/>
      <c r="AN46" s="664" t="str">
        <f>IF(T46="","",T46)</f>
        <v/>
      </c>
      <c r="AO46" s="664"/>
      <c r="AP46" s="664"/>
    </row>
    <row customHeight="1" ht="0">
      <c r="A47" s="1586" t="s">
        <v>271</v>
      </c>
      <c r="B47" s="1586" t="s">
        <v>272</v>
      </c>
      <c r="C47" s="1586" t="s">
        <v>273</v>
      </c>
      <c r="D47" s="1586" t="s">
        <v>2112</v>
      </c>
      <c r="E47" s="2352"/>
      <c r="F47" s="2352"/>
      <c r="G47" s="2352"/>
      <c r="H47" s="2352"/>
      <c r="I47" s="2381"/>
      <c r="J47" s="2382"/>
      <c r="K47" s="2349"/>
      <c r="L47" s="1587"/>
      <c r="P47" s="2350"/>
      <c r="Q47" s="2350"/>
      <c r="R47" s="505"/>
      <c r="S47" s="1714"/>
      <c r="T47" s="437"/>
      <c r="U47" s="437"/>
      <c r="V47" s="4025"/>
      <c r="W47" s="4025"/>
      <c r="X47" s="3998" t="str">
        <f>Y46&amp;"-"&amp;AA46</f>
        <v>-</v>
      </c>
      <c r="Y47" s="2360"/>
      <c r="Z47" s="2360"/>
      <c r="AA47" s="2360"/>
      <c r="AB47" s="2360"/>
      <c r="AC47" s="3993"/>
      <c r="AD47" s="3993"/>
      <c r="AE47" s="3998" t="str">
        <f>AF46&amp;"-"&amp;AH46</f>
        <v>-</v>
      </c>
      <c r="AF47" s="2358"/>
      <c r="AG47" s="2069"/>
      <c r="AH47" s="2384"/>
      <c r="AI47" s="2069"/>
      <c r="AJ47" s="4499"/>
      <c r="AK47" s="2500"/>
      <c r="AM47" s="664"/>
      <c r="AN47" s="664" t="str">
        <f>IF(T47="","",T47)</f>
        <v/>
      </c>
      <c r="AO47" s="664"/>
      <c r="AP47" s="664"/>
    </row>
    <row customHeight="1" ht="21">
      <c r="A48" s="1586" t="s">
        <v>271</v>
      </c>
      <c r="B48" s="1586" t="s">
        <v>272</v>
      </c>
      <c r="C48" s="1586" t="s">
        <v>273</v>
      </c>
      <c r="D48" s="1586" t="s">
        <v>2112</v>
      </c>
      <c r="E48" s="2352"/>
      <c r="F48" s="2352"/>
      <c r="G48" s="2352"/>
      <c r="H48" s="2352"/>
      <c r="I48" s="2381"/>
      <c r="J48" s="2349"/>
      <c r="K48" s="1586"/>
      <c r="L48" s="1587"/>
      <c r="P48" s="2350"/>
      <c r="Q48" s="2350"/>
      <c r="R48" s="504"/>
      <c r="S48" s="1495"/>
      <c r="T48" s="424" t="s">
        <v>1690</v>
      </c>
      <c r="U48" s="519"/>
      <c r="V48" s="519"/>
      <c r="W48" s="519"/>
      <c r="X48" s="519"/>
      <c r="Y48" s="519"/>
      <c r="Z48" s="519"/>
      <c r="AA48" s="519"/>
      <c r="AB48" s="519"/>
      <c r="AC48" s="519"/>
      <c r="AD48" s="519"/>
      <c r="AE48" s="519"/>
      <c r="AF48" s="519"/>
      <c r="AG48" s="519"/>
      <c r="AH48" s="519"/>
      <c r="AI48" s="519"/>
      <c r="AJ48" s="519"/>
      <c r="AK48" s="1473" t="s">
        <v>1691</v>
      </c>
      <c r="AM48" s="664"/>
      <c r="AN48" s="664" t="str">
        <f>IF(T48="","",T48)</f>
        <v>Добавить значение признака дифференциации</v>
      </c>
      <c r="AO48" s="664"/>
      <c r="AP48" s="664"/>
    </row>
    <row customHeight="1" ht="21">
      <c r="A49" s="1586" t="s">
        <v>271</v>
      </c>
      <c r="B49" s="1586" t="s">
        <v>272</v>
      </c>
      <c r="C49" s="1586" t="s">
        <v>273</v>
      </c>
      <c r="D49" s="1586" t="s">
        <v>2112</v>
      </c>
      <c r="E49" s="2352"/>
      <c r="F49" s="2352"/>
      <c r="G49" s="2352"/>
      <c r="H49" s="2352"/>
      <c r="I49" s="2380"/>
      <c r="J49" s="1586"/>
      <c r="K49" s="1586"/>
      <c r="L49" s="1587"/>
      <c r="P49" s="2350"/>
      <c r="Q49" s="1705"/>
      <c r="R49" s="504"/>
      <c r="S49" s="1495"/>
      <c r="T49" s="516" t="s">
        <v>1484</v>
      </c>
      <c r="U49" s="519"/>
      <c r="V49" s="519"/>
      <c r="W49" s="519"/>
      <c r="X49" s="519"/>
      <c r="Y49" s="519"/>
      <c r="Z49" s="519"/>
      <c r="AA49" s="519"/>
      <c r="AB49" s="518"/>
      <c r="AC49" s="519"/>
      <c r="AD49" s="519"/>
      <c r="AE49" s="519"/>
      <c r="AF49" s="519"/>
      <c r="AG49" s="519"/>
      <c r="AH49" s="519"/>
      <c r="AI49" s="518"/>
      <c r="AJ49" s="519"/>
      <c r="AK49" s="1664"/>
      <c r="AM49" s="664"/>
      <c r="AN49" s="664" t="str">
        <f>IF(T49="","",T49)</f>
        <v>Добавить группу потребителей</v>
      </c>
      <c r="AO49" s="664"/>
      <c r="AP49" s="664"/>
    </row>
    <row customHeight="1" ht="21">
      <c r="A50" s="1586" t="s">
        <v>271</v>
      </c>
      <c r="B50" s="1586" t="s">
        <v>272</v>
      </c>
      <c r="C50" s="1586" t="s">
        <v>273</v>
      </c>
      <c r="D50" s="1586" t="s">
        <v>2112</v>
      </c>
      <c r="E50" s="2352"/>
      <c r="F50" s="2352"/>
      <c r="G50" s="2352"/>
      <c r="H50" s="2351"/>
      <c r="I50" s="1586"/>
      <c r="J50" s="1586"/>
      <c r="K50" s="1586"/>
      <c r="L50" s="1587"/>
      <c r="M50" s="1588"/>
      <c r="N50" s="1588"/>
      <c r="O50" s="701"/>
      <c r="P50" s="508"/>
      <c r="Q50" s="528"/>
      <c r="R50" s="503"/>
      <c r="S50" s="1495"/>
      <c r="T50" s="524" t="s">
        <v>1692</v>
      </c>
      <c r="U50" s="519"/>
      <c r="V50" s="519"/>
      <c r="W50" s="519"/>
      <c r="X50" s="519"/>
      <c r="Y50" s="519"/>
      <c r="Z50" s="519"/>
      <c r="AA50" s="519"/>
      <c r="AB50" s="518"/>
      <c r="AC50" s="519"/>
      <c r="AD50" s="519"/>
      <c r="AE50" s="519"/>
      <c r="AF50" s="519"/>
      <c r="AG50" s="519"/>
      <c r="AH50" s="519"/>
      <c r="AI50" s="518"/>
      <c r="AJ50" s="519"/>
      <c r="AK50" s="440"/>
      <c r="AM50" s="664"/>
      <c r="AN50" s="664" t="str">
        <f>IF(T50="","",T50)</f>
        <v>Добавить наименование признака дифференциации</v>
      </c>
      <c r="AO50" s="664"/>
      <c r="AP50" s="664"/>
    </row>
    <row s="6520" customFormat="1" customHeight="1" ht="0.75">
      <c r="A51" s="1565" t="s">
        <v>271</v>
      </c>
      <c r="B51" s="1565" t="s">
        <v>272</v>
      </c>
      <c r="C51" s="1536"/>
      <c r="D51" s="1536"/>
      <c r="E51" s="2352"/>
      <c r="F51" s="2351"/>
      <c r="G51" s="1536"/>
      <c r="H51" s="1536"/>
      <c r="I51" s="1536"/>
      <c r="J51" s="1536"/>
      <c r="K51" s="1536"/>
      <c r="L51" s="1718"/>
      <c r="M51" s="1543"/>
      <c r="N51" s="1543"/>
      <c r="P51" s="1538"/>
      <c r="Q51" s="1539"/>
      <c r="R51" s="1538"/>
      <c r="S51" s="1544"/>
      <c r="T51" s="1547" t="s">
        <v>1445</v>
      </c>
      <c r="U51" s="1546"/>
      <c r="V51" s="1546"/>
      <c r="W51" s="1546"/>
      <c r="X51" s="1546"/>
      <c r="Y51" s="1546"/>
      <c r="Z51" s="1546"/>
      <c r="AA51" s="1546"/>
      <c r="AB51" s="1546"/>
      <c r="AC51" s="1546"/>
      <c r="AD51" s="1546"/>
      <c r="AE51" s="1546"/>
      <c r="AF51" s="1546"/>
      <c r="AG51" s="1546"/>
      <c r="AH51" s="1546"/>
      <c r="AI51" s="1546"/>
      <c r="AJ51" s="1546"/>
      <c r="AK51" s="1546"/>
      <c r="AM51" s="956"/>
      <c r="AN51" s="956" t="str">
        <f>IF(T51="","",T51)</f>
        <v>Добавить централизованную систему для дифференциации</v>
      </c>
      <c r="AO51" s="956"/>
      <c r="AP51" s="956"/>
    </row>
    <row s="6608" customFormat="1" customHeight="1" ht="0.75">
      <c r="A52" s="1565" t="s">
        <v>271</v>
      </c>
      <c r="B52" s="1565"/>
      <c r="C52" s="1565"/>
      <c r="D52" s="1565"/>
      <c r="E52" s="2351"/>
      <c r="F52" s="1565"/>
      <c r="G52" s="1565"/>
      <c r="H52" s="1565"/>
      <c r="I52" s="1565"/>
      <c r="J52" s="1565"/>
      <c r="K52" s="1565"/>
      <c r="L52" s="1568"/>
      <c r="M52" s="1543"/>
      <c r="N52" s="1543"/>
      <c r="O52" s="682"/>
      <c r="P52" s="537"/>
      <c r="Q52" s="1566"/>
      <c r="R52" s="537"/>
      <c r="S52" s="1544"/>
      <c r="T52" s="1547" t="s">
        <v>1446</v>
      </c>
      <c r="U52" s="1546"/>
      <c r="V52" s="1546"/>
      <c r="W52" s="1546"/>
      <c r="X52" s="1546"/>
      <c r="Y52" s="1546"/>
      <c r="Z52" s="1546"/>
      <c r="AA52" s="1546"/>
      <c r="AB52" s="1546"/>
      <c r="AC52" s="1546"/>
      <c r="AD52" s="1546"/>
      <c r="AE52" s="1546"/>
      <c r="AF52" s="1546"/>
      <c r="AG52" s="1546"/>
      <c r="AH52" s="1546"/>
      <c r="AI52" s="1546"/>
      <c r="AJ52" s="1546"/>
      <c r="AK52" s="1546"/>
      <c r="AM52" s="664"/>
      <c r="AN52" s="664" t="str">
        <f>IF(T52="","",T52)</f>
        <v>Добавить территорию для дифференциации</v>
      </c>
      <c r="AO52" s="664"/>
      <c r="AP52" s="664"/>
    </row>
    <row s="6520" customFormat="1" customHeight="1" ht="0.75">
      <c r="A53" s="1536"/>
      <c r="B53" s="1536"/>
      <c r="C53" s="1536"/>
      <c r="D53" s="1536"/>
      <c r="E53" s="1565"/>
      <c r="F53" s="1536"/>
      <c r="G53" s="1536"/>
      <c r="H53" s="1536"/>
      <c r="I53" s="1536"/>
      <c r="J53" s="1536"/>
      <c r="K53" s="1536"/>
      <c r="L53" s="1718"/>
      <c r="M53" s="1543"/>
      <c r="N53" s="1543"/>
      <c r="P53" s="1538"/>
      <c r="Q53" s="1539"/>
      <c r="R53" s="1538"/>
      <c r="S53" s="1544"/>
      <c r="T53" s="1547" t="s">
        <v>1447</v>
      </c>
      <c r="U53" s="1546"/>
      <c r="V53" s="1546"/>
      <c r="W53" s="1546"/>
      <c r="X53" s="1546"/>
      <c r="Y53" s="1546"/>
      <c r="Z53" s="1546"/>
      <c r="AA53" s="1546"/>
      <c r="AB53" s="1546"/>
      <c r="AC53" s="1546"/>
      <c r="AD53" s="1546"/>
      <c r="AE53" s="1546"/>
      <c r="AF53" s="1546"/>
      <c r="AG53" s="1546"/>
      <c r="AH53" s="1546"/>
      <c r="AI53" s="1546"/>
      <c r="AJ53" s="1546"/>
      <c r="AK53" s="1546"/>
      <c r="AM53" s="956"/>
      <c r="AN53" s="956" t="str">
        <f>IF(T53="","",T53)</f>
        <v>Добавить наименование тарифа</v>
      </c>
      <c r="AO53" s="956"/>
      <c r="AP53" s="956"/>
    </row>
    <row customHeight="1" ht="11.25">
      <c r="M54" s="1348"/>
      <c r="N54" s="1348"/>
      <c r="O54" s="701"/>
      <c r="P54" s="1343"/>
      <c r="Q54" s="1343"/>
      <c r="R54" s="1343"/>
      <c r="S54" s="1343"/>
      <c r="AL54" s="1343"/>
      <c r="AM54" s="1343"/>
      <c r="AN54" s="1343"/>
      <c r="AO54" s="1343"/>
      <c r="AP54" s="1343"/>
    </row>
    <row customHeight="1" ht="14.25">
      <c r="O55" s="701"/>
      <c r="S55" s="1460" t="s">
        <v>1517</v>
      </c>
      <c r="T55" s="2379" t="s">
        <v>2110</v>
      </c>
      <c r="U55" s="2379"/>
      <c r="V55" s="2379"/>
      <c r="W55" s="2379"/>
      <c r="X55" s="2379"/>
      <c r="Y55" s="2379"/>
      <c r="Z55" s="2379"/>
      <c r="AA55" s="2379"/>
      <c r="AB55" s="2379"/>
      <c r="AC55" s="2379"/>
      <c r="AD55" s="2379"/>
      <c r="AE55" s="2379"/>
      <c r="AF55" s="2379"/>
      <c r="AG55" s="2379"/>
      <c r="AH55" s="2379"/>
      <c r="AI55" s="2379"/>
      <c r="AJ55" s="2379"/>
      <c r="AK55" s="2379"/>
    </row>
    <row customHeight="1" ht="14.25">
      <c r="O56" s="701"/>
    </row>
    <row customHeight="1" ht="14.25">
      <c r="O57" s="701"/>
      <c r="S57" s="1460" t="s">
        <v>1517</v>
      </c>
      <c r="T57" s="2379" t="s">
        <v>2111</v>
      </c>
      <c r="U57" s="2379"/>
      <c r="V57" s="2379"/>
      <c r="W57" s="2379"/>
      <c r="X57" s="2379"/>
      <c r="Y57" s="2379"/>
      <c r="Z57" s="2379"/>
      <c r="AA57" s="2379"/>
      <c r="AB57" s="2379"/>
      <c r="AC57" s="2379"/>
      <c r="AD57" s="2379"/>
      <c r="AE57" s="2379"/>
      <c r="AF57" s="2379"/>
      <c r="AG57" s="2379"/>
      <c r="AH57" s="2379"/>
      <c r="AI57" s="2379"/>
      <c r="AJ57" s="2379"/>
      <c r="AK57" s="2379"/>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E3696F-98B8-8D9B-0BBC-D37A402665F7}"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6539" width="11.57421875" hidden="1" customWidth="1"/>
    <col min="2" max="2" style="6539" width="11.00390625" hidden="1" customWidth="1"/>
    <col min="3" max="3" style="6539" width="10.57421875" hidden="1"/>
    <col min="4" max="4" style="6539" width="12.8515625" hidden="1" customWidth="1"/>
    <col min="5" max="5" style="6539" width="10.00390625" hidden="1" customWidth="1"/>
    <col min="6" max="6" style="6539" width="8.7109375" hidden="1" customWidth="1"/>
    <col min="7" max="7" style="6539" width="7.57421875" hidden="1" customWidth="1"/>
    <col min="8" max="8" style="6539" width="11.421875" hidden="1" customWidth="1"/>
    <col min="9" max="9" style="6539" width="12.00390625" hidden="1" customWidth="1"/>
    <col min="10" max="10" style="6539" width="9.8515625" hidden="1" customWidth="1"/>
    <col min="11" max="11" style="6539" width="11.421875" hidden="1" customWidth="1"/>
    <col min="12" max="12" style="7516" width="19.140625" hidden="1" customWidth="1"/>
    <col min="13" max="14" style="6617" width="12.28125" hidden="1" customWidth="1"/>
    <col min="15" max="15" style="6617" width="23.421875" hidden="1" customWidth="1"/>
    <col min="16" max="16" style="6617" width="3.7109375" hidden="1" customWidth="1"/>
    <col min="17" max="17" style="6765" width="3.7109375" hidden="1" customWidth="1"/>
    <col min="18" max="18" style="6619" width="3.7109375" customWidth="1"/>
    <col min="19" max="19" style="6620" width="12.7109375" customWidth="1"/>
    <col min="20" max="20" style="6104" width="32.00390625" customWidth="1"/>
    <col min="21" max="21" style="6104" width="0.140625" customWidth="1"/>
    <col min="22" max="25" style="6104" width="21.7109375" hidden="1" customWidth="1"/>
    <col min="26" max="26" style="6104" width="11.7109375" hidden="1" customWidth="1"/>
    <col min="27" max="27" style="6104" width="3.7109375" hidden="1" customWidth="1"/>
    <col min="28" max="28" style="6104" width="11.7109375" hidden="1" customWidth="1"/>
    <col min="29" max="29" style="6104" width="8.57421875" hidden="1" customWidth="1"/>
    <col min="30" max="32" style="6104" width="3.7109375" customWidth="1"/>
    <col min="33" max="33" style="6104" width="24.7109375" customWidth="1"/>
    <col min="34" max="36" style="6104" width="3.7109375" customWidth="1"/>
    <col min="37" max="37" style="6104" width="24.7109375" customWidth="1"/>
    <col min="38" max="40" style="6104" width="3.7109375" customWidth="1"/>
    <col min="41" max="41" style="6104" width="18.8515625" customWidth="1"/>
    <col min="42" max="44" style="6104" width="3.7109375" customWidth="1"/>
    <col min="45" max="45" style="6104" width="18.8515625" customWidth="1"/>
    <col min="46" max="49" style="6104" width="21.7109375" customWidth="1"/>
    <col min="50" max="50" style="6104" width="11.7109375" customWidth="1"/>
    <col min="51" max="51" style="6104" width="3.7109375" customWidth="1"/>
    <col min="52" max="52" style="6104" width="11.7109375" customWidth="1"/>
    <col min="53" max="53" style="6104" width="8.57421875" hidden="1" customWidth="1"/>
    <col min="54" max="54" style="6104" width="4.7109375" customWidth="1"/>
    <col min="55" max="55" style="6104" width="115.7109375" customWidth="1"/>
    <col min="56" max="57" style="6608" width="10.57421875"/>
    <col min="58" max="58" style="6608" width="11.140625" customWidth="1"/>
    <col min="59" max="60" style="6608" width="10.57421875"/>
  </cols>
  <sheetData>
    <row customHeight="1" ht="14.25" hidden="1">
      <c r="W1" s="475"/>
      <c r="Y1" s="475"/>
      <c r="Z1" s="475"/>
      <c r="AW1" s="475"/>
      <c r="AX1" s="475"/>
    </row>
    <row customHeight="1" ht="21" hidden="1">
      <c r="A2" s="1586"/>
      <c r="B2" s="1586"/>
      <c r="C2" s="1586"/>
      <c r="D2" s="1586"/>
      <c r="E2" s="2351">
        <v>1</v>
      </c>
      <c r="F2" s="1586"/>
      <c r="G2" s="1586"/>
      <c r="H2" s="1586"/>
      <c r="I2" s="1586"/>
      <c r="J2" s="1586"/>
      <c r="K2" s="1586"/>
      <c r="L2" s="1587"/>
      <c r="M2" s="1588"/>
      <c r="N2" s="1588"/>
      <c r="O2" s="1588"/>
      <c r="P2" s="1633"/>
      <c r="Q2" s="1047"/>
      <c r="R2" s="503"/>
      <c r="S2" s="1717">
        <f>INDEX(PT_DIFFERENTIATION_NUM_NTAR,MATCH(A2,PT_DIFFERENTIATION_NTAR_ID,0))</f>
      </c>
      <c r="T2" s="435" t="s">
        <v>132</v>
      </c>
      <c r="U2" s="437"/>
      <c r="V2" s="3965"/>
      <c r="W2" s="3965"/>
      <c r="X2" s="3965"/>
      <c r="Y2" s="3965"/>
      <c r="Z2" s="3965"/>
      <c r="AA2" s="3965"/>
      <c r="AB2" s="3965"/>
      <c r="AC2" s="3966"/>
      <c r="AD2" s="3964">
        <f>INDEX(PT_DIFFERENTIATION_NTAR,MATCH(A2,PT_DIFFERENTIATION_NTAR_ID,0))</f>
      </c>
      <c r="AE2" s="3965"/>
      <c r="AF2" s="3965"/>
      <c r="AG2" s="3965"/>
      <c r="AH2" s="3965"/>
      <c r="AI2" s="3965"/>
      <c r="AJ2" s="3965"/>
      <c r="AK2" s="3965"/>
      <c r="AL2" s="3965"/>
      <c r="AM2" s="3965"/>
      <c r="AN2" s="3965"/>
      <c r="AO2" s="3965"/>
      <c r="AP2" s="3965"/>
      <c r="AQ2" s="3965"/>
      <c r="AR2" s="3965"/>
      <c r="AS2" s="3965"/>
      <c r="AT2" s="3965"/>
      <c r="AU2" s="3965"/>
      <c r="AV2" s="3965"/>
      <c r="AW2" s="3965"/>
      <c r="AX2" s="3965"/>
      <c r="AY2" s="3965"/>
      <c r="AZ2" s="3965"/>
      <c r="BA2" s="3965"/>
      <c r="BB2" s="3966"/>
      <c r="BC2"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4"/>
      <c r="BF2" s="664" t="str">
        <f>IF(T2="","",T2)</f>
        <v>Наименование тарифа</v>
      </c>
      <c r="BG2" s="664"/>
      <c r="BH2" s="664"/>
    </row>
    <row customHeight="1" ht="21" hidden="1">
      <c r="A3" s="1586"/>
      <c r="B3" s="1586"/>
      <c r="C3" s="1586"/>
      <c r="D3" s="1586"/>
      <c r="E3" s="2352"/>
      <c r="F3" s="2351">
        <v>1</v>
      </c>
      <c r="G3" s="1586"/>
      <c r="H3" s="1586"/>
      <c r="I3" s="1586"/>
      <c r="J3" s="1586"/>
      <c r="K3" s="1586"/>
      <c r="L3" s="1587"/>
      <c r="M3" s="1588"/>
      <c r="N3" s="1588"/>
      <c r="O3" s="1588"/>
      <c r="P3" s="1634"/>
      <c r="Q3" s="1635"/>
      <c r="R3" s="501"/>
      <c r="S3" s="1717">
        <f>INDEX(PT_DIFFERENTIATION_NUM_TER,MATCH(B3,PT_DIFFERENTIATION_TER_ID,0))</f>
      </c>
      <c r="T3" s="447" t="s">
        <v>1469</v>
      </c>
      <c r="U3" s="437"/>
      <c r="V3" s="3965"/>
      <c r="W3" s="3965"/>
      <c r="X3" s="3965"/>
      <c r="Y3" s="3965"/>
      <c r="Z3" s="3965"/>
      <c r="AA3" s="3965"/>
      <c r="AB3" s="3965"/>
      <c r="AC3" s="3966"/>
      <c r="AD3" s="3964">
        <f>INDEX(PT_DIFFERENTIATION_TER,MATCH(B3,PT_DIFFERENTIATION_TER_ID,0))</f>
      </c>
      <c r="AE3" s="3965"/>
      <c r="AF3" s="3965"/>
      <c r="AG3" s="3965"/>
      <c r="AH3" s="3965"/>
      <c r="AI3" s="3965"/>
      <c r="AJ3" s="3965"/>
      <c r="AK3" s="3965"/>
      <c r="AL3" s="3965"/>
      <c r="AM3" s="3965"/>
      <c r="AN3" s="3965"/>
      <c r="AO3" s="3965"/>
      <c r="AP3" s="3965"/>
      <c r="AQ3" s="3965"/>
      <c r="AR3" s="3965"/>
      <c r="AS3" s="3965"/>
      <c r="AT3" s="3965"/>
      <c r="AU3" s="3965"/>
      <c r="AV3" s="3965"/>
      <c r="AW3" s="3965"/>
      <c r="AX3" s="3965"/>
      <c r="AY3" s="3965"/>
      <c r="AZ3" s="3965"/>
      <c r="BA3" s="3965"/>
      <c r="BB3" s="3966"/>
      <c r="BC3" s="1473" t="s">
        <v>1470</v>
      </c>
      <c r="BE3" s="664"/>
      <c r="BF3" s="664" t="str">
        <f>IF(T3="","",T3)</f>
        <v>Территория действия тарифа</v>
      </c>
      <c r="BG3" s="664"/>
      <c r="BH3" s="664"/>
    </row>
    <row customHeight="1" ht="33.75" hidden="1">
      <c r="A4" s="1586"/>
      <c r="B4" s="1586"/>
      <c r="C4" s="1586"/>
      <c r="D4" s="1586"/>
      <c r="E4" s="2352"/>
      <c r="F4" s="2352"/>
      <c r="G4" s="2351">
        <v>1</v>
      </c>
      <c r="H4" s="1586"/>
      <c r="I4" s="1586"/>
      <c r="J4" s="1586"/>
      <c r="K4" s="1586"/>
      <c r="L4" s="1587"/>
      <c r="M4" s="1588"/>
      <c r="N4" s="1588"/>
      <c r="O4" s="1588"/>
      <c r="P4" s="1636"/>
      <c r="Q4" s="1635"/>
      <c r="R4" s="501"/>
      <c r="S4" s="1717">
        <f>INDEX(PT_DIFFERENTIATION_NUM_CS,MATCH(C4,PT_DIFFERENTIATION_CS_ID,0))</f>
      </c>
      <c r="T4" s="448" t="s">
        <v>2105</v>
      </c>
      <c r="U4" s="437"/>
      <c r="V4" s="3965"/>
      <c r="W4" s="3965"/>
      <c r="X4" s="3965"/>
      <c r="Y4" s="3965"/>
      <c r="Z4" s="3965"/>
      <c r="AA4" s="3965"/>
      <c r="AB4" s="3965"/>
      <c r="AC4" s="3966"/>
      <c r="AD4" s="3964">
        <f>INDEX(PT_DIFFERENTIATION_CS,MATCH(C4,PT_DIFFERENTIATION_CS_ID,0))</f>
      </c>
      <c r="AE4" s="3965"/>
      <c r="AF4" s="3965"/>
      <c r="AG4" s="3965"/>
      <c r="AH4" s="3965"/>
      <c r="AI4" s="3965"/>
      <c r="AJ4" s="3965"/>
      <c r="AK4" s="3965"/>
      <c r="AL4" s="3965"/>
      <c r="AM4" s="3965"/>
      <c r="AN4" s="3965"/>
      <c r="AO4" s="3965"/>
      <c r="AP4" s="3965"/>
      <c r="AQ4" s="3965"/>
      <c r="AR4" s="3965"/>
      <c r="AS4" s="3965"/>
      <c r="AT4" s="3965"/>
      <c r="AU4" s="3965"/>
      <c r="AV4" s="3965"/>
      <c r="AW4" s="3965"/>
      <c r="AX4" s="3965"/>
      <c r="AY4" s="3965"/>
      <c r="AZ4" s="3965"/>
      <c r="BA4" s="3965"/>
      <c r="BB4" s="3966"/>
      <c r="BC4" s="1473" t="s">
        <v>2106</v>
      </c>
      <c r="BE4" s="664"/>
      <c r="BF4" s="664" t="str">
        <f>IF(T4="","",T4)</f>
        <v>Наименование централизованной системы водоотведения</v>
      </c>
      <c r="BG4" s="664"/>
      <c r="BH4" s="664"/>
    </row>
    <row s="6608" customFormat="1" customHeight="1" ht="14.25" hidden="1">
      <c r="A5" s="1565"/>
      <c r="B5" s="1565"/>
      <c r="C5" s="1565"/>
      <c r="D5" s="1565"/>
      <c r="E5" s="2352"/>
      <c r="F5" s="2352"/>
      <c r="G5" s="2352"/>
      <c r="H5" s="2351">
        <v>1</v>
      </c>
      <c r="I5" s="1565"/>
      <c r="J5" s="1565"/>
      <c r="K5" s="1565"/>
      <c r="L5" s="1568"/>
      <c r="M5" s="1537"/>
      <c r="N5" s="1537"/>
      <c r="O5" s="1537"/>
      <c r="P5" s="1721"/>
      <c r="Q5" s="1722"/>
      <c r="R5" s="505"/>
      <c r="S5" s="1227"/>
      <c r="T5" s="1723"/>
      <c r="U5" s="1607"/>
      <c r="V5" s="2391"/>
      <c r="W5" s="2391"/>
      <c r="X5" s="2391"/>
      <c r="Y5" s="2391"/>
      <c r="Z5" s="2391"/>
      <c r="AA5" s="2391"/>
      <c r="AB5" s="2391"/>
      <c r="AC5" s="2392"/>
      <c r="AD5" s="2390"/>
      <c r="AE5" s="2391"/>
      <c r="AF5" s="2391"/>
      <c r="AG5" s="2391"/>
      <c r="AH5" s="2391"/>
      <c r="AI5" s="2391"/>
      <c r="AJ5" s="2391"/>
      <c r="AK5" s="2391"/>
      <c r="AL5" s="2391"/>
      <c r="AM5" s="2391"/>
      <c r="AN5" s="2391"/>
      <c r="AO5" s="2391"/>
      <c r="AP5" s="2391"/>
      <c r="AQ5" s="2391"/>
      <c r="AR5" s="2391"/>
      <c r="AS5" s="2391"/>
      <c r="AT5" s="2391"/>
      <c r="AU5" s="2391"/>
      <c r="AV5" s="2391"/>
      <c r="AW5" s="2391"/>
      <c r="AX5" s="2391"/>
      <c r="AY5" s="2391"/>
      <c r="AZ5" s="2391"/>
      <c r="BA5" s="2391"/>
      <c r="BB5" s="2392"/>
      <c r="BC5" s="1608" t="s">
        <v>1474</v>
      </c>
      <c r="BE5" s="664"/>
      <c r="BF5" s="664" t="str">
        <f>IF(T5="","",T5)</f>
        <v/>
      </c>
      <c r="BG5" s="664"/>
      <c r="BH5" s="664"/>
    </row>
    <row s="6608" customFormat="1" customHeight="1" ht="14.25" hidden="1">
      <c r="A6" s="1565"/>
      <c r="B6" s="1565"/>
      <c r="C6" s="1565"/>
      <c r="D6" s="1565"/>
      <c r="E6" s="2352"/>
      <c r="F6" s="2352"/>
      <c r="G6" s="2352"/>
      <c r="H6" s="2352"/>
      <c r="I6" s="2380" t="str">
        <f>S5&amp;".1"</f>
        <v>.1</v>
      </c>
      <c r="J6" s="1565"/>
      <c r="K6" s="1565"/>
      <c r="L6" s="1568" t="s">
        <v>1475</v>
      </c>
      <c r="M6" s="674"/>
      <c r="N6" s="674"/>
      <c r="O6" s="674"/>
      <c r="P6" s="2350">
        <v>1</v>
      </c>
      <c r="Q6" s="1705"/>
      <c r="R6" s="504"/>
      <c r="S6" s="1227"/>
      <c r="T6" s="1606"/>
      <c r="U6" s="1607"/>
      <c r="V6" s="2391"/>
      <c r="W6" s="2391"/>
      <c r="X6" s="2391"/>
      <c r="Y6" s="2391"/>
      <c r="Z6" s="2391"/>
      <c r="AA6" s="2391"/>
      <c r="AB6" s="2391"/>
      <c r="AC6" s="2392"/>
      <c r="AD6" s="2390"/>
      <c r="AE6" s="2391"/>
      <c r="AF6" s="2391"/>
      <c r="AG6" s="2391"/>
      <c r="AH6" s="2391"/>
      <c r="AI6" s="2391"/>
      <c r="AJ6" s="2391"/>
      <c r="AK6" s="2391"/>
      <c r="AL6" s="2391"/>
      <c r="AM6" s="2391"/>
      <c r="AN6" s="2391"/>
      <c r="AO6" s="2391"/>
      <c r="AP6" s="2391"/>
      <c r="AQ6" s="2391"/>
      <c r="AR6" s="2391"/>
      <c r="AS6" s="2391"/>
      <c r="AT6" s="2391"/>
      <c r="AU6" s="2391"/>
      <c r="AV6" s="2391"/>
      <c r="AW6" s="2391"/>
      <c r="AX6" s="2391"/>
      <c r="AY6" s="2391"/>
      <c r="AZ6" s="2391"/>
      <c r="BA6" s="2391"/>
      <c r="BB6" s="2392"/>
      <c r="BC6" s="1608"/>
      <c r="BE6" s="664"/>
      <c r="BF6" s="664" t="str">
        <f>IF(T6="","",T6)</f>
        <v/>
      </c>
      <c r="BG6" s="664"/>
      <c r="BH6" s="664"/>
    </row>
    <row s="6608" customFormat="1" customHeight="1" ht="14.25" hidden="1">
      <c r="A7" s="1565"/>
      <c r="B7" s="1565"/>
      <c r="C7" s="1565"/>
      <c r="D7" s="1565"/>
      <c r="E7" s="2352"/>
      <c r="F7" s="2352"/>
      <c r="G7" s="2352"/>
      <c r="H7" s="2352"/>
      <c r="I7" s="2381"/>
      <c r="J7" s="2349" t="str">
        <f>S5&amp;".1"</f>
        <v>.1</v>
      </c>
      <c r="K7" s="1565"/>
      <c r="L7" s="1568"/>
      <c r="M7" s="674"/>
      <c r="N7" s="674"/>
      <c r="O7" s="674"/>
      <c r="P7" s="2350"/>
      <c r="Q7" s="2350">
        <v>1</v>
      </c>
      <c r="R7" s="505"/>
      <c r="S7" s="1227"/>
      <c r="T7" s="1622"/>
      <c r="U7" s="1607"/>
      <c r="V7" s="2391"/>
      <c r="W7" s="2391"/>
      <c r="X7" s="2391"/>
      <c r="Y7" s="2391"/>
      <c r="Z7" s="2391"/>
      <c r="AA7" s="2391"/>
      <c r="AB7" s="2391"/>
      <c r="AC7" s="2392"/>
      <c r="AD7" s="2390"/>
      <c r="AE7" s="2391"/>
      <c r="AF7" s="2391"/>
      <c r="AG7" s="2391"/>
      <c r="AH7" s="2391"/>
      <c r="AI7" s="2391"/>
      <c r="AJ7" s="2391"/>
      <c r="AK7" s="2391"/>
      <c r="AL7" s="2391"/>
      <c r="AM7" s="2391"/>
      <c r="AN7" s="2391"/>
      <c r="AO7" s="2391"/>
      <c r="AP7" s="2391"/>
      <c r="AQ7" s="2391"/>
      <c r="AR7" s="2391"/>
      <c r="AS7" s="2391"/>
      <c r="AT7" s="2391"/>
      <c r="AU7" s="2391"/>
      <c r="AV7" s="2391"/>
      <c r="AW7" s="2391"/>
      <c r="AX7" s="2391"/>
      <c r="AY7" s="2391"/>
      <c r="AZ7" s="2391"/>
      <c r="BA7" s="2391"/>
      <c r="BB7" s="2392"/>
      <c r="BC7" s="1608"/>
      <c r="BE7" s="664"/>
      <c r="BF7" s="664" t="str">
        <f>IF(T7="","",T7)</f>
        <v/>
      </c>
      <c r="BG7" s="664"/>
      <c r="BH7" s="664"/>
    </row>
    <row customHeight="1" ht="11.25" hidden="1">
      <c r="A8" s="1586"/>
      <c r="B8" s="1586"/>
      <c r="C8" s="1586"/>
      <c r="D8" s="1586"/>
      <c r="E8" s="2352"/>
      <c r="F8" s="2352"/>
      <c r="G8" s="2352"/>
      <c r="H8" s="2352"/>
      <c r="I8" s="2381"/>
      <c r="J8" s="2382"/>
      <c r="K8" s="2349">
        <f>S4&amp;".1"</f>
      </c>
      <c r="L8" s="1587"/>
      <c r="P8" s="2350"/>
      <c r="Q8" s="2350"/>
      <c r="R8" s="2440">
        <v>1</v>
      </c>
      <c r="S8" s="2434">
        <f>$K8</f>
      </c>
      <c r="T8" s="2512"/>
      <c r="U8" s="437"/>
      <c r="V8" s="3992"/>
      <c r="W8" s="3994"/>
      <c r="X8" s="3992"/>
      <c r="Y8" s="3994"/>
      <c r="Z8" s="1976"/>
      <c r="AA8" s="1693" t="s">
        <v>66</v>
      </c>
      <c r="AB8" s="1976"/>
      <c r="AC8" s="1693" t="s">
        <v>66</v>
      </c>
      <c r="AD8" s="2159" t="s">
        <v>66</v>
      </c>
      <c r="AE8" s="2423"/>
      <c r="AF8" s="2424">
        <v>1</v>
      </c>
      <c r="AG8" s="2516"/>
      <c r="AH8" s="2069" t="s">
        <v>66</v>
      </c>
      <c r="AI8" s="2423"/>
      <c r="AJ8" s="2424">
        <v>1</v>
      </c>
      <c r="AK8" s="2515" t="s">
        <v>17</v>
      </c>
      <c r="AL8" s="2069" t="s">
        <v>66</v>
      </c>
      <c r="AM8" s="2507"/>
      <c r="AN8" s="2424">
        <v>1</v>
      </c>
      <c r="AO8" s="2509"/>
      <c r="AP8" s="2510" t="s">
        <v>66</v>
      </c>
      <c r="AQ8" s="450"/>
      <c r="AR8" s="1710">
        <v>1</v>
      </c>
      <c r="AS8" s="1716" t="s">
        <v>17</v>
      </c>
      <c r="AT8" s="3992"/>
      <c r="AU8" s="3994"/>
      <c r="AV8" s="3992"/>
      <c r="AW8" s="3994"/>
      <c r="AX8" s="1976"/>
      <c r="AY8" s="1693" t="s">
        <v>66</v>
      </c>
      <c r="AZ8" s="1976"/>
      <c r="BA8" s="1693" t="s">
        <v>66</v>
      </c>
      <c r="BB8" s="4093"/>
      <c r="BC8" s="2346" t="s">
        <v>1705</v>
      </c>
      <c r="BE8" s="664"/>
      <c r="BF8" s="664" t="str">
        <f>IF(T8="","",T8)</f>
        <v/>
      </c>
      <c r="BG8" s="664"/>
      <c r="BH8" s="664"/>
    </row>
    <row customHeight="1" ht="11.25" hidden="1">
      <c r="A9" s="1586"/>
      <c r="B9" s="1586"/>
      <c r="C9" s="1586"/>
      <c r="D9" s="1586"/>
      <c r="E9" s="2352"/>
      <c r="F9" s="2352"/>
      <c r="G9" s="2352"/>
      <c r="H9" s="2352"/>
      <c r="I9" s="2381"/>
      <c r="J9" s="2382"/>
      <c r="K9" s="2349"/>
      <c r="L9" s="1587"/>
      <c r="P9" s="2350"/>
      <c r="Q9" s="2350"/>
      <c r="R9" s="2440"/>
      <c r="S9" s="2435"/>
      <c r="T9" s="2513"/>
      <c r="U9" s="437"/>
      <c r="V9" s="4152"/>
      <c r="W9" s="4208"/>
      <c r="X9" s="4152"/>
      <c r="Y9" s="4208"/>
      <c r="Z9" s="4152"/>
      <c r="AA9" s="4152"/>
      <c r="AB9" s="4152"/>
      <c r="AC9" s="4152"/>
      <c r="AD9" s="2160"/>
      <c r="AE9" s="2423"/>
      <c r="AF9" s="2424"/>
      <c r="AG9" s="2516"/>
      <c r="AH9" s="2069"/>
      <c r="AI9" s="2423"/>
      <c r="AJ9" s="2424"/>
      <c r="AK9" s="2515"/>
      <c r="AL9" s="2069"/>
      <c r="AM9" s="2508"/>
      <c r="AN9" s="2424"/>
      <c r="AO9" s="2509"/>
      <c r="AP9" s="2511"/>
      <c r="AQ9" s="457"/>
      <c r="AR9" s="579"/>
      <c r="AS9" s="579" t="s">
        <v>1706</v>
      </c>
      <c r="AT9" s="4152"/>
      <c r="AU9" s="4208"/>
      <c r="AV9" s="4152"/>
      <c r="AW9" s="4208"/>
      <c r="AX9" s="4152"/>
      <c r="AY9" s="4152"/>
      <c r="AZ9" s="4152"/>
      <c r="BA9" s="4152"/>
      <c r="BB9" s="4206"/>
      <c r="BC9" s="2347"/>
      <c r="BE9" s="664"/>
      <c r="BF9" s="664"/>
      <c r="BG9" s="664"/>
      <c r="BH9" s="664"/>
    </row>
    <row customHeight="1" ht="11.25" hidden="1">
      <c r="A10" s="1586"/>
      <c r="B10" s="1586"/>
      <c r="C10" s="1586"/>
      <c r="D10" s="1586"/>
      <c r="E10" s="2352"/>
      <c r="F10" s="2352"/>
      <c r="G10" s="2352"/>
      <c r="H10" s="2352"/>
      <c r="I10" s="2381"/>
      <c r="J10" s="2382"/>
      <c r="K10" s="2349"/>
      <c r="L10" s="1587"/>
      <c r="P10" s="2350"/>
      <c r="Q10" s="2350"/>
      <c r="R10" s="2440"/>
      <c r="S10" s="2435"/>
      <c r="T10" s="2513"/>
      <c r="U10" s="437"/>
      <c r="V10" s="4152"/>
      <c r="W10" s="4208"/>
      <c r="X10" s="4152"/>
      <c r="Y10" s="4208"/>
      <c r="Z10" s="4152"/>
      <c r="AA10" s="4152"/>
      <c r="AB10" s="4152"/>
      <c r="AC10" s="4152"/>
      <c r="AD10" s="2160"/>
      <c r="AE10" s="2423"/>
      <c r="AF10" s="2424"/>
      <c r="AG10" s="2516"/>
      <c r="AH10" s="2069"/>
      <c r="AI10" s="2423"/>
      <c r="AJ10" s="2424"/>
      <c r="AK10" s="2515"/>
      <c r="AL10" s="2069"/>
      <c r="AM10" s="457"/>
      <c r="AN10" s="1724"/>
      <c r="AO10" s="1724" t="s">
        <v>2113</v>
      </c>
      <c r="AP10" s="579"/>
      <c r="AQ10" s="579"/>
      <c r="AR10" s="579"/>
      <c r="AS10" s="4152"/>
      <c r="AT10" s="4152"/>
      <c r="AU10" s="4208"/>
      <c r="AV10" s="4152"/>
      <c r="AW10" s="4208"/>
      <c r="AX10" s="4152"/>
      <c r="AY10" s="4152"/>
      <c r="AZ10" s="4152"/>
      <c r="BA10" s="4152"/>
      <c r="BB10" s="4206"/>
      <c r="BC10" s="2347"/>
      <c r="BE10" s="664"/>
      <c r="BF10" s="664"/>
      <c r="BG10" s="664"/>
      <c r="BH10" s="664"/>
    </row>
    <row customHeight="1" ht="11.25" hidden="1">
      <c r="A11" s="1586"/>
      <c r="B11" s="1586"/>
      <c r="C11" s="1586"/>
      <c r="D11" s="1586"/>
      <c r="E11" s="2352"/>
      <c r="F11" s="2352"/>
      <c r="G11" s="2352"/>
      <c r="H11" s="2352"/>
      <c r="I11" s="2381"/>
      <c r="J11" s="2382"/>
      <c r="K11" s="2349"/>
      <c r="L11" s="1587"/>
      <c r="P11" s="2350"/>
      <c r="Q11" s="2350"/>
      <c r="R11" s="2440"/>
      <c r="S11" s="2435"/>
      <c r="T11" s="2513"/>
      <c r="U11" s="437"/>
      <c r="V11" s="4152"/>
      <c r="W11" s="4208"/>
      <c r="X11" s="4152"/>
      <c r="Y11" s="4208"/>
      <c r="Z11" s="4152"/>
      <c r="AA11" s="4152"/>
      <c r="AB11" s="4152"/>
      <c r="AC11" s="4152"/>
      <c r="AD11" s="2160"/>
      <c r="AE11" s="2423"/>
      <c r="AF11" s="2424"/>
      <c r="AG11" s="2516"/>
      <c r="AH11" s="2069"/>
      <c r="AI11" s="431"/>
      <c r="AJ11" s="578"/>
      <c r="AK11" s="452" t="s">
        <v>2114</v>
      </c>
      <c r="AL11" s="4152"/>
      <c r="AM11" s="4152"/>
      <c r="AN11" s="4152"/>
      <c r="AO11" s="4152"/>
      <c r="AP11" s="4152"/>
      <c r="AQ11" s="4152"/>
      <c r="AR11" s="4152"/>
      <c r="AS11" s="4152"/>
      <c r="AT11" s="4152"/>
      <c r="AU11" s="4208"/>
      <c r="AV11" s="4152"/>
      <c r="AW11" s="4208"/>
      <c r="AX11" s="4152"/>
      <c r="AY11" s="4152"/>
      <c r="AZ11" s="4152"/>
      <c r="BA11" s="4152"/>
      <c r="BB11" s="4206"/>
      <c r="BC11" s="2347"/>
      <c r="BE11" s="664"/>
      <c r="BF11" s="664"/>
      <c r="BG11" s="664"/>
      <c r="BH11" s="664"/>
    </row>
    <row customHeight="1" ht="11.25" hidden="1">
      <c r="A12" s="1586"/>
      <c r="B12" s="1586"/>
      <c r="C12" s="1586"/>
      <c r="D12" s="1586"/>
      <c r="E12" s="2352"/>
      <c r="F12" s="2352"/>
      <c r="G12" s="2352"/>
      <c r="H12" s="2352"/>
      <c r="I12" s="2381"/>
      <c r="J12" s="2382"/>
      <c r="K12" s="2349"/>
      <c r="L12" s="1587"/>
      <c r="P12" s="2350"/>
      <c r="Q12" s="2350"/>
      <c r="R12" s="2440"/>
      <c r="S12" s="2436"/>
      <c r="T12" s="2514"/>
      <c r="U12" s="437"/>
      <c r="V12" s="4152"/>
      <c r="W12" s="4153" t="str">
        <f>Z8&amp;"-"&amp;AB8</f>
        <v>-</v>
      </c>
      <c r="X12" s="4152"/>
      <c r="Y12" s="4153" t="str">
        <f>AB8&amp;"-"&amp;AD8</f>
        <v>-да</v>
      </c>
      <c r="Z12" s="4152"/>
      <c r="AA12" s="4152"/>
      <c r="AB12" s="4152"/>
      <c r="AC12" s="4152"/>
      <c r="AD12" s="2074"/>
      <c r="AE12" s="451"/>
      <c r="AF12" s="453"/>
      <c r="AG12" s="579" t="s">
        <v>1709</v>
      </c>
      <c r="AH12" s="4152"/>
      <c r="AI12" s="4152"/>
      <c r="AJ12" s="4152"/>
      <c r="AK12" s="4152"/>
      <c r="AL12" s="4152"/>
      <c r="AM12" s="4152"/>
      <c r="AN12" s="4152"/>
      <c r="AO12" s="4152"/>
      <c r="AP12" s="4152"/>
      <c r="AQ12" s="4152"/>
      <c r="AR12" s="4152"/>
      <c r="AS12" s="4152"/>
      <c r="AT12" s="4152"/>
      <c r="AU12" s="4153" t="str">
        <f>AX8&amp;"-"&amp;AZ8</f>
        <v>-</v>
      </c>
      <c r="AV12" s="4152"/>
      <c r="AW12" s="4153" t="str">
        <f>AZ8&amp;"-"&amp;BB8</f>
        <v>-</v>
      </c>
      <c r="AX12" s="4152"/>
      <c r="AY12" s="4152"/>
      <c r="AZ12" s="4152"/>
      <c r="BA12" s="4152"/>
      <c r="BB12" s="4213" t="str">
        <f>BE8&amp;"-"&amp;BG8</f>
        <v>-</v>
      </c>
      <c r="BC12" s="2347"/>
      <c r="BE12" s="664"/>
      <c r="BF12" s="664" t="str">
        <f>IF(T12="","",T12)</f>
        <v/>
      </c>
      <c r="BG12" s="664"/>
      <c r="BH12" s="664"/>
    </row>
    <row customHeight="1" ht="11.25" hidden="1">
      <c r="A13" s="1586"/>
      <c r="B13" s="1586"/>
      <c r="C13" s="1586"/>
      <c r="D13" s="1586"/>
      <c r="E13" s="2352"/>
      <c r="F13" s="2352"/>
      <c r="G13" s="2352"/>
      <c r="H13" s="2352"/>
      <c r="I13" s="2381"/>
      <c r="J13" s="2349"/>
      <c r="K13" s="1586"/>
      <c r="L13" s="1587"/>
      <c r="P13" s="2350"/>
      <c r="Q13" s="2350"/>
      <c r="R13" s="504"/>
      <c r="S13" s="1495"/>
      <c r="T13" s="424" t="s">
        <v>1549</v>
      </c>
      <c r="U13" s="519"/>
      <c r="V13" s="519"/>
      <c r="W13" s="519"/>
      <c r="X13" s="519"/>
      <c r="Y13" s="519"/>
      <c r="Z13" s="519"/>
      <c r="AA13" s="519"/>
      <c r="AB13" s="519"/>
      <c r="AC13" s="519"/>
      <c r="AD13" s="1729"/>
      <c r="AE13" s="519"/>
      <c r="AF13" s="519"/>
      <c r="AG13" s="519"/>
      <c r="AH13" s="519"/>
      <c r="AI13" s="519"/>
      <c r="AJ13" s="519"/>
      <c r="AK13" s="519"/>
      <c r="AL13" s="519"/>
      <c r="AM13" s="519"/>
      <c r="AN13" s="519"/>
      <c r="AO13" s="519"/>
      <c r="AP13" s="519"/>
      <c r="AQ13" s="519"/>
      <c r="AR13" s="519"/>
      <c r="AS13" s="519"/>
      <c r="AT13" s="519"/>
      <c r="AU13" s="519"/>
      <c r="AV13" s="519"/>
      <c r="AW13" s="519"/>
      <c r="AX13" s="519"/>
      <c r="AY13" s="519"/>
      <c r="AZ13" s="519"/>
      <c r="BA13" s="519"/>
      <c r="BB13" s="471"/>
      <c r="BC13" s="2348"/>
      <c r="BE13" s="664"/>
      <c r="BF13" s="664" t="str">
        <f>IF(T13="","",T13)</f>
        <v>Добавить строку</v>
      </c>
      <c r="BG13" s="664"/>
      <c r="BH13" s="664"/>
    </row>
    <row s="6608" customFormat="1" customHeight="1" ht="14.25" hidden="1">
      <c r="A14" s="1565"/>
      <c r="B14" s="1565"/>
      <c r="C14" s="1565"/>
      <c r="D14" s="1565"/>
      <c r="E14" s="2352"/>
      <c r="F14" s="2352"/>
      <c r="G14" s="2352"/>
      <c r="H14" s="2352"/>
      <c r="I14" s="2380"/>
      <c r="J14" s="1565"/>
      <c r="K14" s="1565"/>
      <c r="L14" s="1568"/>
      <c r="M14" s="674"/>
      <c r="N14" s="674"/>
      <c r="O14" s="674"/>
      <c r="P14" s="2350"/>
      <c r="Q14" s="1705"/>
      <c r="R14" s="504"/>
      <c r="S14" s="1609"/>
      <c r="T14" s="1610"/>
      <c r="U14" s="1611"/>
      <c r="V14" s="1611"/>
      <c r="W14" s="1611"/>
      <c r="X14" s="1611"/>
      <c r="Y14" s="1611"/>
      <c r="Z14" s="1611"/>
      <c r="AA14" s="1611"/>
      <c r="AB14" s="1611"/>
      <c r="AC14" s="1611"/>
      <c r="AD14" s="1611"/>
      <c r="AE14" s="1611"/>
      <c r="AF14" s="1611"/>
      <c r="AG14" s="1611"/>
      <c r="AH14" s="1611"/>
      <c r="AI14" s="1611"/>
      <c r="AJ14" s="1611"/>
      <c r="AK14" s="1611"/>
      <c r="AL14" s="1611"/>
      <c r="AM14" s="1611"/>
      <c r="AN14" s="1611"/>
      <c r="AO14" s="1611"/>
      <c r="AP14" s="1611"/>
      <c r="AQ14" s="1611"/>
      <c r="AR14" s="1611"/>
      <c r="AS14" s="1611"/>
      <c r="AT14" s="1611"/>
      <c r="AU14" s="1611"/>
      <c r="AV14" s="1611"/>
      <c r="AW14" s="1611"/>
      <c r="AX14" s="1611"/>
      <c r="AY14" s="1611"/>
      <c r="AZ14" s="1611"/>
      <c r="BA14" s="1611"/>
      <c r="BB14" s="1611"/>
      <c r="BC14" s="1612"/>
      <c r="BE14" s="664"/>
      <c r="BF14" s="664" t="str">
        <f>IF(T14="","",T14)</f>
        <v/>
      </c>
      <c r="BG14" s="664"/>
      <c r="BH14" s="664"/>
    </row>
    <row s="6608" customFormat="1" customHeight="1" ht="14.25" hidden="1">
      <c r="A15" s="1565"/>
      <c r="B15" s="1565"/>
      <c r="C15" s="1565"/>
      <c r="D15" s="1565"/>
      <c r="E15" s="2352"/>
      <c r="F15" s="2352"/>
      <c r="G15" s="2352"/>
      <c r="H15" s="2351"/>
      <c r="I15" s="1565"/>
      <c r="J15" s="1565"/>
      <c r="K15" s="1565"/>
      <c r="L15" s="1568"/>
      <c r="M15" s="1537"/>
      <c r="N15" s="1537"/>
      <c r="O15" s="682"/>
      <c r="P15" s="537"/>
      <c r="Q15" s="1566"/>
      <c r="R15" s="1624"/>
      <c r="S15" s="1609"/>
      <c r="T15" s="1610"/>
      <c r="U15" s="1611"/>
      <c r="V15" s="1611"/>
      <c r="W15" s="1611"/>
      <c r="X15" s="1611"/>
      <c r="Y15" s="1611"/>
      <c r="Z15" s="1611"/>
      <c r="AA15" s="1611"/>
      <c r="AB15" s="1611"/>
      <c r="AC15" s="1611"/>
      <c r="AD15" s="1611"/>
      <c r="AE15" s="1611"/>
      <c r="AF15" s="1611"/>
      <c r="AG15" s="1611"/>
      <c r="AH15" s="1611"/>
      <c r="AI15" s="1611"/>
      <c r="AJ15" s="1611"/>
      <c r="AK15" s="1611"/>
      <c r="AL15" s="1611"/>
      <c r="AM15" s="1611"/>
      <c r="AN15" s="1611"/>
      <c r="AO15" s="1611"/>
      <c r="AP15" s="1611"/>
      <c r="AQ15" s="1611"/>
      <c r="AR15" s="1611"/>
      <c r="AS15" s="1611"/>
      <c r="AT15" s="1611"/>
      <c r="AU15" s="1611"/>
      <c r="AV15" s="1611"/>
      <c r="AW15" s="1611"/>
      <c r="AX15" s="1611"/>
      <c r="AY15" s="1611"/>
      <c r="AZ15" s="1611"/>
      <c r="BA15" s="1611"/>
      <c r="BB15" s="1611"/>
      <c r="BC15" s="1612"/>
      <c r="BE15" s="664"/>
      <c r="BF15" s="664" t="str">
        <f>IF(T15="","",T15)</f>
        <v/>
      </c>
      <c r="BG15" s="664"/>
      <c r="BH15" s="664"/>
    </row>
    <row s="6520" customFormat="1" customHeight="1" ht="14.25" hidden="1">
      <c r="A16" s="1565"/>
      <c r="B16" s="1565"/>
      <c r="C16" s="1565"/>
      <c r="D16" s="1536"/>
      <c r="E16" s="2352"/>
      <c r="F16" s="2352"/>
      <c r="G16" s="2351"/>
      <c r="H16" s="1536"/>
      <c r="I16" s="1536"/>
      <c r="J16" s="1536"/>
      <c r="K16" s="1536"/>
      <c r="L16" s="1718"/>
      <c r="M16" s="1537"/>
      <c r="N16" s="1537"/>
      <c r="P16" s="1538"/>
      <c r="Q16" s="1539"/>
      <c r="R16" s="1538"/>
      <c r="S16" s="1544"/>
      <c r="T16" s="1547"/>
      <c r="U16" s="1546"/>
      <c r="V16" s="1546"/>
      <c r="W16" s="1546"/>
      <c r="X16" s="1546"/>
      <c r="Y16" s="1546"/>
      <c r="Z16" s="1546"/>
      <c r="AA16" s="1546"/>
      <c r="AB16" s="1546"/>
      <c r="AC16" s="1546"/>
      <c r="AD16" s="1546"/>
      <c r="AE16" s="1546"/>
      <c r="AF16" s="1546"/>
      <c r="AG16" s="1546"/>
      <c r="AH16" s="1546"/>
      <c r="AI16" s="1546"/>
      <c r="AJ16" s="1546"/>
      <c r="AK16" s="1546"/>
      <c r="AL16" s="1546"/>
      <c r="AM16" s="1546"/>
      <c r="AN16" s="1546"/>
      <c r="AO16" s="1546"/>
      <c r="AP16" s="1546"/>
      <c r="AQ16" s="1546"/>
      <c r="AR16" s="1546"/>
      <c r="AS16" s="1546"/>
      <c r="AT16" s="1546"/>
      <c r="AU16" s="1546"/>
      <c r="AV16" s="1546"/>
      <c r="AW16" s="1546"/>
      <c r="AX16" s="1546"/>
      <c r="AY16" s="1546"/>
      <c r="AZ16" s="1546"/>
      <c r="BA16" s="1546"/>
      <c r="BB16" s="1546"/>
      <c r="BC16" s="1546"/>
      <c r="BE16" s="956"/>
      <c r="BF16" s="956" t="str">
        <f>IF(T16="","",T16)</f>
        <v/>
      </c>
      <c r="BG16" s="956"/>
      <c r="BH16" s="956"/>
    </row>
    <row s="6520" customFormat="1" customHeight="1" ht="14.25" hidden="1">
      <c r="A17" s="1565"/>
      <c r="B17" s="1565"/>
      <c r="C17" s="1536"/>
      <c r="D17" s="1536"/>
      <c r="E17" s="2352"/>
      <c r="F17" s="2351"/>
      <c r="G17" s="1536"/>
      <c r="H17" s="1536"/>
      <c r="I17" s="1536"/>
      <c r="J17" s="1536"/>
      <c r="K17" s="1536"/>
      <c r="L17" s="1718"/>
      <c r="M17" s="1543"/>
      <c r="N17" s="1543"/>
      <c r="P17" s="1538"/>
      <c r="Q17" s="1539"/>
      <c r="R17" s="1538"/>
      <c r="S17" s="1544"/>
      <c r="T17" s="1547" t="s">
        <v>1445</v>
      </c>
      <c r="U17" s="1546"/>
      <c r="V17" s="1546"/>
      <c r="W17" s="1546"/>
      <c r="X17" s="1546"/>
      <c r="Y17" s="1546"/>
      <c r="Z17" s="1546"/>
      <c r="AA17" s="1546"/>
      <c r="AB17" s="1546"/>
      <c r="AC17" s="1546"/>
      <c r="AD17" s="1546"/>
      <c r="AE17" s="1546"/>
      <c r="AF17" s="1546"/>
      <c r="AG17" s="1546"/>
      <c r="AH17" s="1546"/>
      <c r="AI17" s="1546"/>
      <c r="AJ17" s="1546"/>
      <c r="AK17" s="1546"/>
      <c r="AL17" s="1546"/>
      <c r="AM17" s="1546"/>
      <c r="AN17" s="1546"/>
      <c r="AO17" s="1546"/>
      <c r="AP17" s="1546"/>
      <c r="AQ17" s="1546"/>
      <c r="AR17" s="1546"/>
      <c r="AS17" s="1546"/>
      <c r="AT17" s="1546"/>
      <c r="AU17" s="1546"/>
      <c r="AV17" s="1546"/>
      <c r="AW17" s="1546"/>
      <c r="AX17" s="1546"/>
      <c r="AY17" s="1546"/>
      <c r="AZ17" s="1546"/>
      <c r="BA17" s="1546"/>
      <c r="BB17" s="1546"/>
      <c r="BC17" s="1546"/>
      <c r="BE17" s="956"/>
      <c r="BF17" s="956" t="str">
        <f>IF(T17="","",T17)</f>
        <v>Добавить централизованную систему для дифференциации</v>
      </c>
      <c r="BG17" s="956"/>
      <c r="BH17" s="956"/>
    </row>
    <row s="6608" customFormat="1" customHeight="1" ht="14.25" hidden="1">
      <c r="A18" s="1565"/>
      <c r="B18" s="1565"/>
      <c r="C18" s="1565"/>
      <c r="D18" s="1565"/>
      <c r="E18" s="2351"/>
      <c r="F18" s="1565"/>
      <c r="G18" s="1565"/>
      <c r="H18" s="1565"/>
      <c r="I18" s="1565"/>
      <c r="J18" s="1565"/>
      <c r="K18" s="1565"/>
      <c r="L18" s="1568"/>
      <c r="M18" s="1543"/>
      <c r="N18" s="1543"/>
      <c r="O18" s="682"/>
      <c r="P18" s="537"/>
      <c r="Q18" s="1566"/>
      <c r="R18" s="537"/>
      <c r="S18" s="1544"/>
      <c r="T18" s="1547" t="s">
        <v>1446</v>
      </c>
      <c r="U18" s="1546"/>
      <c r="V18" s="1546"/>
      <c r="W18" s="1546"/>
      <c r="X18" s="1546"/>
      <c r="Y18" s="1546"/>
      <c r="Z18" s="1546"/>
      <c r="AA18" s="1546"/>
      <c r="AB18" s="1546"/>
      <c r="AC18" s="1546"/>
      <c r="AD18" s="1546"/>
      <c r="AE18" s="1546"/>
      <c r="AF18" s="1546"/>
      <c r="AG18" s="1546"/>
      <c r="AH18" s="1546"/>
      <c r="AI18" s="1546"/>
      <c r="AJ18" s="1546"/>
      <c r="AK18" s="1546"/>
      <c r="AL18" s="1546"/>
      <c r="AM18" s="1546"/>
      <c r="AN18" s="1546"/>
      <c r="AO18" s="1546"/>
      <c r="AP18" s="1546"/>
      <c r="AQ18" s="1546"/>
      <c r="AR18" s="1546"/>
      <c r="AS18" s="1546"/>
      <c r="AT18" s="1546"/>
      <c r="AU18" s="1546"/>
      <c r="AV18" s="1546"/>
      <c r="AW18" s="1546"/>
      <c r="AX18" s="1546"/>
      <c r="AY18" s="1546"/>
      <c r="AZ18" s="1546"/>
      <c r="BA18" s="1546"/>
      <c r="BB18" s="1546"/>
      <c r="BC18" s="1546"/>
      <c r="BE18" s="664"/>
      <c r="BF18" s="664" t="str">
        <f>IF(T18="","",T18)</f>
        <v>Добавить территорию для дифференциации</v>
      </c>
      <c r="BG18" s="664"/>
      <c r="BH18" s="664"/>
    </row>
    <row customHeight="1" ht="14.25" hidden="1">
      <c r="AC19" s="475"/>
      <c r="BA19" s="475"/>
    </row>
    <row customHeight="1" ht="14.25" hidden="1">
      <c r="AD20" s="1546" t="s">
        <v>56</v>
      </c>
      <c r="AE20" s="1725"/>
      <c r="AF20" s="712">
        <v>1</v>
      </c>
      <c r="AG20" s="1726"/>
      <c r="AH20" s="1546" t="s">
        <v>56</v>
      </c>
      <c r="AI20" s="1725"/>
      <c r="AJ20" s="712">
        <v>1</v>
      </c>
      <c r="AK20" s="1726"/>
      <c r="AL20" s="1546" t="s">
        <v>56</v>
      </c>
      <c r="AM20" s="1727"/>
      <c r="AN20" s="712">
        <v>1</v>
      </c>
      <c r="AO20" s="1728"/>
      <c r="AP20" s="1546" t="s">
        <v>56</v>
      </c>
      <c r="AQ20" s="1727"/>
      <c r="AR20" s="712">
        <v>1</v>
      </c>
      <c r="AS20" s="1728"/>
      <c r="AT20" s="3993"/>
      <c r="AU20" s="4113"/>
      <c r="AV20" s="3993"/>
      <c r="AW20" s="4113"/>
      <c r="AX20" s="1978"/>
      <c r="AY20" s="1709" t="s">
        <v>66</v>
      </c>
      <c r="AZ20" s="1978"/>
      <c r="BA20" s="1709" t="s">
        <v>66</v>
      </c>
    </row>
    <row customHeight="1" ht="14.25" hidden="1">
      <c r="BD21" s="660"/>
      <c r="BE21" s="660"/>
      <c r="BF21" s="660"/>
      <c r="BG21" s="660"/>
      <c r="BH21" s="660"/>
    </row>
    <row customHeight="1" ht="14.25" hidden="1">
      <c r="O22" s="1590" t="s">
        <v>1486</v>
      </c>
      <c r="Z22" s="1567"/>
      <c r="AB22" s="1567"/>
      <c r="AC22" s="475"/>
      <c r="AX22" s="1567"/>
      <c r="AZ22" s="1567"/>
      <c r="BA22" s="475"/>
      <c r="BD22" s="660"/>
      <c r="BE22" s="660"/>
      <c r="BF22" s="660"/>
      <c r="BG22" s="660"/>
      <c r="BH22" s="660"/>
    </row>
    <row customHeight="1" ht="14.25" hidden="1">
      <c r="AC23" s="475"/>
      <c r="BA23" s="475"/>
      <c r="BD23" s="660"/>
      <c r="BE23" s="660"/>
      <c r="BF23" s="660"/>
      <c r="BG23" s="660"/>
      <c r="BH23" s="660"/>
    </row>
    <row s="6744" customFormat="1" customHeight="1" ht="14.25" hidden="1">
      <c r="M24" s="1732"/>
      <c r="N24" s="1732"/>
      <c r="O24" s="1733" t="s">
        <v>1487</v>
      </c>
      <c r="P24" s="1732"/>
      <c r="Q24" s="1734"/>
      <c r="R24" s="1734"/>
      <c r="AA24" s="1731" t="s">
        <v>1489</v>
      </c>
      <c r="AC24" s="1731" t="s">
        <v>1490</v>
      </c>
      <c r="AD24" s="1731" t="s">
        <v>1550</v>
      </c>
      <c r="AH24" s="1731" t="s">
        <v>1550</v>
      </c>
      <c r="AK24" s="1731" t="s">
        <v>1710</v>
      </c>
      <c r="AL24" s="1731" t="s">
        <v>1550</v>
      </c>
      <c r="AP24" s="1731" t="s">
        <v>1550</v>
      </c>
      <c r="AY24" s="1731" t="s">
        <v>1489</v>
      </c>
      <c r="BA24" s="1731" t="s">
        <v>1490</v>
      </c>
      <c r="BD24" s="1735"/>
      <c r="BE24" s="1735"/>
      <c r="BF24" s="1735"/>
      <c r="BG24" s="1735"/>
      <c r="BH24" s="1735"/>
    </row>
    <row customHeight="1" ht="14.25" hidden="1">
      <c r="O25" s="1587"/>
      <c r="BD25" s="660"/>
      <c r="BE25" s="660"/>
      <c r="BF25" s="660"/>
      <c r="BG25" s="660"/>
      <c r="BH25" s="660"/>
    </row>
    <row customHeight="1" ht="14.25" hidden="1">
      <c r="O26" s="1587"/>
      <c r="BD26" s="660"/>
      <c r="BE26" s="660"/>
      <c r="BF26" s="660"/>
      <c r="BG26" s="660"/>
      <c r="BH26" s="660"/>
    </row>
    <row customHeight="1" ht="14.25">
      <c r="Q27" s="428"/>
      <c r="R27" s="529"/>
      <c r="S27" s="1492"/>
      <c r="T27" s="513"/>
      <c r="U27" s="513"/>
      <c r="V27" s="673"/>
      <c r="W27" s="673"/>
      <c r="X27" s="673"/>
      <c r="Y27" s="673"/>
      <c r="Z27" s="673"/>
      <c r="AA27" s="673"/>
      <c r="AB27" s="673"/>
      <c r="AC27" s="673"/>
      <c r="AD27" s="673"/>
      <c r="AE27" s="673"/>
      <c r="AF27" s="673"/>
      <c r="AG27" s="673"/>
      <c r="AH27" s="673"/>
      <c r="AI27" s="673"/>
      <c r="AJ27" s="673"/>
      <c r="AK27" s="673"/>
      <c r="AL27" s="673"/>
      <c r="AM27" s="673"/>
      <c r="AN27" s="673"/>
      <c r="AO27" s="673"/>
      <c r="AP27" s="673"/>
      <c r="AQ27" s="673"/>
      <c r="AR27" s="673"/>
      <c r="AS27" s="673"/>
      <c r="AT27" s="673"/>
      <c r="AU27" s="673"/>
      <c r="AV27" s="673"/>
      <c r="AW27" s="673"/>
      <c r="AX27" s="673"/>
      <c r="AY27" s="673"/>
      <c r="AZ27" s="673"/>
      <c r="BA27" s="673"/>
    </row>
    <row customHeight="1" ht="33.75">
      <c r="Q28" s="428"/>
      <c r="R28" s="529"/>
      <c r="S28" s="2341" t="str">
        <f>IF(TEMPLATE_GROUP="P",PT_P_FORM_VOTV_5_NAME_FORM,PT_R_FORM_VOTV_17_NAME_FORM)</f>
        <v>Форма 17. Информация о предложении расчетной величины тарифов на подключение к централизованной системе водоотведения &lt;1&gt;</v>
      </c>
      <c r="T28" s="2341"/>
      <c r="U28" s="2341"/>
      <c r="V28" s="2341"/>
      <c r="W28" s="2341"/>
      <c r="X28" s="2341"/>
      <c r="Y28" s="2341"/>
      <c r="Z28" s="2341"/>
      <c r="AA28" s="2341"/>
      <c r="AB28" s="2341"/>
      <c r="AC28" s="2341"/>
      <c r="AD28" s="2341"/>
      <c r="AE28" s="2341"/>
      <c r="AF28" s="2341"/>
      <c r="AG28" s="2341"/>
      <c r="AH28" s="2341"/>
      <c r="AI28" s="2341"/>
      <c r="AJ28" s="2341"/>
      <c r="AK28" s="2341"/>
      <c r="AL28" s="2341"/>
      <c r="AM28" s="2341"/>
      <c r="AN28" s="2341"/>
      <c r="AO28" s="2341"/>
      <c r="AP28" s="2341"/>
      <c r="AQ28" s="2341"/>
      <c r="AR28" s="2341"/>
      <c r="AS28" s="2341"/>
      <c r="AT28" s="2341"/>
      <c r="AU28" s="2341"/>
      <c r="AV28" s="2341"/>
      <c r="AW28" s="2341"/>
      <c r="AX28" s="2341"/>
      <c r="AY28" s="2341"/>
      <c r="AZ28" s="2341"/>
      <c r="BA28" s="1448"/>
    </row>
    <row customHeight="1" ht="14.25">
      <c r="Q29" s="428"/>
      <c r="R29" s="529"/>
      <c r="S29" s="2342" t="str">
        <f>IF(org=0,"Не определено",org)</f>
        <v>Северо-Кавказская дирекция по тепловодоснабжению структурное подразделение Центральной дирекции по тепловодоснабжению - филиала ОАО "РЖД"</v>
      </c>
      <c r="T29" s="2342"/>
      <c r="U29" s="2342"/>
      <c r="V29" s="2342"/>
      <c r="W29" s="2342"/>
      <c r="X29" s="2342"/>
      <c r="Y29" s="2342"/>
      <c r="Z29" s="2342"/>
      <c r="AA29" s="2342"/>
      <c r="AB29" s="2342"/>
      <c r="AC29" s="2342"/>
      <c r="AD29" s="2342"/>
      <c r="AE29" s="2342"/>
      <c r="AF29" s="2342"/>
      <c r="AG29" s="2342"/>
      <c r="AH29" s="2342"/>
      <c r="AI29" s="2342"/>
      <c r="AJ29" s="2342"/>
      <c r="AK29" s="2342"/>
      <c r="AL29" s="2342"/>
      <c r="AM29" s="2342"/>
      <c r="AN29" s="2342"/>
      <c r="AO29" s="2342"/>
      <c r="AP29" s="2342"/>
      <c r="AQ29" s="2342"/>
      <c r="AR29" s="2342"/>
      <c r="AS29" s="2342"/>
      <c r="AT29" s="2342"/>
      <c r="AU29" s="2342"/>
      <c r="AV29" s="2342"/>
      <c r="AW29" s="2342"/>
      <c r="AX29" s="2342"/>
      <c r="AY29" s="2342"/>
      <c r="AZ29" s="2342"/>
      <c r="BA29" s="1448"/>
    </row>
    <row customHeight="1" ht="14.25" hidden="1">
      <c r="Q30" s="428"/>
      <c r="R30" s="529"/>
      <c r="S30" s="1492"/>
      <c r="T30" s="513"/>
      <c r="U30" s="513"/>
      <c r="V30" s="468"/>
      <c r="W30" s="468"/>
      <c r="X30" s="468"/>
      <c r="Y30" s="468"/>
      <c r="Z30" s="468"/>
      <c r="AA30" s="468"/>
      <c r="AB30" s="468"/>
      <c r="AC30" s="468"/>
      <c r="AD30" s="468"/>
      <c r="AE30" s="468"/>
      <c r="AF30" s="468"/>
      <c r="AG30" s="468"/>
      <c r="AH30" s="468"/>
      <c r="AI30" s="468"/>
      <c r="AJ30" s="468"/>
      <c r="AK30" s="468"/>
      <c r="AL30" s="468"/>
      <c r="AM30" s="468"/>
      <c r="AN30" s="468"/>
      <c r="AO30" s="468"/>
      <c r="AP30" s="468"/>
      <c r="AQ30" s="468"/>
      <c r="AR30" s="468"/>
      <c r="AS30" s="468"/>
      <c r="AT30" s="468"/>
      <c r="AU30" s="468"/>
      <c r="AV30" s="468"/>
      <c r="AW30" s="468"/>
      <c r="AX30" s="468"/>
      <c r="AY30" s="468"/>
      <c r="AZ30" s="468"/>
      <c r="BA30" s="468"/>
      <c r="BB30" s="673"/>
    </row>
    <row s="6550" customFormat="1" customHeight="1" ht="25.5" hidden="1">
      <c r="A31" s="1591"/>
      <c r="B31" s="1591"/>
      <c r="C31" s="1591"/>
      <c r="D31" s="1591"/>
      <c r="E31" s="1591"/>
      <c r="F31" s="1591"/>
      <c r="G31" s="1591"/>
      <c r="H31" s="1591"/>
      <c r="I31" s="1591"/>
      <c r="J31" s="1591"/>
      <c r="K31" s="1591"/>
      <c r="L31" s="1592"/>
      <c r="M31" s="1591"/>
      <c r="N31" s="1591"/>
      <c r="O31" s="1591"/>
      <c r="P31" s="1591"/>
      <c r="Q31" s="1591"/>
      <c r="S31" s="2343" t="s">
        <v>39</v>
      </c>
      <c r="T31" s="2343"/>
      <c r="U31" s="1595"/>
      <c r="V31" s="2344"/>
      <c r="W31" s="2344"/>
      <c r="X31" s="2344"/>
      <c r="Y31" s="2344"/>
      <c r="Z31" s="2344"/>
      <c r="AA31" s="2344"/>
      <c r="AB31" s="2344"/>
      <c r="AC31" s="474"/>
      <c r="AD31" s="2344" t="str">
        <f>IF(TITLE_NAME_OR_PR_CHANGE="",IF(TITLE_NAME_OR_PR="","",TITLE_NAME_OR_PR),TITLE_NAME_OR_PR_CHANGE)</f>
        <v/>
      </c>
      <c r="AE31" s="2344"/>
      <c r="AF31" s="2344"/>
      <c r="AG31" s="2344"/>
      <c r="AH31" s="2344"/>
      <c r="AI31" s="2344"/>
      <c r="AJ31" s="2344"/>
      <c r="AK31" s="2344"/>
      <c r="AL31" s="2344"/>
      <c r="AM31" s="2344"/>
      <c r="AN31" s="2344"/>
      <c r="AO31" s="2344"/>
      <c r="AP31" s="2344"/>
      <c r="AQ31" s="2344"/>
      <c r="AR31" s="2344"/>
      <c r="AS31" s="2344"/>
      <c r="AT31" s="2344"/>
      <c r="AU31" s="2344"/>
      <c r="AV31" s="2344"/>
      <c r="AW31" s="2344"/>
      <c r="AX31" s="2344"/>
      <c r="AY31" s="2344"/>
      <c r="AZ31" s="2344"/>
      <c r="BA31" s="474"/>
      <c r="BB31" s="474"/>
      <c r="BC31" s="417"/>
      <c r="BD31" s="520"/>
      <c r="BE31" s="520"/>
      <c r="BF31" s="520"/>
      <c r="BG31" s="520"/>
      <c r="BH31" s="520"/>
    </row>
    <row s="6550" customFormat="1" customHeight="1" ht="18.75" hidden="1">
      <c r="A32" s="1591"/>
      <c r="B32" s="1591"/>
      <c r="C32" s="1591"/>
      <c r="D32" s="1591"/>
      <c r="E32" s="1591"/>
      <c r="F32" s="1591"/>
      <c r="G32" s="1591"/>
      <c r="H32" s="1591"/>
      <c r="I32" s="1591"/>
      <c r="J32" s="1591"/>
      <c r="K32" s="1591"/>
      <c r="L32" s="1592"/>
      <c r="M32" s="1591"/>
      <c r="N32" s="1591"/>
      <c r="O32" s="1591"/>
      <c r="P32" s="1591"/>
      <c r="Q32" s="1591"/>
      <c r="S32" s="2343" t="s">
        <v>1492</v>
      </c>
      <c r="T32" s="2343"/>
      <c r="U32" s="1595"/>
      <c r="V32" s="2344"/>
      <c r="W32" s="2344"/>
      <c r="X32" s="2344"/>
      <c r="Y32" s="2344"/>
      <c r="Z32" s="2344"/>
      <c r="AA32" s="2344"/>
      <c r="AB32" s="2344"/>
      <c r="AC32" s="474"/>
      <c r="AD32" s="2344" t="str">
        <f>IF(TITLE_DATE_CHANGE_PERIOD="",IF(TITLE_DATE_PR="","",TITLE_DATE_PR),TITLE_DATE_CHANGE_PERIOD)</f>
        <v/>
      </c>
      <c r="AE32" s="2344"/>
      <c r="AF32" s="2344"/>
      <c r="AG32" s="2344"/>
      <c r="AH32" s="2344"/>
      <c r="AI32" s="2344"/>
      <c r="AJ32" s="2344"/>
      <c r="AK32" s="2344"/>
      <c r="AL32" s="2344"/>
      <c r="AM32" s="2344"/>
      <c r="AN32" s="2344"/>
      <c r="AO32" s="2344"/>
      <c r="AP32" s="2344"/>
      <c r="AQ32" s="2344"/>
      <c r="AR32" s="2344"/>
      <c r="AS32" s="2344"/>
      <c r="AT32" s="2344"/>
      <c r="AU32" s="2344"/>
      <c r="AV32" s="2344"/>
      <c r="AW32" s="2344"/>
      <c r="AX32" s="2344"/>
      <c r="AY32" s="2344"/>
      <c r="AZ32" s="2344"/>
      <c r="BA32" s="474"/>
      <c r="BB32" s="474"/>
      <c r="BC32" s="417"/>
      <c r="BD32" s="520"/>
      <c r="BE32" s="520"/>
      <c r="BF32" s="520"/>
      <c r="BG32" s="520"/>
      <c r="BH32" s="520"/>
    </row>
    <row s="6550" customFormat="1" customHeight="1" ht="18.75" hidden="1">
      <c r="A33" s="1591"/>
      <c r="B33" s="1591"/>
      <c r="C33" s="1591"/>
      <c r="D33" s="1591"/>
      <c r="E33" s="1591"/>
      <c r="F33" s="1591"/>
      <c r="G33" s="1591"/>
      <c r="H33" s="1591"/>
      <c r="I33" s="1591"/>
      <c r="J33" s="1591"/>
      <c r="K33" s="1591"/>
      <c r="L33" s="1592"/>
      <c r="M33" s="1591"/>
      <c r="N33" s="1591"/>
      <c r="O33" s="1591"/>
      <c r="P33" s="1591"/>
      <c r="Q33" s="1591"/>
      <c r="S33" s="2343" t="s">
        <v>1493</v>
      </c>
      <c r="T33" s="2343"/>
      <c r="U33" s="1595"/>
      <c r="V33" s="2344"/>
      <c r="W33" s="2344"/>
      <c r="X33" s="2344"/>
      <c r="Y33" s="2344"/>
      <c r="Z33" s="2344"/>
      <c r="AA33" s="2344"/>
      <c r="AB33" s="2344"/>
      <c r="AC33" s="474"/>
      <c r="AD33" s="2344" t="str">
        <f>IF(TITLE_NUMBER_PR_CHANGE="",IF(TITLE_NUMBER_PR="","",TITLE_NUMBER_PR),TITLE_NUMBER_PR_CHANGE)</f>
        <v/>
      </c>
      <c r="AE33" s="2344"/>
      <c r="AF33" s="2344"/>
      <c r="AG33" s="2344"/>
      <c r="AH33" s="2344"/>
      <c r="AI33" s="2344"/>
      <c r="AJ33" s="2344"/>
      <c r="AK33" s="2344"/>
      <c r="AL33" s="2344"/>
      <c r="AM33" s="2344"/>
      <c r="AN33" s="2344"/>
      <c r="AO33" s="2344"/>
      <c r="AP33" s="2344"/>
      <c r="AQ33" s="2344"/>
      <c r="AR33" s="2344"/>
      <c r="AS33" s="2344"/>
      <c r="AT33" s="2344"/>
      <c r="AU33" s="2344"/>
      <c r="AV33" s="2344"/>
      <c r="AW33" s="2344"/>
      <c r="AX33" s="2344"/>
      <c r="AY33" s="2344"/>
      <c r="AZ33" s="2344"/>
      <c r="BA33" s="474"/>
      <c r="BB33" s="474"/>
      <c r="BC33" s="417"/>
      <c r="BD33" s="520"/>
      <c r="BE33" s="520"/>
      <c r="BF33" s="520"/>
      <c r="BG33" s="520"/>
      <c r="BH33" s="520"/>
    </row>
    <row s="6550" customFormat="1" customHeight="1" ht="18.75" hidden="1">
      <c r="A34" s="1591"/>
      <c r="B34" s="1591"/>
      <c r="C34" s="1591"/>
      <c r="D34" s="1591"/>
      <c r="E34" s="1591"/>
      <c r="F34" s="1591"/>
      <c r="G34" s="1591"/>
      <c r="H34" s="1591"/>
      <c r="I34" s="1591"/>
      <c r="J34" s="1591"/>
      <c r="K34" s="1591"/>
      <c r="L34" s="1592"/>
      <c r="M34" s="1591"/>
      <c r="N34" s="1591"/>
      <c r="O34" s="1591"/>
      <c r="P34" s="1591"/>
      <c r="Q34" s="1591"/>
      <c r="S34" s="2343" t="s">
        <v>40</v>
      </c>
      <c r="T34" s="2343"/>
      <c r="U34" s="1595"/>
      <c r="V34" s="2344"/>
      <c r="W34" s="2344"/>
      <c r="X34" s="2344"/>
      <c r="Y34" s="2344"/>
      <c r="Z34" s="2344"/>
      <c r="AA34" s="2344"/>
      <c r="AB34" s="2344"/>
      <c r="AC34" s="474"/>
      <c r="AD34" s="2344" t="str">
        <f>IF(TITLE_IST_PUB_CHANGE="",IF(TITLE_IST_PUB="","",TITLE_IST_PUB),TITLE_IST_PUB_CHANGE)</f>
        <v/>
      </c>
      <c r="AE34" s="2344"/>
      <c r="AF34" s="2344"/>
      <c r="AG34" s="2344"/>
      <c r="AH34" s="2344"/>
      <c r="AI34" s="2344"/>
      <c r="AJ34" s="2344"/>
      <c r="AK34" s="2344"/>
      <c r="AL34" s="2344"/>
      <c r="AM34" s="2344"/>
      <c r="AN34" s="2344"/>
      <c r="AO34" s="2344"/>
      <c r="AP34" s="2344"/>
      <c r="AQ34" s="2344"/>
      <c r="AR34" s="2344"/>
      <c r="AS34" s="2344"/>
      <c r="AT34" s="2344"/>
      <c r="AU34" s="2344"/>
      <c r="AV34" s="2344"/>
      <c r="AW34" s="2344"/>
      <c r="AX34" s="2344"/>
      <c r="AY34" s="2344"/>
      <c r="AZ34" s="2344"/>
      <c r="BA34" s="474"/>
      <c r="BB34" s="474"/>
      <c r="BC34" s="417"/>
      <c r="BD34" s="520"/>
      <c r="BE34" s="520"/>
      <c r="BF34" s="520"/>
      <c r="BG34" s="520"/>
      <c r="BH34" s="520"/>
    </row>
    <row customHeight="1" ht="14.25" hidden="1">
      <c r="Q35" s="428"/>
      <c r="R35" s="529"/>
      <c r="S35" s="1492"/>
      <c r="T35" s="513"/>
      <c r="U35" s="513"/>
      <c r="V35" s="468"/>
      <c r="W35" s="468"/>
      <c r="X35" s="468"/>
      <c r="Y35" s="468"/>
      <c r="Z35" s="468"/>
      <c r="AA35" s="468"/>
      <c r="AB35" s="468"/>
      <c r="AC35" s="468"/>
      <c r="AD35" s="468"/>
      <c r="AE35" s="468"/>
      <c r="AF35" s="468"/>
      <c r="AG35" s="468"/>
      <c r="AH35" s="468"/>
      <c r="AI35" s="468"/>
      <c r="AJ35" s="468"/>
      <c r="AK35" s="468"/>
      <c r="AL35" s="468"/>
      <c r="AM35" s="468"/>
      <c r="AN35" s="468"/>
      <c r="AO35" s="468"/>
      <c r="AP35" s="468"/>
      <c r="AQ35" s="468"/>
      <c r="AR35" s="468"/>
      <c r="AS35" s="468"/>
      <c r="AT35" s="468"/>
      <c r="AU35" s="468"/>
      <c r="AV35" s="468"/>
      <c r="AW35" s="468"/>
      <c r="AX35" s="468"/>
      <c r="AY35" s="468"/>
      <c r="AZ35" s="468"/>
      <c r="BA35" s="468"/>
      <c r="BB35" s="673"/>
    </row>
    <row s="6550" customFormat="1" customHeight="1" ht="18.75" hidden="1">
      <c r="A36" s="1591"/>
      <c r="B36" s="1591"/>
      <c r="C36" s="1591"/>
      <c r="D36" s="1591"/>
      <c r="E36" s="1591"/>
      <c r="F36" s="1591"/>
      <c r="G36" s="1591"/>
      <c r="H36" s="1591"/>
      <c r="I36" s="1591"/>
      <c r="J36" s="1591"/>
      <c r="K36" s="1591"/>
      <c r="L36" s="1592"/>
      <c r="M36" s="1591"/>
      <c r="N36" s="1591"/>
      <c r="O36" s="1591"/>
      <c r="P36" s="1591"/>
      <c r="Q36" s="1591"/>
      <c r="S36" s="2343" t="s">
        <v>1492</v>
      </c>
      <c r="T36" s="2343"/>
      <c r="U36" s="1595"/>
      <c r="V36" s="2344"/>
      <c r="W36" s="2344"/>
      <c r="X36" s="2344"/>
      <c r="Y36" s="2344"/>
      <c r="Z36" s="2344"/>
      <c r="AA36" s="2344"/>
      <c r="AB36" s="2344"/>
      <c r="AC36" s="474"/>
      <c r="AD36" s="2344" t="str">
        <f>IF(TITLE_DATE_CHANGE_PERIOD="",IF(TITLE_DATE_PR="","",TITLE_DATE_PR),TITLE_DATE_CHANGE_PERIOD)</f>
        <v/>
      </c>
      <c r="AE36" s="2344"/>
      <c r="AF36" s="2344"/>
      <c r="AG36" s="2344"/>
      <c r="AH36" s="2344"/>
      <c r="AI36" s="2344"/>
      <c r="AJ36" s="2344"/>
      <c r="AK36" s="2344"/>
      <c r="AL36" s="2344"/>
      <c r="AM36" s="2344"/>
      <c r="AN36" s="2344"/>
      <c r="AO36" s="2344"/>
      <c r="AP36" s="2344"/>
      <c r="AQ36" s="2344"/>
      <c r="AR36" s="2344"/>
      <c r="AS36" s="2344"/>
      <c r="AT36" s="2344"/>
      <c r="AU36" s="2344"/>
      <c r="AV36" s="2344"/>
      <c r="AW36" s="2344"/>
      <c r="AX36" s="2344"/>
      <c r="AY36" s="2344"/>
      <c r="AZ36" s="2344"/>
      <c r="BA36" s="474"/>
      <c r="BB36" s="474"/>
      <c r="BC36" s="417"/>
      <c r="BD36" s="520"/>
      <c r="BE36" s="520"/>
      <c r="BF36" s="520"/>
      <c r="BG36" s="520"/>
      <c r="BH36" s="520"/>
    </row>
    <row s="6550" customFormat="1" customHeight="1" ht="18.75" hidden="1">
      <c r="A37" s="1591"/>
      <c r="B37" s="1591"/>
      <c r="C37" s="1591"/>
      <c r="D37" s="1591"/>
      <c r="E37" s="1591"/>
      <c r="F37" s="1591"/>
      <c r="G37" s="1591"/>
      <c r="H37" s="1591"/>
      <c r="I37" s="1591"/>
      <c r="J37" s="1591"/>
      <c r="K37" s="1591"/>
      <c r="L37" s="1592"/>
      <c r="M37" s="1591"/>
      <c r="N37" s="1591"/>
      <c r="O37" s="1591"/>
      <c r="P37" s="1591"/>
      <c r="Q37" s="1591"/>
      <c r="S37" s="2343" t="s">
        <v>1493</v>
      </c>
      <c r="T37" s="2343"/>
      <c r="U37" s="1595"/>
      <c r="V37" s="2344"/>
      <c r="W37" s="2344"/>
      <c r="X37" s="2344"/>
      <c r="Y37" s="2344"/>
      <c r="Z37" s="2344"/>
      <c r="AA37" s="2344"/>
      <c r="AB37" s="2344"/>
      <c r="AC37" s="474"/>
      <c r="AD37" s="2344" t="str">
        <f>IF(TITLE_NUMBER_PR_CHANGE="",IF(TITLE_NUMBER_PR="","",TITLE_NUMBER_PR),TITLE_NUMBER_PR_CHANGE)</f>
        <v/>
      </c>
      <c r="AE37" s="2344"/>
      <c r="AF37" s="2344"/>
      <c r="AG37" s="2344"/>
      <c r="AH37" s="2344"/>
      <c r="AI37" s="2344"/>
      <c r="AJ37" s="2344"/>
      <c r="AK37" s="2344"/>
      <c r="AL37" s="2344"/>
      <c r="AM37" s="2344"/>
      <c r="AN37" s="2344"/>
      <c r="AO37" s="2344"/>
      <c r="AP37" s="2344"/>
      <c r="AQ37" s="2344"/>
      <c r="AR37" s="2344"/>
      <c r="AS37" s="2344"/>
      <c r="AT37" s="2344"/>
      <c r="AU37" s="2344"/>
      <c r="AV37" s="2344"/>
      <c r="AW37" s="2344"/>
      <c r="AX37" s="2344"/>
      <c r="AY37" s="2344"/>
      <c r="AZ37" s="2344"/>
      <c r="BA37" s="474"/>
      <c r="BB37" s="474"/>
      <c r="BC37" s="417"/>
      <c r="BD37" s="520"/>
      <c r="BE37" s="520"/>
      <c r="BF37" s="520"/>
      <c r="BG37" s="520"/>
      <c r="BH37" s="520"/>
    </row>
    <row s="6550" customFormat="1" customHeight="1" ht="0">
      <c r="A38" s="1591"/>
      <c r="B38" s="1591"/>
      <c r="C38" s="1591"/>
      <c r="D38" s="1591"/>
      <c r="E38" s="1591"/>
      <c r="F38" s="1591"/>
      <c r="G38" s="1591"/>
      <c r="H38" s="1591"/>
      <c r="I38" s="1591"/>
      <c r="J38" s="1591"/>
      <c r="K38" s="1591"/>
      <c r="L38" s="1592"/>
      <c r="M38" s="1591"/>
      <c r="N38" s="1591"/>
      <c r="O38" s="1591"/>
      <c r="P38" s="1591"/>
      <c r="Q38" s="1591"/>
      <c r="S38" s="470"/>
      <c r="T38" s="470"/>
      <c r="U38" s="1712"/>
      <c r="V38" s="474"/>
      <c r="W38" s="474"/>
      <c r="X38" s="474"/>
      <c r="Y38" s="474"/>
      <c r="Z38" s="474"/>
      <c r="AA38" s="474"/>
      <c r="AB38" s="474"/>
      <c r="AC38" s="415" t="s">
        <v>1496</v>
      </c>
      <c r="AD38" s="474"/>
      <c r="AE38" s="474"/>
      <c r="AF38" s="474"/>
      <c r="AG38" s="474"/>
      <c r="AH38" s="474"/>
      <c r="AI38" s="474"/>
      <c r="AJ38" s="474"/>
      <c r="AK38" s="474"/>
      <c r="AL38" s="474"/>
      <c r="AM38" s="474"/>
      <c r="AN38" s="474"/>
      <c r="AO38" s="474"/>
      <c r="AP38" s="474"/>
      <c r="AQ38" s="474"/>
      <c r="AR38" s="474"/>
      <c r="AS38" s="474"/>
      <c r="AT38" s="474"/>
      <c r="AU38" s="474"/>
      <c r="AV38" s="474"/>
      <c r="AW38" s="474"/>
      <c r="AX38" s="474"/>
      <c r="AY38" s="474"/>
      <c r="AZ38" s="474"/>
      <c r="BA38" s="415" t="s">
        <v>1496</v>
      </c>
      <c r="BD38" s="520"/>
      <c r="BE38" s="520"/>
      <c r="BF38" s="520"/>
      <c r="BG38" s="520"/>
      <c r="BH38" s="520"/>
    </row>
    <row customHeight="1" ht="14.25">
      <c r="Q39" s="428"/>
      <c r="R39" s="529"/>
      <c r="S39" s="1492"/>
      <c r="T39" s="513"/>
      <c r="U39" s="1449"/>
      <c r="V39" s="2345"/>
      <c r="W39" s="2345"/>
      <c r="X39" s="2345"/>
      <c r="Y39" s="2345"/>
      <c r="Z39" s="2345"/>
      <c r="AA39" s="2345"/>
      <c r="AB39" s="2345"/>
      <c r="AC39" s="2345"/>
      <c r="AD39" s="2345"/>
      <c r="AE39" s="2345"/>
      <c r="AF39" s="2345"/>
      <c r="AG39" s="2345"/>
      <c r="AH39" s="2345"/>
      <c r="AI39" s="2345"/>
      <c r="AJ39" s="2345"/>
      <c r="AK39" s="2345"/>
      <c r="AL39" s="2345"/>
      <c r="AM39" s="2345"/>
      <c r="AN39" s="2345"/>
      <c r="AO39" s="2345"/>
      <c r="AP39" s="2345"/>
      <c r="AQ39" s="2345"/>
      <c r="AR39" s="2345"/>
      <c r="AS39" s="2345"/>
      <c r="AT39" s="2345"/>
      <c r="AU39" s="2345"/>
      <c r="AV39" s="2345"/>
      <c r="AW39" s="2345"/>
      <c r="AX39" s="2345"/>
      <c r="AY39" s="2345"/>
      <c r="AZ39" s="2345"/>
      <c r="BA39" s="2345"/>
    </row>
    <row customHeight="1" ht="14.25">
      <c r="Q40" s="428"/>
      <c r="R40" s="529"/>
      <c r="S40" s="2204" t="s">
        <v>300</v>
      </c>
      <c r="T40" s="2204"/>
      <c r="U40" s="2204"/>
      <c r="V40" s="2204"/>
      <c r="W40" s="2204"/>
      <c r="X40" s="2204"/>
      <c r="Y40" s="2204"/>
      <c r="Z40" s="2204"/>
      <c r="AA40" s="2204"/>
      <c r="AB40" s="2204"/>
      <c r="AC40" s="2204"/>
      <c r="AD40" s="2204"/>
      <c r="AE40" s="2204"/>
      <c r="AF40" s="2204"/>
      <c r="AG40" s="2204"/>
      <c r="AH40" s="2204"/>
      <c r="AI40" s="2204"/>
      <c r="AJ40" s="2204"/>
      <c r="AK40" s="2204"/>
      <c r="AL40" s="2204"/>
      <c r="AM40" s="2204"/>
      <c r="AN40" s="2204"/>
      <c r="AO40" s="2204"/>
      <c r="AP40" s="2204"/>
      <c r="AQ40" s="2204"/>
      <c r="AR40" s="2204"/>
      <c r="AS40" s="2204"/>
      <c r="AT40" s="2204"/>
      <c r="AU40" s="2204"/>
      <c r="AV40" s="2204"/>
      <c r="AW40" s="2204"/>
      <c r="AX40" s="2204"/>
      <c r="AY40" s="2204"/>
      <c r="AZ40" s="2204"/>
      <c r="BA40" s="2204"/>
      <c r="BB40" s="2204"/>
      <c r="BC40" s="2204" t="s">
        <v>301</v>
      </c>
    </row>
    <row customHeight="1" ht="14.25">
      <c r="Q41" s="428"/>
      <c r="R41" s="529"/>
      <c r="S41" s="2367" t="s">
        <v>87</v>
      </c>
      <c r="T41" s="2228" t="s">
        <v>1711</v>
      </c>
      <c r="U41" s="438"/>
      <c r="V41" s="2368" t="s">
        <v>1498</v>
      </c>
      <c r="W41" s="2369"/>
      <c r="X41" s="2369"/>
      <c r="Y41" s="2369"/>
      <c r="Z41" s="2369"/>
      <c r="AA41" s="2369"/>
      <c r="AB41" s="2370"/>
      <c r="AC41" s="2371" t="s">
        <v>1499</v>
      </c>
      <c r="AD41" s="2426" t="s">
        <v>2115</v>
      </c>
      <c r="AE41" s="2385"/>
      <c r="AF41" s="2385"/>
      <c r="AG41" s="2427"/>
      <c r="AH41" s="2426" t="s">
        <v>2116</v>
      </c>
      <c r="AI41" s="2385"/>
      <c r="AJ41" s="2385"/>
      <c r="AK41" s="2427"/>
      <c r="AL41" s="2426" t="s">
        <v>2117</v>
      </c>
      <c r="AM41" s="2385"/>
      <c r="AN41" s="2385"/>
      <c r="AO41" s="2427"/>
      <c r="AP41" s="2426" t="s">
        <v>1715</v>
      </c>
      <c r="AQ41" s="2385"/>
      <c r="AR41" s="2385"/>
      <c r="AS41" s="2427"/>
      <c r="AT41" s="2368" t="s">
        <v>1498</v>
      </c>
      <c r="AU41" s="2369"/>
      <c r="AV41" s="2369"/>
      <c r="AW41" s="2369"/>
      <c r="AX41" s="2369"/>
      <c r="AY41" s="2369"/>
      <c r="AZ41" s="2370"/>
      <c r="BA41" s="2371" t="s">
        <v>1499</v>
      </c>
      <c r="BB41" s="2374" t="s">
        <v>1501</v>
      </c>
      <c r="BC41" s="2204"/>
    </row>
    <row customHeight="1" ht="33.75">
      <c r="Q42" s="428"/>
      <c r="R42" s="529"/>
      <c r="S42" s="2367"/>
      <c r="T42" s="2228"/>
      <c r="U42" s="1216"/>
      <c r="V42" s="2217" t="s">
        <v>1716</v>
      </c>
      <c r="W42" s="2218"/>
      <c r="X42" s="2217" t="s">
        <v>1717</v>
      </c>
      <c r="Y42" s="2218"/>
      <c r="Z42" s="2404" t="s">
        <v>1718</v>
      </c>
      <c r="AA42" s="2405"/>
      <c r="AB42" s="2406"/>
      <c r="AC42" s="2372"/>
      <c r="AD42" s="2428"/>
      <c r="AE42" s="2429"/>
      <c r="AF42" s="2429"/>
      <c r="AG42" s="2430"/>
      <c r="AH42" s="2428"/>
      <c r="AI42" s="2429"/>
      <c r="AJ42" s="2429"/>
      <c r="AK42" s="2430"/>
      <c r="AL42" s="2428"/>
      <c r="AM42" s="2429"/>
      <c r="AN42" s="2429"/>
      <c r="AO42" s="2430"/>
      <c r="AP42" s="2428"/>
      <c r="AQ42" s="2429"/>
      <c r="AR42" s="2429"/>
      <c r="AS42" s="2430"/>
      <c r="AT42" s="2217" t="s">
        <v>2118</v>
      </c>
      <c r="AU42" s="2218"/>
      <c r="AV42" s="2217" t="s">
        <v>2119</v>
      </c>
      <c r="AW42" s="2218"/>
      <c r="AX42" s="2404" t="s">
        <v>1718</v>
      </c>
      <c r="AY42" s="2405"/>
      <c r="AZ42" s="2406"/>
      <c r="BA42" s="2372"/>
      <c r="BB42" s="2375"/>
      <c r="BC42" s="2204"/>
    </row>
    <row customHeight="1" ht="14.25">
      <c r="Q43" s="428"/>
      <c r="R43" s="529"/>
      <c r="S43" s="2367"/>
      <c r="T43" s="2228"/>
      <c r="U43" s="1216"/>
      <c r="V43" s="2219"/>
      <c r="W43" s="2220"/>
      <c r="X43" s="2219"/>
      <c r="Y43" s="2220"/>
      <c r="Z43" s="2407"/>
      <c r="AA43" s="2408"/>
      <c r="AB43" s="2409"/>
      <c r="AC43" s="2372"/>
      <c r="AD43" s="2428"/>
      <c r="AE43" s="2429"/>
      <c r="AF43" s="2429"/>
      <c r="AG43" s="2430"/>
      <c r="AH43" s="2428"/>
      <c r="AI43" s="2429"/>
      <c r="AJ43" s="2429"/>
      <c r="AK43" s="2430"/>
      <c r="AL43" s="2428"/>
      <c r="AM43" s="2429"/>
      <c r="AN43" s="2429"/>
      <c r="AO43" s="2430"/>
      <c r="AP43" s="2428"/>
      <c r="AQ43" s="2429"/>
      <c r="AR43" s="2429"/>
      <c r="AS43" s="2430"/>
      <c r="AT43" s="2219"/>
      <c r="AU43" s="2220"/>
      <c r="AV43" s="2219"/>
      <c r="AW43" s="2220"/>
      <c r="AX43" s="2407"/>
      <c r="AY43" s="2408"/>
      <c r="AZ43" s="2409"/>
      <c r="BA43" s="2372"/>
      <c r="BB43" s="2375"/>
      <c r="BC43" s="2204"/>
    </row>
    <row customHeight="1" ht="14.25">
      <c r="A44" s="1593"/>
      <c r="B44" s="1593" t="s">
        <v>144</v>
      </c>
      <c r="C44" s="1593" t="s">
        <v>145</v>
      </c>
      <c r="D44" s="1593" t="s">
        <v>146</v>
      </c>
      <c r="E44" s="1587" t="s">
        <v>1506</v>
      </c>
      <c r="F44" s="1587" t="s">
        <v>1507</v>
      </c>
      <c r="G44" s="1587" t="s">
        <v>1508</v>
      </c>
      <c r="H44" s="1587" t="s">
        <v>1509</v>
      </c>
      <c r="I44" s="1587" t="s">
        <v>1510</v>
      </c>
      <c r="J44" s="1587" t="s">
        <v>1511</v>
      </c>
      <c r="K44" s="1587" t="s">
        <v>1512</v>
      </c>
      <c r="L44" s="1587" t="s">
        <v>1487</v>
      </c>
      <c r="Q44" s="428"/>
      <c r="R44" s="529"/>
      <c r="S44" s="2367"/>
      <c r="T44" s="2228"/>
      <c r="U44" s="439"/>
      <c r="V44" s="1703" t="s">
        <v>1558</v>
      </c>
      <c r="W44" s="1703" t="s">
        <v>1559</v>
      </c>
      <c r="X44" s="1703" t="s">
        <v>1558</v>
      </c>
      <c r="Y44" s="1703" t="s">
        <v>1559</v>
      </c>
      <c r="Z44" s="1713" t="s">
        <v>1515</v>
      </c>
      <c r="AA44" s="2364" t="s">
        <v>1516</v>
      </c>
      <c r="AB44" s="2365"/>
      <c r="AC44" s="2373"/>
      <c r="AD44" s="2431"/>
      <c r="AE44" s="2432"/>
      <c r="AF44" s="2432"/>
      <c r="AG44" s="2433"/>
      <c r="AH44" s="2431"/>
      <c r="AI44" s="2432"/>
      <c r="AJ44" s="2432"/>
      <c r="AK44" s="2433"/>
      <c r="AL44" s="2431"/>
      <c r="AM44" s="2432"/>
      <c r="AN44" s="2432"/>
      <c r="AO44" s="2433"/>
      <c r="AP44" s="2431"/>
      <c r="AQ44" s="2432"/>
      <c r="AR44" s="2432"/>
      <c r="AS44" s="2433"/>
      <c r="AT44" s="1703" t="s">
        <v>1558</v>
      </c>
      <c r="AU44" s="1703" t="s">
        <v>1559</v>
      </c>
      <c r="AV44" s="1703" t="s">
        <v>1558</v>
      </c>
      <c r="AW44" s="1703" t="s">
        <v>1559</v>
      </c>
      <c r="AX44" s="1713" t="s">
        <v>1515</v>
      </c>
      <c r="AY44" s="2364" t="s">
        <v>1516</v>
      </c>
      <c r="AZ44" s="2365"/>
      <c r="BA44" s="2373"/>
      <c r="BB44" s="2376"/>
      <c r="BC44" s="2204"/>
    </row>
    <row s="5794" customFormat="1" customHeight="1" ht="11.25" hidden="1">
      <c r="A45" s="1593"/>
      <c r="B45" s="1593"/>
      <c r="C45" s="1593"/>
      <c r="D45" s="1593"/>
      <c r="E45" s="1593"/>
      <c r="F45" s="1593"/>
      <c r="G45" s="1593"/>
      <c r="H45" s="1593"/>
      <c r="I45" s="1593"/>
      <c r="J45" s="1593"/>
      <c r="K45" s="1593"/>
      <c r="L45" s="1587"/>
      <c r="M45" s="1585"/>
      <c r="N45" s="1585"/>
      <c r="O45" s="1585"/>
      <c r="P45" s="674"/>
      <c r="Q45" s="1467"/>
      <c r="R45" s="1467">
        <v>1</v>
      </c>
      <c r="S45" s="1494" t="s">
        <v>118</v>
      </c>
      <c r="T45" s="1468" t="s">
        <v>102</v>
      </c>
      <c r="U45" s="1450" t="str">
        <f>OFFSET(U45,0,-1)</f>
        <v>2</v>
      </c>
      <c r="V45" s="1706">
        <f>OFFSET(V45,0,-1)+1</f>
        <v>3</v>
      </c>
      <c r="W45" s="1706">
        <f>OFFSET(W45,0,-1)+1</f>
        <v>4</v>
      </c>
      <c r="X45" s="1706">
        <f>OFFSET(X45,0,-1)+1</f>
        <v>5</v>
      </c>
      <c r="Y45" s="1706">
        <f>OFFSET(Y45,0,-1)+1</f>
        <v>6</v>
      </c>
      <c r="Z45" s="1706">
        <f>OFFSET(Z45,0,-1)+1</f>
        <v>7</v>
      </c>
      <c r="AA45" s="2366">
        <f>OFFSET(AA45,0,-1)+1</f>
        <v>8</v>
      </c>
      <c r="AB45" s="2366"/>
      <c r="AC45" s="1706">
        <f>OFFSET(AC45,0,-2)+1</f>
        <v>9</v>
      </c>
      <c r="AD45" s="1706">
        <f>OFFSET(AD45,0,-1)+1</f>
        <v>10</v>
      </c>
      <c r="AE45" s="1706"/>
      <c r="AF45" s="1706"/>
      <c r="AG45" s="1706"/>
      <c r="AH45" s="1706"/>
      <c r="AI45" s="1706"/>
      <c r="AJ45" s="1706"/>
      <c r="AK45" s="1706"/>
      <c r="AL45" s="1706"/>
      <c r="AM45" s="1706"/>
      <c r="AN45" s="1706"/>
      <c r="AO45" s="1706"/>
      <c r="AP45" s="1706"/>
      <c r="AQ45" s="1706"/>
      <c r="AR45" s="1706"/>
      <c r="AS45" s="1706"/>
      <c r="AT45" s="1706"/>
      <c r="AU45" s="1706"/>
      <c r="AV45" s="1706"/>
      <c r="AW45" s="1706">
        <f>OFFSET(AW45,0,-1)+1</f>
        <v>1</v>
      </c>
      <c r="AX45" s="1706">
        <f>OFFSET(AX45,0,-1)+1</f>
        <v>2</v>
      </c>
      <c r="AY45" s="2366">
        <f>OFFSET(AY45,0,-1)+1</f>
        <v>3</v>
      </c>
      <c r="AZ45" s="2366"/>
      <c r="BA45" s="1706">
        <f>OFFSET(BA45,0,-2)+1</f>
        <v>4</v>
      </c>
      <c r="BB45" s="1450">
        <f>OFFSET(BB45,0,-1)</f>
        <v>4</v>
      </c>
      <c r="BC45" s="1706">
        <f>OFFSET(BC45,0,-1)+1</f>
        <v>5</v>
      </c>
      <c r="BD45" s="675"/>
      <c r="BE45" s="675"/>
      <c r="BF45" s="675"/>
      <c r="BG45" s="675"/>
      <c r="BH45" s="675"/>
    </row>
    <row customHeight="1" ht="21">
      <c r="A46" s="1586" t="s">
        <v>276</v>
      </c>
      <c r="B46" s="1586"/>
      <c r="C46" s="1586"/>
      <c r="D46" s="1586"/>
      <c r="E46" s="2351">
        <v>1</v>
      </c>
      <c r="F46" s="1586"/>
      <c r="G46" s="1586"/>
      <c r="H46" s="1586"/>
      <c r="I46" s="1586"/>
      <c r="J46" s="1586"/>
      <c r="K46" s="1586"/>
      <c r="L46" s="1587"/>
      <c r="M46" s="1588"/>
      <c r="N46" s="1588"/>
      <c r="O46" s="1588"/>
      <c r="P46" s="1633"/>
      <c r="Q46" s="1047"/>
      <c r="R46" s="503"/>
      <c r="S46" s="1717">
        <f>INDEX(PT_DIFFERENTIATION_NUM_NTAR,MATCH(A46,PT_DIFFERENTIATION_NTAR_ID,0))</f>
        <v>0</v>
      </c>
      <c r="T46" s="435" t="s">
        <v>132</v>
      </c>
      <c r="U46" s="437"/>
      <c r="V46" s="3965"/>
      <c r="W46" s="3965"/>
      <c r="X46" s="3965"/>
      <c r="Y46" s="3965"/>
      <c r="Z46" s="3965"/>
      <c r="AA46" s="3965"/>
      <c r="AB46" s="3965"/>
      <c r="AC46" s="3966"/>
      <c r="AD46" s="3964" t="str">
        <f>INDEX(PT_DIFFERENTIATION_NTAR,MATCH(A46,PT_DIFFERENTIATION_NTAR_ID,0))</f>
        <v/>
      </c>
      <c r="AE46" s="3965"/>
      <c r="AF46" s="3965"/>
      <c r="AG46" s="3965"/>
      <c r="AH46" s="3965"/>
      <c r="AI46" s="3965"/>
      <c r="AJ46" s="3965"/>
      <c r="AK46" s="3965"/>
      <c r="AL46" s="3965"/>
      <c r="AM46" s="3965"/>
      <c r="AN46" s="3965"/>
      <c r="AO46" s="3965"/>
      <c r="AP46" s="3965"/>
      <c r="AQ46" s="3965"/>
      <c r="AR46" s="3965"/>
      <c r="AS46" s="3965"/>
      <c r="AT46" s="3965"/>
      <c r="AU46" s="3965"/>
      <c r="AV46" s="3965"/>
      <c r="AW46" s="3965"/>
      <c r="AX46" s="3965"/>
      <c r="AY46" s="3965"/>
      <c r="AZ46" s="3965"/>
      <c r="BA46" s="3965"/>
      <c r="BB46" s="3966"/>
      <c r="BC46" s="1473"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4"/>
      <c r="BF46" s="664" t="str">
        <f>IF(T46="","",T46)</f>
        <v>Наименование тарифа</v>
      </c>
      <c r="BG46" s="664"/>
      <c r="BH46" s="664"/>
    </row>
    <row customHeight="1" ht="21">
      <c r="A47" s="1586" t="s">
        <v>276</v>
      </c>
      <c r="B47" s="1586" t="s">
        <v>277</v>
      </c>
      <c r="C47" s="1586"/>
      <c r="D47" s="1586"/>
      <c r="E47" s="2352"/>
      <c r="F47" s="2351">
        <v>1</v>
      </c>
      <c r="G47" s="1586"/>
      <c r="H47" s="1586"/>
      <c r="I47" s="1586"/>
      <c r="J47" s="1586"/>
      <c r="K47" s="1586"/>
      <c r="L47" s="1587"/>
      <c r="M47" s="1588"/>
      <c r="N47" s="1588"/>
      <c r="O47" s="1588"/>
      <c r="P47" s="1634"/>
      <c r="Q47" s="1635"/>
      <c r="R47" s="501"/>
      <c r="S47" s="1717" t="str">
        <f>INDEX(PT_DIFFERENTIATION_NUM_TER,MATCH(B47,PT_DIFFERENTIATION_TER_ID,0))</f>
        <v>.</v>
      </c>
      <c r="T47" s="447" t="s">
        <v>1469</v>
      </c>
      <c r="U47" s="437"/>
      <c r="V47" s="3965"/>
      <c r="W47" s="3965"/>
      <c r="X47" s="3965"/>
      <c r="Y47" s="3965"/>
      <c r="Z47" s="3965"/>
      <c r="AA47" s="3965"/>
      <c r="AB47" s="3965"/>
      <c r="AC47" s="3966"/>
      <c r="AD47" s="3964" t="str">
        <f>INDEX(PT_DIFFERENTIATION_TER,MATCH(B47,PT_DIFFERENTIATION_TER_ID,0))</f>
        <v/>
      </c>
      <c r="AE47" s="3965"/>
      <c r="AF47" s="3965"/>
      <c r="AG47" s="3965"/>
      <c r="AH47" s="3965"/>
      <c r="AI47" s="3965"/>
      <c r="AJ47" s="3965"/>
      <c r="AK47" s="3965"/>
      <c r="AL47" s="3965"/>
      <c r="AM47" s="3965"/>
      <c r="AN47" s="3965"/>
      <c r="AO47" s="3965"/>
      <c r="AP47" s="3965"/>
      <c r="AQ47" s="3965"/>
      <c r="AR47" s="3965"/>
      <c r="AS47" s="3965"/>
      <c r="AT47" s="3965"/>
      <c r="AU47" s="3965"/>
      <c r="AV47" s="3965"/>
      <c r="AW47" s="3965"/>
      <c r="AX47" s="3965"/>
      <c r="AY47" s="3965"/>
      <c r="AZ47" s="3965"/>
      <c r="BA47" s="3965"/>
      <c r="BB47" s="3966"/>
      <c r="BC47" s="1473" t="s">
        <v>1470</v>
      </c>
      <c r="BE47" s="664"/>
      <c r="BF47" s="664" t="str">
        <f>IF(T47="","",T47)</f>
        <v>Территория действия тарифа</v>
      </c>
      <c r="BG47" s="664"/>
      <c r="BH47" s="664"/>
    </row>
    <row customHeight="1" ht="33.75">
      <c r="A48" s="1586" t="s">
        <v>276</v>
      </c>
      <c r="B48" s="1586" t="s">
        <v>277</v>
      </c>
      <c r="C48" s="1586" t="s">
        <v>278</v>
      </c>
      <c r="D48" s="1586"/>
      <c r="E48" s="2352"/>
      <c r="F48" s="2352"/>
      <c r="G48" s="2351">
        <v>1</v>
      </c>
      <c r="H48" s="1586"/>
      <c r="I48" s="1586"/>
      <c r="J48" s="1586"/>
      <c r="K48" s="1586"/>
      <c r="L48" s="1587"/>
      <c r="M48" s="1588"/>
      <c r="N48" s="1588"/>
      <c r="O48" s="1588"/>
      <c r="P48" s="1636"/>
      <c r="Q48" s="1635"/>
      <c r="R48" s="501"/>
      <c r="S48" s="1717" t="str">
        <f>INDEX(PT_DIFFERENTIATION_NUM_CS,MATCH(C48,PT_DIFFERENTIATION_CS_ID,0))</f>
        <v>..</v>
      </c>
      <c r="T48" s="448" t="s">
        <v>2105</v>
      </c>
      <c r="U48" s="437"/>
      <c r="V48" s="3965"/>
      <c r="W48" s="3965"/>
      <c r="X48" s="3965"/>
      <c r="Y48" s="3965"/>
      <c r="Z48" s="3965"/>
      <c r="AA48" s="3965"/>
      <c r="AB48" s="3965"/>
      <c r="AC48" s="3966"/>
      <c r="AD48" s="3964" t="str">
        <f>INDEX(PT_DIFFERENTIATION_CS,MATCH(C48,PT_DIFFERENTIATION_CS_ID,0))</f>
        <v/>
      </c>
      <c r="AE48" s="3965"/>
      <c r="AF48" s="3965"/>
      <c r="AG48" s="3965"/>
      <c r="AH48" s="3965"/>
      <c r="AI48" s="3965"/>
      <c r="AJ48" s="3965"/>
      <c r="AK48" s="3965"/>
      <c r="AL48" s="3965"/>
      <c r="AM48" s="3965"/>
      <c r="AN48" s="3965"/>
      <c r="AO48" s="3965"/>
      <c r="AP48" s="3965"/>
      <c r="AQ48" s="3965"/>
      <c r="AR48" s="3965"/>
      <c r="AS48" s="3965"/>
      <c r="AT48" s="3965"/>
      <c r="AU48" s="3965"/>
      <c r="AV48" s="3965"/>
      <c r="AW48" s="3965"/>
      <c r="AX48" s="3965"/>
      <c r="AY48" s="3965"/>
      <c r="AZ48" s="3965"/>
      <c r="BA48" s="3965"/>
      <c r="BB48" s="3966"/>
      <c r="BC48" s="1473" t="s">
        <v>2106</v>
      </c>
      <c r="BE48" s="664"/>
      <c r="BF48" s="664" t="str">
        <f>IF(T48="","",T48)</f>
        <v>Наименование централизованной системы водоотведения</v>
      </c>
      <c r="BG48" s="664"/>
      <c r="BH48" s="664"/>
    </row>
    <row s="6608" customFormat="1" customHeight="1" ht="0">
      <c r="A49" s="1565" t="s">
        <v>276</v>
      </c>
      <c r="B49" s="1565" t="s">
        <v>277</v>
      </c>
      <c r="C49" s="1565" t="s">
        <v>278</v>
      </c>
      <c r="D49" s="1565" t="s">
        <v>2120</v>
      </c>
      <c r="E49" s="2352"/>
      <c r="F49" s="2352"/>
      <c r="G49" s="2352"/>
      <c r="H49" s="2351">
        <v>1</v>
      </c>
      <c r="I49" s="1565"/>
      <c r="J49" s="1565"/>
      <c r="K49" s="1565"/>
      <c r="L49" s="1568"/>
      <c r="M49" s="1537"/>
      <c r="N49" s="1537"/>
      <c r="O49" s="1537"/>
      <c r="P49" s="1721"/>
      <c r="Q49" s="1722"/>
      <c r="R49" s="505"/>
      <c r="S49" s="1227"/>
      <c r="T49" s="1723"/>
      <c r="U49" s="1607"/>
      <c r="V49" s="2391"/>
      <c r="W49" s="2391"/>
      <c r="X49" s="2391"/>
      <c r="Y49" s="2391"/>
      <c r="Z49" s="2391"/>
      <c r="AA49" s="2391"/>
      <c r="AB49" s="2391"/>
      <c r="AC49" s="2392"/>
      <c r="AD49" s="2390"/>
      <c r="AE49" s="2391"/>
      <c r="AF49" s="2391"/>
      <c r="AG49" s="2391"/>
      <c r="AH49" s="2391"/>
      <c r="AI49" s="2391"/>
      <c r="AJ49" s="2391"/>
      <c r="AK49" s="2391"/>
      <c r="AL49" s="2391"/>
      <c r="AM49" s="2391"/>
      <c r="AN49" s="2391"/>
      <c r="AO49" s="2391"/>
      <c r="AP49" s="2391"/>
      <c r="AQ49" s="2391"/>
      <c r="AR49" s="2391"/>
      <c r="AS49" s="2391"/>
      <c r="AT49" s="2391"/>
      <c r="AU49" s="2391"/>
      <c r="AV49" s="2391"/>
      <c r="AW49" s="2391"/>
      <c r="AX49" s="2391"/>
      <c r="AY49" s="2391"/>
      <c r="AZ49" s="2391"/>
      <c r="BA49" s="2391"/>
      <c r="BB49" s="2392"/>
      <c r="BC49" s="1608" t="s">
        <v>1474</v>
      </c>
      <c r="BE49" s="664"/>
      <c r="BF49" s="664" t="str">
        <f>IF(T49="","",T49)</f>
        <v/>
      </c>
      <c r="BG49" s="664"/>
      <c r="BH49" s="664"/>
    </row>
    <row s="6608" customFormat="1" customHeight="1" ht="0">
      <c r="A50" s="1565" t="s">
        <v>276</v>
      </c>
      <c r="B50" s="1565" t="s">
        <v>277</v>
      </c>
      <c r="C50" s="1565" t="s">
        <v>278</v>
      </c>
      <c r="D50" s="1565" t="s">
        <v>2120</v>
      </c>
      <c r="E50" s="2352"/>
      <c r="F50" s="2352"/>
      <c r="G50" s="2352"/>
      <c r="H50" s="2352"/>
      <c r="I50" s="2380" t="str">
        <f>S49&amp;".1"</f>
        <v>.1</v>
      </c>
      <c r="J50" s="1565"/>
      <c r="K50" s="1565"/>
      <c r="L50" s="1568" t="s">
        <v>1475</v>
      </c>
      <c r="M50" s="674"/>
      <c r="N50" s="674"/>
      <c r="O50" s="674"/>
      <c r="P50" s="2350">
        <v>1</v>
      </c>
      <c r="Q50" s="1705"/>
      <c r="R50" s="504"/>
      <c r="S50" s="1227"/>
      <c r="T50" s="1606"/>
      <c r="U50" s="1607"/>
      <c r="V50" s="2391"/>
      <c r="W50" s="2391"/>
      <c r="X50" s="2391"/>
      <c r="Y50" s="2391"/>
      <c r="Z50" s="2391"/>
      <c r="AA50" s="2391"/>
      <c r="AB50" s="2391"/>
      <c r="AC50" s="2392"/>
      <c r="AD50" s="2390"/>
      <c r="AE50" s="2391"/>
      <c r="AF50" s="2391"/>
      <c r="AG50" s="2391"/>
      <c r="AH50" s="2391"/>
      <c r="AI50" s="2391"/>
      <c r="AJ50" s="2391"/>
      <c r="AK50" s="2391"/>
      <c r="AL50" s="2391"/>
      <c r="AM50" s="2391"/>
      <c r="AN50" s="2391"/>
      <c r="AO50" s="2391"/>
      <c r="AP50" s="2391"/>
      <c r="AQ50" s="2391"/>
      <c r="AR50" s="2391"/>
      <c r="AS50" s="2391"/>
      <c r="AT50" s="2391"/>
      <c r="AU50" s="2391"/>
      <c r="AV50" s="2391"/>
      <c r="AW50" s="2391"/>
      <c r="AX50" s="2391"/>
      <c r="AY50" s="2391"/>
      <c r="AZ50" s="2391"/>
      <c r="BA50" s="2391"/>
      <c r="BB50" s="2392"/>
      <c r="BC50" s="1608"/>
      <c r="BE50" s="664"/>
      <c r="BF50" s="664" t="str">
        <f>IF(T50="","",T50)</f>
        <v/>
      </c>
      <c r="BG50" s="664"/>
      <c r="BH50" s="664"/>
    </row>
    <row s="6608" customFormat="1" customHeight="1" ht="0">
      <c r="A51" s="1565" t="s">
        <v>276</v>
      </c>
      <c r="B51" s="1565" t="s">
        <v>277</v>
      </c>
      <c r="C51" s="1565" t="s">
        <v>278</v>
      </c>
      <c r="D51" s="1565" t="s">
        <v>2120</v>
      </c>
      <c r="E51" s="2352"/>
      <c r="F51" s="2352"/>
      <c r="G51" s="2352"/>
      <c r="H51" s="2352"/>
      <c r="I51" s="2381"/>
      <c r="J51" s="2349" t="str">
        <f>S49&amp;".1"</f>
        <v>.1</v>
      </c>
      <c r="K51" s="1565"/>
      <c r="L51" s="1568"/>
      <c r="M51" s="674"/>
      <c r="N51" s="674"/>
      <c r="O51" s="674"/>
      <c r="P51" s="2350"/>
      <c r="Q51" s="2350">
        <v>1</v>
      </c>
      <c r="R51" s="505"/>
      <c r="S51" s="1227"/>
      <c r="T51" s="1622"/>
      <c r="U51" s="1607"/>
      <c r="V51" s="2391"/>
      <c r="W51" s="2391"/>
      <c r="X51" s="2391"/>
      <c r="Y51" s="2391"/>
      <c r="Z51" s="2391"/>
      <c r="AA51" s="2391"/>
      <c r="AB51" s="2391"/>
      <c r="AC51" s="2392"/>
      <c r="AD51" s="2390"/>
      <c r="AE51" s="2391"/>
      <c r="AF51" s="2391"/>
      <c r="AG51" s="2391"/>
      <c r="AH51" s="2391"/>
      <c r="AI51" s="2391"/>
      <c r="AJ51" s="2391"/>
      <c r="AK51" s="2391"/>
      <c r="AL51" s="2391"/>
      <c r="AM51" s="2391"/>
      <c r="AN51" s="2517"/>
      <c r="AO51" s="2517"/>
      <c r="AP51" s="2391"/>
      <c r="AQ51" s="2391"/>
      <c r="AR51" s="2391"/>
      <c r="AS51" s="2391"/>
      <c r="AT51" s="2391"/>
      <c r="AU51" s="2391"/>
      <c r="AV51" s="2391"/>
      <c r="AW51" s="2391"/>
      <c r="AX51" s="2391"/>
      <c r="AY51" s="2391"/>
      <c r="AZ51" s="2391"/>
      <c r="BA51" s="2391"/>
      <c r="BB51" s="2392"/>
      <c r="BC51" s="1608"/>
      <c r="BE51" s="664"/>
      <c r="BF51" s="664" t="str">
        <f>IF(T51="","",T51)</f>
        <v/>
      </c>
      <c r="BG51" s="664"/>
      <c r="BH51" s="664"/>
    </row>
    <row customHeight="1" ht="11.25">
      <c r="A52" s="1586" t="s">
        <v>276</v>
      </c>
      <c r="B52" s="1586" t="s">
        <v>277</v>
      </c>
      <c r="C52" s="1586" t="s">
        <v>278</v>
      </c>
      <c r="D52" s="1586" t="s">
        <v>2120</v>
      </c>
      <c r="E52" s="2352"/>
      <c r="F52" s="2352"/>
      <c r="G52" s="2352"/>
      <c r="H52" s="2352"/>
      <c r="I52" s="2381"/>
      <c r="J52" s="2382"/>
      <c r="K52" s="2349" t="str">
        <f>S48&amp;".1"</f>
        <v>...1</v>
      </c>
      <c r="L52" s="1587"/>
      <c r="P52" s="2350"/>
      <c r="Q52" s="2350"/>
      <c r="R52" s="505">
        <v>1</v>
      </c>
      <c r="S52" s="2434" t="str">
        <f>$K52</f>
        <v>...1</v>
      </c>
      <c r="T52" s="2512"/>
      <c r="U52" s="437"/>
      <c r="V52" s="3992"/>
      <c r="W52" s="3994"/>
      <c r="X52" s="3992"/>
      <c r="Y52" s="3994"/>
      <c r="Z52" s="1976"/>
      <c r="AA52" s="1693" t="s">
        <v>66</v>
      </c>
      <c r="AB52" s="1976"/>
      <c r="AC52" s="1693" t="s">
        <v>66</v>
      </c>
      <c r="AD52" s="2159" t="s">
        <v>66</v>
      </c>
      <c r="AE52" s="2423"/>
      <c r="AF52" s="2424">
        <v>1</v>
      </c>
      <c r="AG52" s="2516"/>
      <c r="AH52" s="2069" t="s">
        <v>66</v>
      </c>
      <c r="AI52" s="2423"/>
      <c r="AJ52" s="2424">
        <v>1</v>
      </c>
      <c r="AK52" s="2515" t="s">
        <v>17</v>
      </c>
      <c r="AL52" s="2069" t="s">
        <v>66</v>
      </c>
      <c r="AM52" s="2507"/>
      <c r="AN52" s="2424">
        <v>1</v>
      </c>
      <c r="AO52" s="2509"/>
      <c r="AP52" s="2510" t="s">
        <v>66</v>
      </c>
      <c r="AQ52" s="450"/>
      <c r="AR52" s="1710">
        <v>1</v>
      </c>
      <c r="AS52" s="1716" t="s">
        <v>17</v>
      </c>
      <c r="AT52" s="3992"/>
      <c r="AU52" s="3994"/>
      <c r="AV52" s="3992"/>
      <c r="AW52" s="3994"/>
      <c r="AX52" s="1976"/>
      <c r="AY52" s="1693" t="s">
        <v>66</v>
      </c>
      <c r="AZ52" s="1976"/>
      <c r="BA52" s="1693" t="s">
        <v>66</v>
      </c>
      <c r="BB52" s="4093"/>
      <c r="BC52" s="2346" t="s">
        <v>1705</v>
      </c>
      <c r="BE52" s="664"/>
      <c r="BF52" s="664" t="str">
        <f>IF(T52="","",T52)</f>
        <v/>
      </c>
      <c r="BG52" s="664"/>
      <c r="BH52" s="664"/>
    </row>
    <row customHeight="1" ht="11.25">
      <c r="A53" s="1586"/>
      <c r="B53" s="1586"/>
      <c r="C53" s="1586"/>
      <c r="D53" s="1586"/>
      <c r="E53" s="2352"/>
      <c r="F53" s="2352"/>
      <c r="G53" s="2352"/>
      <c r="H53" s="2352"/>
      <c r="I53" s="2381"/>
      <c r="J53" s="2382"/>
      <c r="K53" s="2349"/>
      <c r="L53" s="1587"/>
      <c r="P53" s="2350"/>
      <c r="Q53" s="2350"/>
      <c r="R53" s="505"/>
      <c r="S53" s="2435"/>
      <c r="T53" s="2513"/>
      <c r="U53" s="437"/>
      <c r="V53" s="4152"/>
      <c r="W53" s="4208"/>
      <c r="X53" s="4152"/>
      <c r="Y53" s="4208"/>
      <c r="Z53" s="4152"/>
      <c r="AA53" s="4152"/>
      <c r="AB53" s="4152"/>
      <c r="AC53" s="4152"/>
      <c r="AD53" s="2160"/>
      <c r="AE53" s="2423"/>
      <c r="AF53" s="2424"/>
      <c r="AG53" s="2516"/>
      <c r="AH53" s="2069"/>
      <c r="AI53" s="2423"/>
      <c r="AJ53" s="2424"/>
      <c r="AK53" s="2515"/>
      <c r="AL53" s="2069"/>
      <c r="AM53" s="2508"/>
      <c r="AN53" s="2424"/>
      <c r="AO53" s="2509"/>
      <c r="AP53" s="2511"/>
      <c r="AQ53" s="457"/>
      <c r="AR53" s="579"/>
      <c r="AS53" s="579" t="s">
        <v>1706</v>
      </c>
      <c r="AT53" s="4152"/>
      <c r="AU53" s="4208"/>
      <c r="AV53" s="4152"/>
      <c r="AW53" s="4208"/>
      <c r="AX53" s="4152"/>
      <c r="AY53" s="4152"/>
      <c r="AZ53" s="4152"/>
      <c r="BA53" s="4152"/>
      <c r="BB53" s="4206"/>
      <c r="BC53" s="2347"/>
      <c r="BE53" s="664"/>
      <c r="BF53" s="664"/>
      <c r="BG53" s="664"/>
      <c r="BH53" s="664"/>
    </row>
    <row customHeight="1" ht="11.25">
      <c r="A54" s="1586" t="s">
        <v>276</v>
      </c>
      <c r="B54" s="1586"/>
      <c r="C54" s="1586"/>
      <c r="D54" s="1586"/>
      <c r="E54" s="2352"/>
      <c r="F54" s="2352"/>
      <c r="G54" s="2352"/>
      <c r="H54" s="2352"/>
      <c r="I54" s="2381"/>
      <c r="J54" s="2382"/>
      <c r="K54" s="2349"/>
      <c r="L54" s="1587"/>
      <c r="P54" s="2350"/>
      <c r="Q54" s="2350"/>
      <c r="R54" s="505"/>
      <c r="S54" s="2435"/>
      <c r="T54" s="2513"/>
      <c r="U54" s="437"/>
      <c r="V54" s="4152"/>
      <c r="W54" s="4208"/>
      <c r="X54" s="4152"/>
      <c r="Y54" s="4208"/>
      <c r="Z54" s="4152"/>
      <c r="AA54" s="4152"/>
      <c r="AB54" s="4152"/>
      <c r="AC54" s="4152"/>
      <c r="AD54" s="2160"/>
      <c r="AE54" s="2423"/>
      <c r="AF54" s="2424"/>
      <c r="AG54" s="2516"/>
      <c r="AH54" s="2069"/>
      <c r="AI54" s="2423"/>
      <c r="AJ54" s="2424"/>
      <c r="AK54" s="2515"/>
      <c r="AL54" s="2069"/>
      <c r="AM54" s="457"/>
      <c r="AN54" s="1724"/>
      <c r="AO54" s="1724" t="s">
        <v>2113</v>
      </c>
      <c r="AP54" s="579"/>
      <c r="AQ54" s="579"/>
      <c r="AR54" s="579"/>
      <c r="AS54" s="4152"/>
      <c r="AT54" s="4152"/>
      <c r="AU54" s="4208"/>
      <c r="AV54" s="4152"/>
      <c r="AW54" s="4208"/>
      <c r="AX54" s="4152"/>
      <c r="AY54" s="4152"/>
      <c r="AZ54" s="4152"/>
      <c r="BA54" s="4152"/>
      <c r="BB54" s="4206"/>
      <c r="BC54" s="2347"/>
      <c r="BE54" s="664"/>
      <c r="BF54" s="664"/>
      <c r="BG54" s="664"/>
      <c r="BH54" s="664"/>
    </row>
    <row customHeight="1" ht="11.25">
      <c r="A55" s="1586" t="s">
        <v>276</v>
      </c>
      <c r="B55" s="1586"/>
      <c r="C55" s="1586"/>
      <c r="D55" s="1586"/>
      <c r="E55" s="2352"/>
      <c r="F55" s="2352"/>
      <c r="G55" s="2352"/>
      <c r="H55" s="2352"/>
      <c r="I55" s="2381"/>
      <c r="J55" s="2382"/>
      <c r="K55" s="2349"/>
      <c r="L55" s="1587"/>
      <c r="P55" s="2350"/>
      <c r="Q55" s="2350"/>
      <c r="R55" s="505"/>
      <c r="S55" s="2435"/>
      <c r="T55" s="2513"/>
      <c r="U55" s="437"/>
      <c r="V55" s="4152"/>
      <c r="W55" s="4208"/>
      <c r="X55" s="4152"/>
      <c r="Y55" s="4208"/>
      <c r="Z55" s="4152"/>
      <c r="AA55" s="4152"/>
      <c r="AB55" s="4152"/>
      <c r="AC55" s="4152"/>
      <c r="AD55" s="2160"/>
      <c r="AE55" s="2423"/>
      <c r="AF55" s="2424"/>
      <c r="AG55" s="2516"/>
      <c r="AH55" s="2069"/>
      <c r="AI55" s="431"/>
      <c r="AJ55" s="578"/>
      <c r="AK55" s="452" t="s">
        <v>2114</v>
      </c>
      <c r="AL55" s="4152"/>
      <c r="AM55" s="4152"/>
      <c r="AN55" s="4152"/>
      <c r="AO55" s="4152"/>
      <c r="AP55" s="4152"/>
      <c r="AQ55" s="4152"/>
      <c r="AR55" s="4152"/>
      <c r="AS55" s="4152"/>
      <c r="AT55" s="4152"/>
      <c r="AU55" s="4208"/>
      <c r="AV55" s="4152"/>
      <c r="AW55" s="4208"/>
      <c r="AX55" s="4152"/>
      <c r="AY55" s="4152"/>
      <c r="AZ55" s="4152"/>
      <c r="BA55" s="4152"/>
      <c r="BB55" s="4206"/>
      <c r="BC55" s="2347"/>
      <c r="BE55" s="664"/>
      <c r="BF55" s="664"/>
      <c r="BG55" s="664"/>
      <c r="BH55" s="664"/>
    </row>
    <row customHeight="1" ht="11.25">
      <c r="A56" s="1586" t="s">
        <v>276</v>
      </c>
      <c r="B56" s="1586" t="s">
        <v>277</v>
      </c>
      <c r="C56" s="1586" t="s">
        <v>278</v>
      </c>
      <c r="D56" s="1586" t="s">
        <v>2120</v>
      </c>
      <c r="E56" s="2352"/>
      <c r="F56" s="2352"/>
      <c r="G56" s="2352"/>
      <c r="H56" s="2352"/>
      <c r="I56" s="2381"/>
      <c r="J56" s="2382"/>
      <c r="K56" s="2349"/>
      <c r="L56" s="1587"/>
      <c r="P56" s="2350"/>
      <c r="Q56" s="2350"/>
      <c r="R56" s="505"/>
      <c r="S56" s="2436"/>
      <c r="T56" s="2514"/>
      <c r="U56" s="437"/>
      <c r="V56" s="4152"/>
      <c r="W56" s="4153" t="str">
        <f>Z52&amp;"-"&amp;AB52</f>
        <v>-</v>
      </c>
      <c r="X56" s="4152"/>
      <c r="Y56" s="4153" t="str">
        <f>AB52&amp;"-"&amp;AD52</f>
        <v>-да</v>
      </c>
      <c r="Z56" s="4152"/>
      <c r="AA56" s="4152"/>
      <c r="AB56" s="4152"/>
      <c r="AC56" s="4152"/>
      <c r="AD56" s="2074"/>
      <c r="AE56" s="451"/>
      <c r="AF56" s="453"/>
      <c r="AG56" s="579" t="s">
        <v>1709</v>
      </c>
      <c r="AH56" s="4152"/>
      <c r="AI56" s="4152"/>
      <c r="AJ56" s="4152"/>
      <c r="AK56" s="4152"/>
      <c r="AL56" s="4152"/>
      <c r="AM56" s="4152"/>
      <c r="AN56" s="4152"/>
      <c r="AO56" s="4152"/>
      <c r="AP56" s="4152"/>
      <c r="AQ56" s="4152"/>
      <c r="AR56" s="4152"/>
      <c r="AS56" s="4152"/>
      <c r="AT56" s="4152"/>
      <c r="AU56" s="4153" t="str">
        <f>AX52&amp;"-"&amp;AZ52</f>
        <v>-</v>
      </c>
      <c r="AV56" s="4152"/>
      <c r="AW56" s="4153" t="str">
        <f>AZ52&amp;"-"&amp;BB52</f>
        <v>-</v>
      </c>
      <c r="AX56" s="4152"/>
      <c r="AY56" s="4152"/>
      <c r="AZ56" s="4152"/>
      <c r="BA56" s="4152"/>
      <c r="BB56" s="4213" t="str">
        <f>BE52&amp;"-"&amp;BG52</f>
        <v>-</v>
      </c>
      <c r="BC56" s="2347"/>
      <c r="BE56" s="664"/>
      <c r="BF56" s="664" t="str">
        <f>IF(T56="","",T56)</f>
        <v/>
      </c>
      <c r="BG56" s="664"/>
      <c r="BH56" s="664"/>
    </row>
    <row customHeight="1" ht="11.25">
      <c r="A57" s="1586" t="s">
        <v>276</v>
      </c>
      <c r="B57" s="1586" t="s">
        <v>277</v>
      </c>
      <c r="C57" s="1586" t="s">
        <v>278</v>
      </c>
      <c r="D57" s="1586" t="s">
        <v>2120</v>
      </c>
      <c r="E57" s="2352"/>
      <c r="F57" s="2352"/>
      <c r="G57" s="2352"/>
      <c r="H57" s="2352"/>
      <c r="I57" s="2381"/>
      <c r="J57" s="2349"/>
      <c r="K57" s="1586"/>
      <c r="L57" s="1587"/>
      <c r="P57" s="2350"/>
      <c r="Q57" s="2350"/>
      <c r="R57" s="504"/>
      <c r="S57" s="1495"/>
      <c r="T57" s="424" t="s">
        <v>1549</v>
      </c>
      <c r="U57" s="519"/>
      <c r="V57" s="519"/>
      <c r="W57" s="519"/>
      <c r="X57" s="519"/>
      <c r="Y57" s="519"/>
      <c r="Z57" s="519"/>
      <c r="AA57" s="519"/>
      <c r="AB57" s="519"/>
      <c r="AC57" s="471"/>
      <c r="AD57" s="1729"/>
      <c r="AE57" s="519"/>
      <c r="AF57" s="519"/>
      <c r="AG57" s="519"/>
      <c r="AH57" s="519"/>
      <c r="AI57" s="519"/>
      <c r="AJ57" s="519"/>
      <c r="AK57" s="519"/>
      <c r="AL57" s="519"/>
      <c r="AM57" s="519"/>
      <c r="AN57" s="519"/>
      <c r="AO57" s="519"/>
      <c r="AP57" s="519"/>
      <c r="AQ57" s="519"/>
      <c r="AR57" s="519"/>
      <c r="AS57" s="519"/>
      <c r="AT57" s="519"/>
      <c r="AU57" s="519"/>
      <c r="AV57" s="519"/>
      <c r="AW57" s="519"/>
      <c r="AX57" s="519"/>
      <c r="AY57" s="519"/>
      <c r="AZ57" s="519"/>
      <c r="BA57" s="519"/>
      <c r="BB57" s="471"/>
      <c r="BC57" s="2348"/>
      <c r="BE57" s="664"/>
      <c r="BF57" s="664" t="str">
        <f>IF(T57="","",T57)</f>
        <v>Добавить строку</v>
      </c>
      <c r="BG57" s="664"/>
      <c r="BH57" s="664"/>
    </row>
    <row s="6608" customFormat="1" customHeight="1" ht="0">
      <c r="A58" s="1565" t="s">
        <v>276</v>
      </c>
      <c r="B58" s="1565" t="s">
        <v>277</v>
      </c>
      <c r="C58" s="1565" t="s">
        <v>278</v>
      </c>
      <c r="D58" s="1565" t="s">
        <v>2120</v>
      </c>
      <c r="E58" s="2352"/>
      <c r="F58" s="2352"/>
      <c r="G58" s="2352"/>
      <c r="H58" s="2352"/>
      <c r="I58" s="2380"/>
      <c r="J58" s="1565"/>
      <c r="K58" s="1565"/>
      <c r="L58" s="1568"/>
      <c r="M58" s="674"/>
      <c r="N58" s="674"/>
      <c r="O58" s="674"/>
      <c r="P58" s="2350"/>
      <c r="Q58" s="1705"/>
      <c r="R58" s="504"/>
      <c r="S58" s="1609"/>
      <c r="T58" s="1610"/>
      <c r="U58" s="1611"/>
      <c r="V58" s="1611"/>
      <c r="W58" s="1611"/>
      <c r="X58" s="1611"/>
      <c r="Y58" s="1611"/>
      <c r="Z58" s="1611"/>
      <c r="AA58" s="1611"/>
      <c r="AB58" s="1611"/>
      <c r="AC58" s="1611"/>
      <c r="AD58" s="1611"/>
      <c r="AE58" s="1611"/>
      <c r="AF58" s="1611"/>
      <c r="AG58" s="1611"/>
      <c r="AH58" s="1611"/>
      <c r="AI58" s="1611"/>
      <c r="AJ58" s="1611"/>
      <c r="AK58" s="1611"/>
      <c r="AL58" s="1611"/>
      <c r="AM58" s="1611"/>
      <c r="AN58" s="1611"/>
      <c r="AO58" s="1611"/>
      <c r="AP58" s="1611"/>
      <c r="AQ58" s="1611"/>
      <c r="AR58" s="1611"/>
      <c r="AS58" s="1611"/>
      <c r="AT58" s="1611"/>
      <c r="AU58" s="1611"/>
      <c r="AV58" s="1611"/>
      <c r="AW58" s="1611"/>
      <c r="AX58" s="1611"/>
      <c r="AY58" s="1611"/>
      <c r="AZ58" s="1611"/>
      <c r="BA58" s="1611"/>
      <c r="BB58" s="1611"/>
      <c r="BC58" s="1612"/>
      <c r="BE58" s="664"/>
      <c r="BF58" s="664" t="str">
        <f>IF(T58="","",T58)</f>
        <v/>
      </c>
      <c r="BG58" s="664"/>
      <c r="BH58" s="664"/>
    </row>
    <row s="6608" customFormat="1" customHeight="1" ht="0">
      <c r="A59" s="1565" t="s">
        <v>276</v>
      </c>
      <c r="B59" s="1565" t="s">
        <v>277</v>
      </c>
      <c r="C59" s="1565" t="s">
        <v>278</v>
      </c>
      <c r="D59" s="1565" t="s">
        <v>2120</v>
      </c>
      <c r="E59" s="2352"/>
      <c r="F59" s="2352"/>
      <c r="G59" s="2352"/>
      <c r="H59" s="2351"/>
      <c r="I59" s="1565"/>
      <c r="J59" s="1565"/>
      <c r="K59" s="1565"/>
      <c r="L59" s="1568"/>
      <c r="M59" s="1537"/>
      <c r="N59" s="1537"/>
      <c r="O59" s="682"/>
      <c r="P59" s="537"/>
      <c r="Q59" s="1566"/>
      <c r="R59" s="1624"/>
      <c r="S59" s="1609"/>
      <c r="T59" s="1610"/>
      <c r="U59" s="1611"/>
      <c r="V59" s="1611"/>
      <c r="W59" s="1611"/>
      <c r="X59" s="1611"/>
      <c r="Y59" s="1611"/>
      <c r="Z59" s="1611"/>
      <c r="AA59" s="1611"/>
      <c r="AB59" s="1611"/>
      <c r="AC59" s="1611"/>
      <c r="AD59" s="1611"/>
      <c r="AE59" s="1611"/>
      <c r="AF59" s="1611"/>
      <c r="AG59" s="1611"/>
      <c r="AH59" s="1611"/>
      <c r="AI59" s="1611"/>
      <c r="AJ59" s="1611"/>
      <c r="AK59" s="1611"/>
      <c r="AL59" s="1611"/>
      <c r="AM59" s="1611"/>
      <c r="AN59" s="1611"/>
      <c r="AO59" s="1611"/>
      <c r="AP59" s="1611"/>
      <c r="AQ59" s="1611"/>
      <c r="AR59" s="1611"/>
      <c r="AS59" s="1611"/>
      <c r="AT59" s="1611"/>
      <c r="AU59" s="1611"/>
      <c r="AV59" s="1611"/>
      <c r="AW59" s="1611"/>
      <c r="AX59" s="1611"/>
      <c r="AY59" s="1611"/>
      <c r="AZ59" s="1611"/>
      <c r="BA59" s="1611"/>
      <c r="BB59" s="1611"/>
      <c r="BC59" s="1612"/>
      <c r="BE59" s="664"/>
      <c r="BF59" s="664" t="str">
        <f>IF(T59="","",T59)</f>
        <v/>
      </c>
      <c r="BG59" s="664"/>
      <c r="BH59" s="664"/>
    </row>
    <row s="6520" customFormat="1" customHeight="1" ht="0">
      <c r="A60" s="1565" t="s">
        <v>276</v>
      </c>
      <c r="B60" s="1565" t="s">
        <v>277</v>
      </c>
      <c r="C60" s="1565" t="s">
        <v>278</v>
      </c>
      <c r="D60" s="1536"/>
      <c r="E60" s="2352"/>
      <c r="F60" s="2352"/>
      <c r="G60" s="2351"/>
      <c r="H60" s="1536"/>
      <c r="I60" s="1536"/>
      <c r="J60" s="1536"/>
      <c r="K60" s="1536"/>
      <c r="L60" s="1718"/>
      <c r="M60" s="1537"/>
      <c r="N60" s="1537"/>
      <c r="P60" s="1538"/>
      <c r="Q60" s="1539"/>
      <c r="R60" s="1538"/>
      <c r="S60" s="1544"/>
      <c r="T60" s="1547"/>
      <c r="U60" s="1546"/>
      <c r="V60" s="1546"/>
      <c r="W60" s="1546"/>
      <c r="X60" s="1546"/>
      <c r="Y60" s="1546"/>
      <c r="Z60" s="1546"/>
      <c r="AA60" s="1546"/>
      <c r="AB60" s="1546"/>
      <c r="AC60" s="1546"/>
      <c r="AD60" s="1546"/>
      <c r="AE60" s="1546"/>
      <c r="AF60" s="1546"/>
      <c r="AG60" s="1546"/>
      <c r="AH60" s="1546"/>
      <c r="AI60" s="1546"/>
      <c r="AJ60" s="1546"/>
      <c r="AK60" s="1546"/>
      <c r="AL60" s="1546"/>
      <c r="AM60" s="1546"/>
      <c r="AN60" s="1546"/>
      <c r="AO60" s="1546"/>
      <c r="AP60" s="1546"/>
      <c r="AQ60" s="1546"/>
      <c r="AR60" s="1546"/>
      <c r="AS60" s="1546"/>
      <c r="AT60" s="1546"/>
      <c r="AU60" s="1546"/>
      <c r="AV60" s="1546"/>
      <c r="AW60" s="1546"/>
      <c r="AX60" s="1546"/>
      <c r="AY60" s="1546"/>
      <c r="AZ60" s="1546"/>
      <c r="BA60" s="1546"/>
      <c r="BB60" s="1546"/>
      <c r="BC60" s="1546"/>
      <c r="BE60" s="956"/>
      <c r="BF60" s="956" t="str">
        <f>IF(T60="","",T60)</f>
        <v/>
      </c>
      <c r="BG60" s="956"/>
      <c r="BH60" s="956"/>
    </row>
    <row s="6520" customFormat="1" customHeight="1" ht="0">
      <c r="A61" s="1565" t="s">
        <v>276</v>
      </c>
      <c r="B61" s="1565" t="s">
        <v>277</v>
      </c>
      <c r="C61" s="1536"/>
      <c r="D61" s="1536"/>
      <c r="E61" s="2352"/>
      <c r="F61" s="2351"/>
      <c r="G61" s="1536"/>
      <c r="H61" s="1536"/>
      <c r="I61" s="1536"/>
      <c r="J61" s="1536"/>
      <c r="K61" s="1536"/>
      <c r="L61" s="1718"/>
      <c r="M61" s="1543"/>
      <c r="N61" s="1543"/>
      <c r="P61" s="1538"/>
      <c r="Q61" s="1539"/>
      <c r="R61" s="1538"/>
      <c r="S61" s="1544"/>
      <c r="T61" s="1547" t="s">
        <v>1445</v>
      </c>
      <c r="U61" s="1546"/>
      <c r="V61" s="1546"/>
      <c r="W61" s="1546"/>
      <c r="X61" s="1546"/>
      <c r="Y61" s="1546"/>
      <c r="Z61" s="1546"/>
      <c r="AA61" s="1546"/>
      <c r="AB61" s="1546"/>
      <c r="AC61" s="1546"/>
      <c r="AD61" s="1546"/>
      <c r="AE61" s="1546"/>
      <c r="AF61" s="1546"/>
      <c r="AG61" s="1546"/>
      <c r="AH61" s="1546"/>
      <c r="AI61" s="1546"/>
      <c r="AJ61" s="1546"/>
      <c r="AK61" s="1546"/>
      <c r="AL61" s="1546"/>
      <c r="AM61" s="1546"/>
      <c r="AN61" s="1546"/>
      <c r="AO61" s="1546"/>
      <c r="AP61" s="1546"/>
      <c r="AQ61" s="1546"/>
      <c r="AR61" s="1546"/>
      <c r="AS61" s="1546"/>
      <c r="AT61" s="1546"/>
      <c r="AU61" s="1546"/>
      <c r="AV61" s="1546"/>
      <c r="AW61" s="1546"/>
      <c r="AX61" s="1546"/>
      <c r="AY61" s="1546"/>
      <c r="AZ61" s="1546"/>
      <c r="BA61" s="1546"/>
      <c r="BB61" s="1546"/>
      <c r="BC61" s="1546"/>
      <c r="BE61" s="956"/>
      <c r="BF61" s="956" t="str">
        <f>IF(T61="","",T61)</f>
        <v>Добавить централизованную систему для дифференциации</v>
      </c>
      <c r="BG61" s="956"/>
      <c r="BH61" s="956"/>
    </row>
    <row s="6608" customFormat="1" customHeight="1" ht="0">
      <c r="A62" s="1565" t="s">
        <v>276</v>
      </c>
      <c r="B62" s="1565"/>
      <c r="C62" s="1565"/>
      <c r="D62" s="1565"/>
      <c r="E62" s="2351"/>
      <c r="F62" s="1565"/>
      <c r="G62" s="1565"/>
      <c r="H62" s="1565"/>
      <c r="I62" s="1565"/>
      <c r="J62" s="1565"/>
      <c r="K62" s="1565"/>
      <c r="L62" s="1568"/>
      <c r="M62" s="1543"/>
      <c r="N62" s="1543"/>
      <c r="O62" s="682"/>
      <c r="P62" s="537"/>
      <c r="Q62" s="1566"/>
      <c r="R62" s="537"/>
      <c r="S62" s="1544"/>
      <c r="T62" s="1547" t="s">
        <v>1446</v>
      </c>
      <c r="U62" s="1546"/>
      <c r="V62" s="1546"/>
      <c r="W62" s="1546"/>
      <c r="X62" s="1546"/>
      <c r="Y62" s="1546"/>
      <c r="Z62" s="1546"/>
      <c r="AA62" s="1546"/>
      <c r="AB62" s="1546"/>
      <c r="AC62" s="1546"/>
      <c r="AD62" s="1546"/>
      <c r="AE62" s="1546"/>
      <c r="AF62" s="1546"/>
      <c r="AG62" s="1546"/>
      <c r="AH62" s="1546"/>
      <c r="AI62" s="1546"/>
      <c r="AJ62" s="1546"/>
      <c r="AK62" s="1546"/>
      <c r="AL62" s="1546"/>
      <c r="AM62" s="1546"/>
      <c r="AN62" s="1546"/>
      <c r="AO62" s="1546"/>
      <c r="AP62" s="1546"/>
      <c r="AQ62" s="1546"/>
      <c r="AR62" s="1546"/>
      <c r="AS62" s="1546"/>
      <c r="AT62" s="1546"/>
      <c r="AU62" s="1546"/>
      <c r="AV62" s="1546"/>
      <c r="AW62" s="1546"/>
      <c r="AX62" s="1546"/>
      <c r="AY62" s="1546"/>
      <c r="AZ62" s="1546"/>
      <c r="BA62" s="1546"/>
      <c r="BB62" s="1546"/>
      <c r="BC62" s="1546"/>
      <c r="BE62" s="664"/>
      <c r="BF62" s="664" t="str">
        <f>IF(T62="","",T62)</f>
        <v>Добавить территорию для дифференциации</v>
      </c>
      <c r="BG62" s="664"/>
      <c r="BH62" s="664"/>
    </row>
    <row s="6520" customFormat="1" customHeight="1" ht="0">
      <c r="A63" s="1536"/>
      <c r="B63" s="1536"/>
      <c r="C63" s="1536"/>
      <c r="D63" s="1536"/>
      <c r="E63" s="1565"/>
      <c r="F63" s="1536"/>
      <c r="G63" s="1536"/>
      <c r="H63" s="1536"/>
      <c r="I63" s="1536"/>
      <c r="J63" s="1536"/>
      <c r="K63" s="1536"/>
      <c r="L63" s="1718"/>
      <c r="M63" s="1543"/>
      <c r="N63" s="1543"/>
      <c r="P63" s="1538"/>
      <c r="Q63" s="1539"/>
      <c r="R63" s="1538"/>
      <c r="S63" s="1544"/>
      <c r="T63" s="1547" t="s">
        <v>1447</v>
      </c>
      <c r="U63" s="1546"/>
      <c r="V63" s="1546"/>
      <c r="W63" s="1546"/>
      <c r="X63" s="1546"/>
      <c r="Y63" s="1546"/>
      <c r="Z63" s="1546"/>
      <c r="AA63" s="1546"/>
      <c r="AB63" s="1546"/>
      <c r="AC63" s="1546"/>
      <c r="AD63" s="1546"/>
      <c r="AE63" s="1546"/>
      <c r="AF63" s="1546"/>
      <c r="AG63" s="1546"/>
      <c r="AH63" s="1546"/>
      <c r="AI63" s="1546"/>
      <c r="AJ63" s="1546"/>
      <c r="AK63" s="1546"/>
      <c r="AL63" s="1546"/>
      <c r="AM63" s="1546"/>
      <c r="AN63" s="1546"/>
      <c r="AO63" s="1546"/>
      <c r="AP63" s="1546"/>
      <c r="AQ63" s="1546"/>
      <c r="AR63" s="1546"/>
      <c r="AS63" s="1546"/>
      <c r="AT63" s="1546"/>
      <c r="AU63" s="1546"/>
      <c r="AV63" s="1546"/>
      <c r="AW63" s="1546"/>
      <c r="AX63" s="1546"/>
      <c r="AY63" s="1546"/>
      <c r="AZ63" s="1546"/>
      <c r="BA63" s="1546"/>
      <c r="BB63" s="1546"/>
      <c r="BC63" s="1546"/>
      <c r="BE63" s="956"/>
      <c r="BF63" s="956" t="str">
        <f>IF(T63="","",T63)</f>
        <v>Добавить наименование тарифа</v>
      </c>
      <c r="BG63" s="956"/>
      <c r="BH63" s="956"/>
    </row>
    <row customHeight="1" ht="11.25" hidden="1">
      <c r="M64" s="1348"/>
      <c r="N64" s="1348"/>
      <c r="O64" s="701"/>
      <c r="P64" s="1348"/>
      <c r="Q64" s="1348"/>
      <c r="R64" s="1343"/>
      <c r="S64" s="1343"/>
      <c r="BD64" s="1343"/>
      <c r="BE64" s="1343"/>
      <c r="BF64" s="1343"/>
      <c r="BG64" s="1343"/>
      <c r="BH64" s="1343"/>
    </row>
    <row customHeight="1" ht="18.75" hidden="1">
      <c r="O65" s="701"/>
      <c r="S65" s="1460" t="s">
        <v>1517</v>
      </c>
      <c r="T65" s="2379" t="s">
        <v>1720</v>
      </c>
      <c r="U65" s="2379"/>
      <c r="V65" s="2379"/>
      <c r="W65" s="2379"/>
      <c r="X65" s="2379"/>
      <c r="Y65" s="2379"/>
      <c r="Z65" s="2379"/>
      <c r="AA65" s="2379"/>
      <c r="AB65" s="2379"/>
      <c r="AC65" s="2379"/>
      <c r="AD65" s="2379"/>
      <c r="AE65" s="2379"/>
      <c r="AF65" s="2379"/>
      <c r="AG65" s="2379"/>
      <c r="AH65" s="2379"/>
      <c r="AI65" s="2379"/>
      <c r="AJ65" s="2379"/>
      <c r="AK65" s="2379"/>
      <c r="AL65" s="2379"/>
      <c r="AM65" s="2379"/>
      <c r="AN65" s="2379"/>
      <c r="AO65" s="2379"/>
      <c r="AP65" s="2379"/>
      <c r="AQ65" s="2379"/>
      <c r="AR65" s="2379"/>
      <c r="AS65" s="2379"/>
      <c r="AT65" s="2379"/>
      <c r="AU65" s="2379"/>
      <c r="AV65" s="2379"/>
      <c r="AW65" s="2379"/>
      <c r="AX65" s="2379"/>
      <c r="AY65" s="2379"/>
      <c r="AZ65" s="2379"/>
      <c r="BA65" s="2379"/>
      <c r="BB65" s="2379"/>
      <c r="BC65" s="2379"/>
    </row>
    <row customHeight="1" ht="14.25" hidden="1">
      <c r="O66" s="701"/>
      <c r="T66" s="1704"/>
      <c r="U66" s="1704"/>
      <c r="V66" s="1704"/>
      <c r="W66" s="1704"/>
      <c r="X66" s="1704"/>
      <c r="Y66" s="1704"/>
      <c r="Z66" s="1704"/>
      <c r="AA66" s="1704"/>
      <c r="AB66" s="1704"/>
      <c r="AC66" s="1704"/>
      <c r="AD66" s="1704"/>
      <c r="AE66" s="1704"/>
      <c r="AF66" s="1704"/>
      <c r="AG66" s="1704"/>
      <c r="AH66" s="1704"/>
      <c r="AI66" s="1704"/>
      <c r="AJ66" s="1704"/>
      <c r="AK66" s="1704"/>
      <c r="AL66" s="1704"/>
      <c r="AM66" s="1704"/>
      <c r="AN66" s="1704"/>
      <c r="AO66" s="1704"/>
      <c r="AP66" s="1704"/>
      <c r="AQ66" s="1704"/>
      <c r="AR66" s="1704"/>
      <c r="AS66" s="1704"/>
      <c r="AT66" s="1704"/>
      <c r="AU66" s="1704"/>
      <c r="AV66" s="1704"/>
      <c r="AW66" s="1704"/>
      <c r="AX66" s="1704"/>
      <c r="AY66" s="1704"/>
      <c r="AZ66" s="1704"/>
      <c r="BA66" s="1704"/>
      <c r="BB66" s="1704"/>
      <c r="BC66" s="1704"/>
    </row>
    <row customHeight="1" ht="18.75" hidden="1">
      <c r="O67" s="701"/>
      <c r="S67" s="1460" t="s">
        <v>1517</v>
      </c>
      <c r="T67" s="2379" t="s">
        <v>1684</v>
      </c>
      <c r="U67" s="2379"/>
      <c r="V67" s="2379"/>
      <c r="W67" s="2379"/>
      <c r="X67" s="2379"/>
      <c r="Y67" s="2379"/>
      <c r="Z67" s="2379"/>
      <c r="AA67" s="2379"/>
      <c r="AB67" s="2379"/>
      <c r="AC67" s="2379"/>
      <c r="AD67" s="2379"/>
      <c r="AE67" s="2379"/>
      <c r="AF67" s="2379"/>
      <c r="AG67" s="2379"/>
      <c r="AH67" s="2379"/>
      <c r="AI67" s="2379"/>
      <c r="AJ67" s="2379"/>
      <c r="AK67" s="2379"/>
      <c r="AL67" s="2379"/>
      <c r="AM67" s="2379"/>
      <c r="AN67" s="2379"/>
      <c r="AO67" s="2379"/>
      <c r="AP67" s="2379"/>
      <c r="AQ67" s="2379"/>
      <c r="AR67" s="2379"/>
      <c r="AS67" s="2379"/>
      <c r="AT67" s="2379"/>
      <c r="AU67" s="2379"/>
      <c r="AV67" s="2379"/>
      <c r="AW67" s="2379"/>
      <c r="AX67" s="2379"/>
      <c r="AY67" s="2379"/>
      <c r="AZ67" s="2379"/>
      <c r="BA67" s="2379"/>
      <c r="BB67" s="2379"/>
      <c r="BC67" s="2379"/>
    </row>
    <row customHeight="1" ht="14.25">
      <c r="O68" s="701"/>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145842-ED5E-591C-45DE-A17F423237A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54A4E3-9D31-F271-725D-0ABA1153B57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8A205A-B05D-39FC-05B4-29D1587166A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403089-24C3-9259-EB1A-4346415911C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BF9BC2-A815-0716-E70A-BC4E4352E47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FAB645-8A13-FD0C-9758-5440D91EDE1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E9A569-84FF-BCFC-63AC-00076ADA5A3B}"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7527" width="9.140625" hidden="1"/>
    <col min="2" max="2" style="7539" width="9.140625" hidden="1"/>
    <col min="3" max="3" style="7540" width="3.7109375" customWidth="1"/>
    <col min="4" max="4" style="7541" width="7.00390625" customWidth="1"/>
    <col min="5" max="5" style="7541" width="23.140625" customWidth="1"/>
    <col min="6" max="6" style="7541" width="16.00390625" customWidth="1"/>
    <col min="7" max="7" style="7541" width="14.8515625" customWidth="1"/>
    <col min="8" max="8" style="7541" width="47.8515625" customWidth="1"/>
    <col min="9" max="9" style="7541" width="115.7109375" customWidth="1"/>
    <col min="10" max="10" style="7541" width="3.7109375" customWidth="1"/>
    <col min="11" max="12" style="7541" width="9.140625"/>
  </cols>
  <sheetData>
    <row customHeight="1" ht="14.25" hidden="1"/>
    <row customHeight="1" ht="14.25" hidden="1"/>
    <row customHeight="1" ht="14.25" hidden="1"/>
    <row customHeight="1" ht="3"/>
    <row s="5370" customFormat="1" customHeight="1" ht="30">
      <c r="A5" s="247"/>
      <c r="C5" s="219"/>
      <c r="D5" s="2062" t="s">
        <v>2121</v>
      </c>
      <c r="E5" s="2062"/>
      <c r="F5" s="2062"/>
      <c r="G5" s="2062"/>
      <c r="H5" s="2062"/>
      <c r="I5" s="400"/>
    </row>
    <row customHeight="1" ht="3" hidden="1">
      <c r="D6" s="254"/>
      <c r="E6" s="254"/>
      <c r="F6" s="254"/>
      <c r="G6" s="254"/>
      <c r="H6" s="254"/>
      <c r="I6" s="254"/>
    </row>
    <row s="7527" customFormat="1" customHeight="1" ht="14.25">
      <c r="B7" s="251"/>
      <c r="C7" s="252"/>
      <c r="D7" s="255"/>
      <c r="E7" s="255"/>
      <c r="F7" s="255"/>
      <c r="G7" s="255"/>
      <c r="H7" s="918"/>
      <c r="I7" s="255"/>
      <c r="J7" s="256"/>
    </row>
    <row customHeight="1" ht="14.25">
      <c r="D8" s="2619" t="s">
        <v>300</v>
      </c>
      <c r="E8" s="2619"/>
      <c r="F8" s="2619"/>
      <c r="G8" s="2619"/>
      <c r="H8" s="2619"/>
      <c r="I8" s="2619" t="s">
        <v>301</v>
      </c>
    </row>
    <row customHeight="1" ht="27.75">
      <c r="D9" s="2619" t="s">
        <v>87</v>
      </c>
      <c r="E9" s="2619" t="s">
        <v>2122</v>
      </c>
      <c r="F9" s="2619"/>
      <c r="G9" s="2619"/>
      <c r="H9" s="2619"/>
      <c r="I9" s="2619"/>
    </row>
    <row customHeight="1" ht="22.5">
      <c r="D10" s="2619"/>
      <c r="E10" s="259" t="s">
        <v>2123</v>
      </c>
      <c r="F10" s="259" t="s">
        <v>2124</v>
      </c>
      <c r="G10" s="259" t="s">
        <v>2125</v>
      </c>
      <c r="H10" s="259" t="s">
        <v>392</v>
      </c>
      <c r="I10" s="2619"/>
    </row>
    <row customHeight="1" ht="12" hidden="1">
      <c r="D11" s="216" t="s">
        <v>118</v>
      </c>
      <c r="E11" s="216" t="s">
        <v>90</v>
      </c>
      <c r="F11" s="216" t="s">
        <v>119</v>
      </c>
      <c r="G11" s="216" t="s">
        <v>91</v>
      </c>
      <c r="H11" s="216" t="s">
        <v>92</v>
      </c>
      <c r="I11" s="216" t="s">
        <v>120</v>
      </c>
    </row>
    <row s="6089" customFormat="1" customHeight="1" ht="24.75">
      <c r="A12" s="278" t="s">
        <v>89</v>
      </c>
      <c r="B12" s="257" t="s">
        <v>17</v>
      </c>
      <c r="C12" s="258"/>
      <c r="D12" s="260" t="s">
        <v>118</v>
      </c>
      <c r="E12" s="539"/>
      <c r="F12" s="539"/>
      <c r="G12" s="1976" t="s">
        <v>17</v>
      </c>
      <c r="H12" s="540"/>
      <c r="I12" s="2214" t="s">
        <v>2126</v>
      </c>
      <c r="K12" s="407"/>
      <c r="L12" s="408"/>
    </row>
    <row customHeight="1" ht="15">
      <c r="A13" s="253"/>
      <c r="B13" s="253"/>
      <c r="C13" s="253"/>
      <c r="D13" s="241"/>
      <c r="E13" s="262" t="s">
        <v>1549</v>
      </c>
      <c r="F13" s="261"/>
      <c r="G13" s="261"/>
      <c r="H13" s="349"/>
      <c r="I13" s="2216"/>
    </row>
    <row customHeight="1" ht="3">
      <c r="A14" s="253"/>
      <c r="B14" s="253"/>
      <c r="C14" s="253"/>
    </row>
    <row customHeight="1" ht="27.75">
      <c r="E15" s="2618" t="s">
        <v>2127</v>
      </c>
      <c r="F15" s="2618"/>
      <c r="G15" s="2618"/>
      <c r="H15" s="2618"/>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64C8E54-2B04-91E6-5582-A9AE168EDE9B}"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6053" width="9.140625" hidden="1"/>
    <col min="3" max="3" style="7555" width="3.7109375" customWidth="1"/>
    <col min="4" max="4" style="6053" width="6.28125" customWidth="1"/>
    <col min="5" max="5" style="6053" width="94.8515625" customWidth="1"/>
    <col min="6" max="9" style="6053" width="9.140625"/>
  </cols>
  <sheetData>
    <row customHeight="1" ht="14.25" hidden="1"/>
    <row customHeight="1" ht="14.25" hidden="1"/>
    <row customHeight="1" ht="14.25" hidden="1"/>
    <row customHeight="1" ht="14.25" hidden="1"/>
    <row customHeight="1" ht="14.25" hidden="1"/>
    <row customHeight="1" ht="3">
      <c r="C6" s="222"/>
      <c r="D6" s="198"/>
      <c r="E6" s="198"/>
    </row>
    <row customHeight="1" ht="22.5">
      <c r="C7" s="222"/>
      <c r="D7" s="2620" t="s">
        <v>2128</v>
      </c>
      <c r="E7" s="2621"/>
      <c r="F7" s="402"/>
    </row>
    <row customHeight="1" ht="3">
      <c r="C8" s="222"/>
      <c r="D8" s="198"/>
      <c r="E8" s="198"/>
    </row>
    <row customHeight="1" ht="15.75">
      <c r="C9" s="222"/>
      <c r="D9" s="237" t="s">
        <v>87</v>
      </c>
      <c r="E9" s="395" t="s">
        <v>2129</v>
      </c>
    </row>
    <row customHeight="1" ht="12">
      <c r="C10" s="222"/>
      <c r="D10" s="216" t="s">
        <v>118</v>
      </c>
      <c r="E10" s="216" t="s">
        <v>102</v>
      </c>
    </row>
    <row customHeight="1" ht="11.25" hidden="1">
      <c r="C11" s="222"/>
      <c r="D11" s="283">
        <v>0</v>
      </c>
      <c r="E11" s="396"/>
    </row>
    <row customHeight="1" ht="15">
      <c r="C12" s="269"/>
      <c r="D12" s="245">
        <v>1</v>
      </c>
      <c r="E12" s="532"/>
    </row>
    <row customHeight="1" ht="12">
      <c r="C13" s="222"/>
      <c r="D13" s="397"/>
      <c r="E13" s="398" t="s">
        <v>2130</v>
      </c>
    </row>
    <row customHeight="1" ht="3"/>
    <row customHeight="1" ht="22.5">
      <c r="C15" s="270"/>
      <c r="D15" s="2622" t="s">
        <v>2131</v>
      </c>
      <c r="E15" s="2622"/>
      <c r="F15" s="271"/>
      <c r="G15" s="271"/>
      <c r="H15" s="271"/>
      <c r="I15" s="271"/>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1E3686-B27D-EA65-8D12-EEC1649BB94B}" mc:Ignorable="x14ac xr xr2 xr3">
  <dimension ref="A1:I24"/>
  <sheetViews>
    <sheetView topLeftCell="C4" showGridLines="0" zoomScale="90" workbookViewId="0">
      <selection activeCell="A1" sqref="A1"/>
    </sheetView>
  </sheetViews>
  <sheetFormatPr defaultColWidth="9.140625" customHeight="1" defaultRowHeight="11.25"/>
  <cols>
    <col min="1" max="2" style="5702" width="15.00390625" hidden="1" customWidth="1"/>
    <col min="3" max="3" style="5749" width="3.7109375" customWidth="1"/>
    <col min="4" max="4" style="5750" width="6.8515625" customWidth="1"/>
    <col min="5" max="5" style="5749" width="52.28125" customWidth="1"/>
    <col min="6" max="6" style="5749" width="48.8515625" customWidth="1"/>
    <col min="7" max="7" style="5749" width="93.421875" customWidth="1"/>
    <col min="8" max="8" style="5749" width="9.140625"/>
    <col min="9" max="9" style="5749" width="65.00390625" customWidth="1"/>
  </cols>
  <sheetData>
    <row customHeight="1" ht="11.25" hidden="1">
      <c r="A1" s="665" t="s">
        <v>299</v>
      </c>
    </row>
    <row customHeight="1" ht="22.5" hidden="1">
      <c r="A2" s="666"/>
      <c r="B2" s="666"/>
      <c r="C2" s="621"/>
      <c r="D2" s="1748"/>
      <c r="E2" s="1754"/>
      <c r="F2" s="1784"/>
      <c r="H2" s="639"/>
    </row>
    <row customHeight="1" ht="11.25" hidden="1"/>
    <row customHeight="1" ht="11.25">
      <c r="A4" s="1785"/>
      <c r="B4" s="1785"/>
    </row>
    <row customHeight="1" ht="36.75">
      <c r="D5" s="2177" t="str">
        <f>"Форма 1. Информация об органе регулирования тарифов в сфере "&amp;IF(TEMPLATE_SPHERE="HEAT","теплоснабжения","водоснабжения и водоотведения")&amp;" (далее – орган регулирования тарифов)"</f>
        <v>Форма 1. Информация об органе регулирования тарифов в сфере водоснабжения и водоотведения (далее – орган регулирования тарифов)</v>
      </c>
      <c r="E5" s="2178"/>
      <c r="F5" s="2179"/>
      <c r="I5" s="879"/>
    </row>
    <row customHeight="1" ht="17.25">
      <c r="D6" s="2190" t="str">
        <f>IF(region_name=0,"Не определено",region_name)</f>
        <v>Краснодарский край</v>
      </c>
      <c r="E6" s="2190"/>
      <c r="F6" s="2190"/>
      <c r="I6" s="879"/>
    </row>
    <row s="5664" customFormat="1" customHeight="1" ht="11.25">
      <c r="A7" s="665"/>
      <c r="B7" s="665"/>
      <c r="D7" s="878"/>
      <c r="E7" s="878"/>
      <c r="F7" s="918"/>
      <c r="G7" s="878"/>
    </row>
    <row customHeight="1" ht="11.25" hidden="1">
      <c r="A8" s="666"/>
      <c r="B8" s="666"/>
      <c r="C8" s="621"/>
      <c r="D8" s="627"/>
      <c r="E8" s="2186"/>
      <c r="F8" s="2186"/>
    </row>
    <row customHeight="1" ht="11.25">
      <c r="A9" s="666"/>
      <c r="B9" s="666"/>
      <c r="C9" s="621"/>
      <c r="D9" s="2182" t="s">
        <v>300</v>
      </c>
      <c r="E9" s="2183"/>
      <c r="F9" s="2183"/>
      <c r="G9" s="2187" t="s">
        <v>301</v>
      </c>
    </row>
    <row customHeight="1" ht="11.25">
      <c r="A10" s="666"/>
      <c r="B10" s="666"/>
      <c r="C10" s="621"/>
      <c r="D10" s="1698" t="s">
        <v>87</v>
      </c>
      <c r="E10" s="1700" t="s">
        <v>302</v>
      </c>
      <c r="F10" s="1700" t="s">
        <v>303</v>
      </c>
      <c r="G10" s="2188"/>
    </row>
    <row customHeight="1" ht="12">
      <c r="A11" s="666"/>
      <c r="B11" s="666"/>
      <c r="C11" s="621"/>
      <c r="D11" s="628"/>
      <c r="E11" s="628"/>
      <c r="F11" s="628"/>
      <c r="G11" s="628"/>
    </row>
    <row customHeight="1" ht="22.5">
      <c r="A12" s="666"/>
      <c r="B12" s="666"/>
      <c r="C12" s="621"/>
      <c r="D12" s="1748">
        <v>1</v>
      </c>
      <c r="E12" s="638" t="s">
        <v>2132</v>
      </c>
      <c r="F12" s="1754"/>
      <c r="G12" s="638" t="s">
        <v>2133</v>
      </c>
      <c r="H12" s="1761"/>
    </row>
    <row customHeight="1" ht="18.75">
      <c r="A13" s="666"/>
      <c r="B13" s="666"/>
      <c r="C13" s="621"/>
      <c r="D13" s="1748">
        <v>2</v>
      </c>
      <c r="E13" s="1755" t="s">
        <v>2134</v>
      </c>
      <c r="F13" s="1749" t="s">
        <v>306</v>
      </c>
      <c r="G13" s="638"/>
      <c r="H13" s="1761"/>
    </row>
    <row customHeight="1" ht="18.75">
      <c r="A14" s="666"/>
      <c r="B14" s="666"/>
      <c r="C14" s="621"/>
      <c r="D14" s="1751" t="s">
        <v>512</v>
      </c>
      <c r="E14" s="1752" t="s">
        <v>2135</v>
      </c>
      <c r="F14" s="1754"/>
      <c r="G14" s="1753" t="s">
        <v>2136</v>
      </c>
      <c r="H14" s="1761"/>
    </row>
    <row customHeight="1" ht="18.75">
      <c r="A15" s="666"/>
      <c r="B15" s="666"/>
      <c r="C15" s="621"/>
      <c r="D15" s="1751" t="s">
        <v>307</v>
      </c>
      <c r="E15" s="1752" t="s">
        <v>2137</v>
      </c>
      <c r="F15" s="1754"/>
      <c r="G15" s="1753" t="s">
        <v>2138</v>
      </c>
      <c r="H15" s="1761"/>
    </row>
    <row customHeight="1" ht="36.75">
      <c r="A16" s="666"/>
      <c r="B16" s="666"/>
      <c r="C16" s="621"/>
      <c r="D16" s="1751" t="s">
        <v>310</v>
      </c>
      <c r="E16" s="1750" t="s">
        <v>2139</v>
      </c>
      <c r="F16" s="1759"/>
      <c r="G16" s="638" t="s">
        <v>2140</v>
      </c>
      <c r="H16" s="1761"/>
    </row>
    <row customHeight="1" ht="45">
      <c r="A17" s="666"/>
      <c r="B17" s="666"/>
      <c r="C17" s="621"/>
      <c r="D17" s="1748">
        <v>3</v>
      </c>
      <c r="E17" s="1755" t="s">
        <v>2141</v>
      </c>
      <c r="F17" s="1754"/>
      <c r="G17" s="638" t="s">
        <v>2142</v>
      </c>
      <c r="H17" s="1761"/>
    </row>
    <row customHeight="1" ht="45">
      <c r="A18" s="1699">
        <v>1</v>
      </c>
      <c r="B18" s="666"/>
      <c r="C18" s="1701"/>
      <c r="D18" s="1748" t="s">
        <v>90</v>
      </c>
      <c r="E18" s="1755" t="s">
        <v>2143</v>
      </c>
      <c r="F18" s="1754"/>
      <c r="G18" s="638" t="s">
        <v>2142</v>
      </c>
      <c r="H18" s="1761"/>
      <c r="I18" s="1025"/>
    </row>
    <row customHeight="1" ht="22.5">
      <c r="A19" s="666"/>
      <c r="B19" s="666"/>
      <c r="C19" s="621"/>
      <c r="D19" s="1748" t="s">
        <v>119</v>
      </c>
      <c r="E19" s="1755" t="s">
        <v>2144</v>
      </c>
      <c r="F19" s="1749" t="s">
        <v>306</v>
      </c>
      <c r="G19" s="2623" t="s">
        <v>2145</v>
      </c>
      <c r="H19" s="639"/>
    </row>
    <row s="7573" customFormat="1" customHeight="1" ht="5.25" hidden="1">
      <c r="A20" s="666"/>
      <c r="B20" s="666"/>
      <c r="C20" s="1757"/>
      <c r="D20" s="1756" t="s">
        <v>1632</v>
      </c>
      <c r="E20" s="1197"/>
      <c r="F20" s="1196"/>
      <c r="G20" s="2624"/>
    </row>
    <row customHeight="1" ht="15">
      <c r="A21" s="666"/>
      <c r="B21" s="666"/>
      <c r="C21" s="621"/>
      <c r="D21" s="631"/>
      <c r="E21" s="578" t="s">
        <v>341</v>
      </c>
      <c r="F21" s="633"/>
      <c r="G21" s="2625"/>
      <c r="H21" s="1761"/>
    </row>
    <row s="5702" customFormat="1" customHeight="1" ht="24.75">
      <c r="A22" s="666"/>
      <c r="B22" s="666"/>
      <c r="C22" s="666"/>
      <c r="D22" s="1748" t="s">
        <v>91</v>
      </c>
      <c r="E22" s="638" t="s">
        <v>2146</v>
      </c>
      <c r="F22" s="1754"/>
      <c r="G22" s="638" t="s">
        <v>2147</v>
      </c>
      <c r="H22" s="1760"/>
    </row>
    <row s="5702" customFormat="1" customHeight="1" ht="18.75">
      <c r="A23" s="666"/>
      <c r="B23" s="666"/>
      <c r="C23" s="666"/>
      <c r="D23" s="1748" t="s">
        <v>92</v>
      </c>
      <c r="E23" s="1755" t="s">
        <v>2148</v>
      </c>
      <c r="F23" s="1759"/>
      <c r="G23" s="638" t="s">
        <v>2149</v>
      </c>
      <c r="H23" s="1760"/>
    </row>
    <row customHeight="1" ht="11.25">
      <c r="A24" s="666"/>
      <c r="B24" s="666"/>
      <c r="C24" s="621"/>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08D0B8-51DC-E04F-0BCB-230A600BA9CD}" mc:Ignorable="x14ac xr xr2 xr3">
  <dimension ref="A1:IT23"/>
  <sheetViews>
    <sheetView topLeftCell="D4" showGridLines="0" zoomScale="90" workbookViewId="0">
      <selection activeCell="A1" sqref="A1"/>
    </sheetView>
  </sheetViews>
  <sheetFormatPr defaultColWidth="9.140625" customHeight="1" defaultRowHeight="14.25"/>
  <cols>
    <col min="1" max="1" style="6104" width="9.140625" hidden="1"/>
    <col min="2" max="2" style="6539" width="9.140625" hidden="1"/>
    <col min="3" max="3" style="6104" width="3.7109375" hidden="1" customWidth="1"/>
    <col min="4" max="4" style="5816" width="3.8515625" customWidth="1"/>
    <col min="5" max="5" style="6104" width="6.28125" customWidth="1"/>
    <col min="6" max="6" style="6104" width="46.7109375" customWidth="1"/>
    <col min="7" max="8" style="6104" width="16.7109375" customWidth="1"/>
    <col min="9" max="9" style="6104" width="35.28125" customWidth="1"/>
    <col min="10" max="10" style="6104" width="89.57421875" customWidth="1"/>
    <col min="11" max="11" style="7594" width="3.7109375" customWidth="1"/>
    <col min="12" max="14" style="7594" width="9.140625"/>
    <col min="15" max="15" style="5372" width="25.7109375" customWidth="1"/>
    <col min="16" max="16" style="7594" width="14.421875" customWidth="1"/>
    <col min="17" max="20" style="5373" width="9.140625"/>
    <col min="21" max="254" style="6104" width="9.140625"/>
  </cols>
  <sheetData>
    <row customHeight="1" ht="14.25" hidden="1"/>
    <row s="5337" customFormat="1" customHeight="1" ht="22.5" hidden="1">
      <c r="A2" s="1003"/>
      <c r="B2" s="1348">
        <v>1</v>
      </c>
      <c r="C2" s="1348"/>
      <c r="D2" s="968"/>
      <c r="E2" s="1708"/>
      <c r="F2" s="1715"/>
      <c r="G2" s="1715"/>
      <c r="H2" s="1715"/>
      <c r="I2" s="1766"/>
      <c r="J2" s="363"/>
      <c r="K2" s="1763">
        <f>MERGEVALUE(F2)</f>
      </c>
      <c r="L2" s="675"/>
      <c r="M2" s="675"/>
      <c r="N2" s="664" t="str">
        <f t="array" ref="N2:N2">IF(ISERROR(MATCH(MID(O2,1,250),MID(note_ter,1,250),0)),"n","y")</f>
        <v>n</v>
      </c>
      <c r="O2" s="675"/>
      <c r="P2" s="664" t="str">
        <f>G2&amp;"("&amp;J2&amp;")"</f>
        <v>()</v>
      </c>
      <c r="Q2" s="1348"/>
      <c r="R2" s="1348"/>
      <c r="S2" s="583"/>
      <c r="T2" s="1348"/>
      <c r="U2" s="1348"/>
      <c r="V2" s="1348"/>
      <c r="W2" s="585"/>
      <c r="X2" s="585"/>
      <c r="Y2" s="582"/>
      <c r="Z2" s="582"/>
      <c r="AA2" s="582"/>
      <c r="AB2" s="582"/>
      <c r="AC2" s="582"/>
      <c r="AD2" s="582"/>
      <c r="AE2" s="582"/>
      <c r="AF2" s="582"/>
      <c r="AG2" s="582"/>
      <c r="AH2" s="582"/>
      <c r="AI2" s="582"/>
      <c r="AJ2" s="582"/>
      <c r="AK2" s="582"/>
      <c r="AL2" s="582"/>
      <c r="AM2" s="582"/>
      <c r="AN2" s="582"/>
      <c r="AO2" s="582"/>
      <c r="AP2" s="582"/>
      <c r="AQ2" s="582"/>
      <c r="AR2" s="582"/>
      <c r="AS2" s="582"/>
      <c r="AT2" s="582"/>
      <c r="AU2" s="582"/>
      <c r="AV2" s="582"/>
      <c r="AW2" s="582"/>
      <c r="AX2" s="582"/>
      <c r="AY2" s="582"/>
      <c r="AZ2" s="582"/>
      <c r="BA2" s="582"/>
      <c r="BB2" s="582"/>
      <c r="BC2" s="582"/>
      <c r="BD2" s="582"/>
      <c r="BE2" s="582"/>
      <c r="BF2" s="582"/>
      <c r="BG2" s="582"/>
      <c r="BH2" s="582"/>
      <c r="BI2" s="582"/>
      <c r="BJ2" s="582"/>
      <c r="BK2" s="582"/>
      <c r="BL2" s="582"/>
      <c r="BM2" s="582"/>
      <c r="BN2" s="582"/>
      <c r="BO2" s="582"/>
      <c r="BP2" s="582"/>
      <c r="BQ2" s="582"/>
      <c r="BR2" s="582"/>
      <c r="BS2" s="582"/>
      <c r="BT2" s="585"/>
      <c r="BU2" s="585"/>
      <c r="BV2" s="585"/>
      <c r="BW2" s="585"/>
      <c r="BX2" s="585"/>
      <c r="BY2" s="585"/>
      <c r="BZ2" s="585"/>
      <c r="CA2" s="585"/>
      <c r="CB2" s="585"/>
      <c r="CC2" s="585"/>
    </row>
    <row s="6608" customFormat="1" customHeight="1" ht="5.25" hidden="1">
      <c r="A3" s="660"/>
      <c r="D3" s="658"/>
      <c r="F3" s="382" t="s">
        <v>82</v>
      </c>
      <c r="G3" s="658" t="s">
        <v>83</v>
      </c>
      <c r="H3" s="658"/>
      <c r="I3" s="658"/>
      <c r="J3" s="362" t="s">
        <v>84</v>
      </c>
      <c r="K3" s="382" t="s">
        <v>82</v>
      </c>
      <c r="L3" s="382"/>
      <c r="M3" s="382"/>
      <c r="N3" s="382"/>
      <c r="O3" s="383"/>
      <c r="P3" s="382"/>
      <c r="Q3" s="382"/>
      <c r="R3" s="382"/>
      <c r="S3" s="382"/>
      <c r="T3" s="382"/>
      <c r="U3" s="362"/>
      <c r="V3" s="362"/>
      <c r="W3" s="362"/>
      <c r="X3" s="362"/>
      <c r="Y3" s="362"/>
      <c r="Z3" s="362"/>
      <c r="AA3" s="362"/>
      <c r="AB3" s="362"/>
      <c r="AC3" s="362"/>
      <c r="AD3" s="362"/>
      <c r="AE3" s="362"/>
      <c r="AF3" s="362"/>
      <c r="AG3" s="362"/>
      <c r="AH3" s="362"/>
      <c r="AI3" s="362"/>
      <c r="AJ3" s="362"/>
      <c r="AK3" s="362"/>
      <c r="AL3" s="362"/>
      <c r="AM3" s="362"/>
      <c r="AN3" s="362"/>
      <c r="AO3" s="362"/>
      <c r="AP3" s="362"/>
      <c r="AQ3" s="362"/>
      <c r="AR3" s="362"/>
      <c r="AS3" s="362"/>
      <c r="AT3" s="362"/>
      <c r="AU3" s="362"/>
      <c r="AV3" s="362"/>
      <c r="AW3" s="362"/>
      <c r="AX3" s="362"/>
      <c r="AY3" s="362"/>
      <c r="AZ3" s="362"/>
      <c r="BA3" s="362"/>
      <c r="BB3" s="362"/>
      <c r="BC3" s="362"/>
      <c r="BD3" s="362"/>
      <c r="BE3" s="362"/>
      <c r="BF3" s="362"/>
      <c r="BG3" s="362"/>
      <c r="BH3" s="362"/>
      <c r="BI3" s="362"/>
      <c r="BJ3" s="362"/>
      <c r="BK3" s="362"/>
      <c r="BL3" s="362"/>
      <c r="BM3" s="362"/>
      <c r="BN3" s="362"/>
      <c r="BO3" s="362"/>
      <c r="BP3" s="362"/>
      <c r="BQ3" s="362"/>
      <c r="BR3" s="362"/>
      <c r="BS3" s="362"/>
      <c r="BT3" s="362"/>
      <c r="BU3" s="362"/>
      <c r="BV3" s="362"/>
      <c r="BW3" s="362"/>
      <c r="BX3" s="362"/>
      <c r="BY3" s="362"/>
      <c r="BZ3" s="362"/>
      <c r="CA3" s="362"/>
      <c r="CB3" s="362"/>
      <c r="CC3" s="362"/>
      <c r="CD3" s="362"/>
      <c r="CE3" s="362"/>
      <c r="CF3" s="362"/>
      <c r="CG3" s="362"/>
      <c r="CH3" s="362"/>
      <c r="CI3" s="362"/>
      <c r="CJ3" s="362"/>
      <c r="CK3" s="362"/>
      <c r="CL3" s="362"/>
      <c r="CM3" s="362"/>
      <c r="CN3" s="362"/>
      <c r="CO3" s="362"/>
      <c r="CP3" s="362"/>
      <c r="CQ3" s="362"/>
      <c r="CR3" s="362"/>
      <c r="CS3" s="362"/>
      <c r="CT3" s="362"/>
      <c r="CU3" s="362"/>
      <c r="CV3" s="362"/>
      <c r="CW3" s="362"/>
      <c r="CX3" s="362"/>
      <c r="CY3" s="362"/>
      <c r="CZ3" s="362"/>
      <c r="DA3" s="362"/>
      <c r="DB3" s="362"/>
      <c r="DC3" s="362"/>
      <c r="DD3" s="362"/>
      <c r="DE3" s="362"/>
      <c r="DF3" s="362"/>
      <c r="DG3" s="362"/>
      <c r="DH3" s="362"/>
      <c r="DI3" s="362"/>
      <c r="DJ3" s="362"/>
      <c r="DK3" s="362"/>
      <c r="DL3" s="362"/>
      <c r="DM3" s="362"/>
      <c r="DN3" s="362"/>
      <c r="DO3" s="362"/>
      <c r="DP3" s="362"/>
      <c r="DQ3" s="362"/>
      <c r="DR3" s="362"/>
      <c r="DS3" s="362"/>
      <c r="DT3" s="362"/>
      <c r="DU3" s="362"/>
      <c r="DV3" s="362"/>
      <c r="DW3" s="362"/>
      <c r="DX3" s="362"/>
      <c r="DY3" s="362"/>
      <c r="DZ3" s="362"/>
      <c r="EA3" s="362"/>
      <c r="EB3" s="362"/>
      <c r="EC3" s="362"/>
      <c r="ED3" s="362"/>
      <c r="EE3" s="362"/>
      <c r="EF3" s="362"/>
      <c r="EG3" s="362"/>
      <c r="EH3" s="362"/>
      <c r="EI3" s="362"/>
      <c r="EJ3" s="362"/>
      <c r="EK3" s="362"/>
      <c r="EL3" s="362"/>
      <c r="EM3" s="362"/>
      <c r="EN3" s="362"/>
      <c r="EO3" s="362"/>
      <c r="EP3" s="362"/>
      <c r="EQ3" s="362"/>
      <c r="ER3" s="362"/>
      <c r="ES3" s="362"/>
      <c r="ET3" s="362"/>
      <c r="EU3" s="362"/>
      <c r="EV3" s="362"/>
      <c r="EW3" s="362"/>
      <c r="EX3" s="362"/>
      <c r="EY3" s="362"/>
      <c r="EZ3" s="362"/>
      <c r="FA3" s="362"/>
      <c r="FB3" s="362"/>
      <c r="FC3" s="362"/>
      <c r="FD3" s="362"/>
      <c r="FE3" s="362"/>
      <c r="FF3" s="362"/>
      <c r="FG3" s="362"/>
      <c r="FH3" s="362"/>
      <c r="FI3" s="362"/>
      <c r="FJ3" s="362"/>
      <c r="FK3" s="362"/>
      <c r="FL3" s="362"/>
      <c r="FM3" s="362"/>
      <c r="FN3" s="362"/>
      <c r="FO3" s="362"/>
      <c r="FP3" s="362"/>
      <c r="FQ3" s="362"/>
      <c r="FR3" s="362"/>
      <c r="FS3" s="362"/>
      <c r="FT3" s="362"/>
      <c r="FU3" s="362"/>
      <c r="FV3" s="362"/>
      <c r="FW3" s="362"/>
      <c r="FX3" s="362"/>
      <c r="FY3" s="362"/>
      <c r="FZ3" s="362"/>
      <c r="GA3" s="362"/>
      <c r="GB3" s="362"/>
      <c r="GC3" s="362"/>
      <c r="GD3" s="362"/>
      <c r="GE3" s="362"/>
      <c r="GF3" s="362"/>
      <c r="GG3" s="362"/>
      <c r="GH3" s="362"/>
      <c r="GI3" s="362"/>
      <c r="GJ3" s="362"/>
      <c r="GK3" s="362"/>
      <c r="GL3" s="362"/>
      <c r="GM3" s="362"/>
      <c r="GN3" s="362"/>
      <c r="GO3" s="362"/>
      <c r="GP3" s="362"/>
      <c r="GQ3" s="362"/>
      <c r="GR3" s="362"/>
      <c r="GS3" s="362"/>
      <c r="GT3" s="362"/>
      <c r="GU3" s="362"/>
      <c r="GV3" s="362"/>
      <c r="GW3" s="362"/>
      <c r="GX3" s="362"/>
      <c r="GY3" s="362"/>
      <c r="GZ3" s="362"/>
      <c r="HA3" s="362"/>
      <c r="HB3" s="362"/>
      <c r="HC3" s="362"/>
      <c r="HD3" s="362"/>
      <c r="HE3" s="362"/>
      <c r="HF3" s="362"/>
      <c r="HG3" s="362"/>
      <c r="HH3" s="362"/>
      <c r="HI3" s="362"/>
      <c r="HJ3" s="362"/>
      <c r="HK3" s="362"/>
      <c r="HL3" s="362"/>
      <c r="HM3" s="362"/>
      <c r="HN3" s="362"/>
      <c r="HO3" s="362"/>
      <c r="HP3" s="362"/>
      <c r="HQ3" s="362"/>
      <c r="HR3" s="362"/>
      <c r="HS3" s="362"/>
      <c r="HT3" s="362"/>
      <c r="HU3" s="362"/>
      <c r="HV3" s="362"/>
      <c r="HW3" s="362"/>
      <c r="HX3" s="362"/>
      <c r="HY3" s="362"/>
      <c r="HZ3" s="362"/>
      <c r="IA3" s="362"/>
      <c r="IB3" s="362"/>
      <c r="IC3" s="362"/>
      <c r="ID3" s="362"/>
      <c r="IE3" s="362"/>
      <c r="IF3" s="362"/>
      <c r="IG3" s="362"/>
      <c r="IH3" s="362"/>
      <c r="II3" s="362"/>
      <c r="IJ3" s="362"/>
      <c r="IK3" s="362"/>
      <c r="IL3" s="362"/>
      <c r="IM3" s="362"/>
      <c r="IN3" s="362"/>
      <c r="IO3" s="362"/>
      <c r="IP3" s="362"/>
      <c r="IQ3" s="362"/>
      <c r="IR3" s="362"/>
      <c r="IS3" s="362"/>
      <c r="IT3" s="362"/>
    </row>
    <row s="5328" customFormat="1" customHeight="1" ht="14.25">
      <c r="A4" s="1343"/>
      <c r="B4" s="1348"/>
      <c r="C4" s="1343"/>
      <c r="D4" s="1719"/>
      <c r="E4" s="673"/>
      <c r="F4" s="673"/>
      <c r="G4" s="673"/>
      <c r="H4" s="673"/>
      <c r="I4" s="673"/>
      <c r="J4" s="301"/>
      <c r="K4" s="382"/>
      <c r="L4" s="664"/>
      <c r="M4" s="664"/>
      <c r="N4" s="664"/>
      <c r="O4" s="361"/>
      <c r="P4" s="664"/>
      <c r="Q4" s="360"/>
      <c r="R4" s="360"/>
      <c r="S4" s="360"/>
      <c r="T4" s="360"/>
    </row>
    <row s="5328" customFormat="1" customHeight="1" ht="25.5">
      <c r="A5" s="1343"/>
      <c r="B5" s="1348"/>
      <c r="C5" s="1343"/>
      <c r="D5" s="1719"/>
      <c r="E5" s="2062"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водоснабжения и водоотведения")</f>
        <v>Форма 2. Перечень организаций, в отношении которых орган регулирования тарифов осуществляет регулирование тарифов в сфере водоснабжения и водоотведения</v>
      </c>
      <c r="F5" s="2062"/>
      <c r="G5" s="2062"/>
      <c r="H5" s="2062"/>
      <c r="I5" s="2062"/>
      <c r="J5" s="2062"/>
      <c r="K5" s="382"/>
      <c r="L5" s="664"/>
      <c r="M5" s="664"/>
      <c r="N5" s="664"/>
      <c r="O5" s="361"/>
      <c r="P5" s="664"/>
      <c r="Q5" s="360"/>
      <c r="R5" s="360"/>
      <c r="S5" s="360"/>
      <c r="T5" s="360"/>
    </row>
    <row s="5328" customFormat="1" customHeight="1" ht="14.25">
      <c r="A6" s="1343"/>
      <c r="B6" s="1348"/>
      <c r="C6" s="1343"/>
      <c r="D6" s="1719"/>
      <c r="E6" s="673"/>
      <c r="F6" s="302"/>
      <c r="G6" s="302"/>
      <c r="H6" s="302"/>
      <c r="I6" s="302"/>
      <c r="J6" s="303"/>
      <c r="K6" s="664"/>
      <c r="L6" s="664"/>
      <c r="M6" s="664"/>
      <c r="N6" s="664"/>
      <c r="O6" s="361"/>
      <c r="P6" s="664"/>
      <c r="Q6" s="360"/>
      <c r="R6" s="360"/>
      <c r="S6" s="360"/>
      <c r="T6" s="360"/>
    </row>
    <row s="5328" customFormat="1" customHeight="1" ht="14.25">
      <c r="A7" s="1343"/>
      <c r="B7" s="1348"/>
      <c r="C7" s="1343"/>
      <c r="D7" s="1719"/>
      <c r="E7" s="2063" t="s">
        <v>300</v>
      </c>
      <c r="F7" s="2064"/>
      <c r="G7" s="2064"/>
      <c r="H7" s="2064"/>
      <c r="I7" s="2064"/>
      <c r="J7" s="2626" t="s">
        <v>301</v>
      </c>
      <c r="K7" s="664"/>
      <c r="L7" s="664"/>
      <c r="M7" s="664"/>
      <c r="N7" s="664"/>
      <c r="O7" s="361"/>
      <c r="P7" s="664"/>
      <c r="Q7" s="360"/>
      <c r="R7" s="360"/>
      <c r="S7" s="360"/>
      <c r="T7" s="360"/>
    </row>
    <row s="5328" customFormat="1" customHeight="1" ht="20.25">
      <c r="A8" s="1343"/>
      <c r="B8" s="1348"/>
      <c r="C8" s="1343"/>
      <c r="D8" s="1719"/>
      <c r="E8" s="1783" t="s">
        <v>87</v>
      </c>
      <c r="F8" s="1768" t="s">
        <v>2150</v>
      </c>
      <c r="G8" s="1768" t="s">
        <v>48</v>
      </c>
      <c r="H8" s="1768" t="s">
        <v>50</v>
      </c>
      <c r="I8" s="1768" t="s">
        <v>2151</v>
      </c>
      <c r="J8" s="2627"/>
      <c r="K8" s="664"/>
      <c r="L8" s="664"/>
      <c r="M8" s="664"/>
      <c r="N8" s="664"/>
      <c r="O8" s="361"/>
      <c r="P8" s="664"/>
      <c r="Q8" s="360"/>
      <c r="R8" s="360"/>
      <c r="S8" s="360"/>
      <c r="T8" s="360"/>
    </row>
    <row s="5337" customFormat="1" customHeight="1" ht="22.5">
      <c r="A9" s="2061"/>
      <c r="B9" s="1348">
        <v>1</v>
      </c>
      <c r="C9" s="1348"/>
      <c r="D9" s="968"/>
      <c r="E9" s="1708">
        <v>1</v>
      </c>
      <c r="F9" s="1782"/>
      <c r="G9" s="1715"/>
      <c r="H9" s="1715"/>
      <c r="I9" s="1766"/>
      <c r="J9" s="2628" t="s">
        <v>2152</v>
      </c>
      <c r="K9" s="1763">
        <f>MERGEVALUE(F9)</f>
      </c>
      <c r="L9" s="675"/>
      <c r="M9" s="675"/>
      <c r="N9" s="664" t="str">
        <f t="array" ref="N9:N9">IF(ISERROR(MATCH(MID(O9,1,250),MID(note_ter,1,250),0)),"n","y")</f>
        <v>n</v>
      </c>
      <c r="O9" s="675"/>
      <c r="P9" s="664"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348"/>
      <c r="R9" s="1348"/>
      <c r="S9" s="583"/>
      <c r="T9" s="1348"/>
      <c r="U9" s="1348"/>
      <c r="V9" s="1348"/>
      <c r="W9" s="585"/>
      <c r="X9" s="585"/>
      <c r="Y9" s="582"/>
      <c r="Z9" s="582"/>
      <c r="AA9" s="582"/>
      <c r="AB9" s="582"/>
      <c r="AC9" s="582"/>
      <c r="AD9" s="582"/>
      <c r="AE9" s="582"/>
      <c r="AF9" s="582"/>
      <c r="AG9" s="582"/>
      <c r="AH9" s="582"/>
      <c r="AI9" s="582"/>
      <c r="AJ9" s="582"/>
      <c r="AK9" s="582"/>
      <c r="AL9" s="582"/>
      <c r="AM9" s="582"/>
      <c r="AN9" s="582"/>
      <c r="AO9" s="582"/>
      <c r="AP9" s="582"/>
      <c r="AQ9" s="582"/>
      <c r="AR9" s="582"/>
      <c r="AS9" s="582"/>
      <c r="AT9" s="582"/>
      <c r="AU9" s="582"/>
      <c r="AV9" s="582"/>
      <c r="AW9" s="582"/>
      <c r="AX9" s="582"/>
      <c r="AY9" s="582"/>
      <c r="AZ9" s="582"/>
      <c r="BA9" s="582"/>
      <c r="BB9" s="582"/>
      <c r="BC9" s="582"/>
      <c r="BD9" s="582"/>
      <c r="BE9" s="582"/>
      <c r="BF9" s="582"/>
      <c r="BG9" s="582"/>
      <c r="BH9" s="582"/>
      <c r="BI9" s="582"/>
      <c r="BJ9" s="582"/>
      <c r="BK9" s="582"/>
      <c r="BL9" s="582"/>
      <c r="BM9" s="582"/>
      <c r="BN9" s="582"/>
      <c r="BO9" s="582"/>
      <c r="BP9" s="582"/>
      <c r="BQ9" s="582"/>
      <c r="BR9" s="582"/>
      <c r="BS9" s="582"/>
      <c r="BT9" s="585"/>
      <c r="BU9" s="585"/>
      <c r="BV9" s="585"/>
      <c r="BW9" s="585"/>
      <c r="BX9" s="585"/>
      <c r="BY9" s="585"/>
      <c r="BZ9" s="585"/>
      <c r="CA9" s="585"/>
      <c r="CB9" s="585"/>
      <c r="CC9" s="585"/>
    </row>
    <row s="5337" customFormat="1" customHeight="1" ht="15">
      <c r="A10" s="2061"/>
      <c r="B10" s="1348"/>
      <c r="C10" s="575"/>
      <c r="D10" s="968"/>
      <c r="E10" s="1769"/>
      <c r="F10" s="1724" t="s">
        <v>2153</v>
      </c>
      <c r="G10" s="1770"/>
      <c r="H10" s="1770"/>
      <c r="I10" s="1770"/>
      <c r="J10" s="2629"/>
      <c r="K10" s="1764"/>
      <c r="L10" s="675"/>
      <c r="M10" s="675"/>
      <c r="N10" s="675"/>
      <c r="O10" s="664"/>
      <c r="P10" s="675"/>
      <c r="Q10" s="1348"/>
      <c r="R10" s="1348"/>
      <c r="S10" s="583"/>
      <c r="T10" s="1348"/>
      <c r="U10" s="1348"/>
      <c r="V10" s="1348"/>
      <c r="W10" s="585"/>
      <c r="X10" s="585"/>
      <c r="Y10" s="582"/>
      <c r="Z10" s="582"/>
      <c r="AA10" s="582"/>
      <c r="AB10" s="582"/>
      <c r="AC10" s="582"/>
      <c r="AD10" s="582"/>
      <c r="AE10" s="582"/>
      <c r="AF10" s="582"/>
      <c r="AG10" s="582"/>
      <c r="AH10" s="582"/>
      <c r="AI10" s="582"/>
      <c r="AJ10" s="582"/>
      <c r="AK10" s="582"/>
      <c r="AL10" s="582"/>
      <c r="AM10" s="582"/>
      <c r="AN10" s="582"/>
      <c r="AO10" s="582"/>
      <c r="AP10" s="582"/>
      <c r="AQ10" s="582"/>
      <c r="AR10" s="582"/>
      <c r="AS10" s="582"/>
      <c r="AT10" s="582"/>
      <c r="AU10" s="582"/>
      <c r="AV10" s="582"/>
      <c r="AW10" s="582"/>
      <c r="AX10" s="582"/>
      <c r="AY10" s="582"/>
      <c r="AZ10" s="582"/>
      <c r="BA10" s="582"/>
      <c r="BB10" s="582"/>
      <c r="BC10" s="582"/>
      <c r="BD10" s="582"/>
      <c r="BE10" s="582"/>
      <c r="BF10" s="582"/>
      <c r="BG10" s="582"/>
      <c r="BH10" s="582"/>
      <c r="BI10" s="582"/>
      <c r="BJ10" s="582"/>
      <c r="BK10" s="582"/>
      <c r="BL10" s="582"/>
      <c r="BM10" s="582"/>
      <c r="BN10" s="582"/>
      <c r="BO10" s="582"/>
      <c r="BP10" s="582"/>
      <c r="BQ10" s="582"/>
      <c r="BR10" s="582"/>
      <c r="BS10" s="582"/>
      <c r="BT10" s="585"/>
      <c r="BU10" s="585"/>
      <c r="BV10" s="585"/>
      <c r="BW10" s="585"/>
      <c r="BX10" s="585"/>
      <c r="BY10" s="585"/>
      <c r="BZ10" s="585"/>
      <c r="CA10" s="585"/>
      <c r="CB10" s="585"/>
      <c r="CC10" s="585"/>
    </row>
    <row s="5328" customFormat="1" customHeight="1" ht="21">
      <c r="A11" s="1343"/>
      <c r="B11" s="1348"/>
      <c r="C11" s="1343"/>
      <c r="D11" s="615"/>
      <c r="E11" s="315"/>
      <c r="F11" s="315"/>
      <c r="G11" s="315"/>
      <c r="H11" s="315"/>
      <c r="I11" s="315"/>
      <c r="J11" s="315"/>
      <c r="K11" s="664"/>
      <c r="L11" s="664"/>
      <c r="M11" s="664"/>
      <c r="N11" s="664"/>
      <c r="O11" s="361"/>
      <c r="P11" s="664"/>
      <c r="Q11" s="360"/>
      <c r="R11" s="360"/>
      <c r="S11" s="360"/>
      <c r="T11" s="360"/>
    </row>
    <row s="5328" customFormat="1" customHeight="1" ht="14.25">
      <c r="A12" s="1343"/>
      <c r="B12" s="1348"/>
      <c r="C12" s="1343"/>
      <c r="D12" s="615"/>
      <c r="E12" s="1343"/>
      <c r="F12" s="1343"/>
      <c r="G12" s="1343"/>
      <c r="H12" s="1343"/>
      <c r="I12" s="1343"/>
      <c r="J12" s="1343"/>
      <c r="K12" s="664"/>
      <c r="L12" s="664"/>
      <c r="M12" s="664"/>
      <c r="N12" s="664"/>
      <c r="O12" s="361"/>
      <c r="P12" s="664"/>
      <c r="Q12" s="360"/>
      <c r="R12" s="360"/>
      <c r="S12" s="360"/>
      <c r="T12" s="360"/>
    </row>
    <row s="5328" customFormat="1" customHeight="1" ht="0.75">
      <c r="A13" s="1343"/>
      <c r="B13" s="1348"/>
      <c r="C13" s="1343"/>
      <c r="D13" s="615"/>
      <c r="E13" s="1343"/>
      <c r="F13" s="1343"/>
      <c r="G13" s="1343"/>
      <c r="H13" s="1343"/>
      <c r="I13" s="1343"/>
      <c r="J13" s="1343"/>
      <c r="K13" s="664"/>
      <c r="L13" s="664"/>
      <c r="M13" s="664"/>
      <c r="N13" s="664"/>
      <c r="O13" s="361"/>
      <c r="P13" s="664"/>
      <c r="Q13" s="360"/>
      <c r="R13" s="360"/>
      <c r="S13" s="360"/>
      <c r="T13" s="360"/>
    </row>
    <row s="5363" customFormat="1" customHeight="1" ht="10.5">
      <c r="B14" s="1006"/>
      <c r="D14" s="317"/>
      <c r="K14" s="664"/>
      <c r="L14" s="664"/>
      <c r="M14" s="664"/>
      <c r="N14" s="664"/>
      <c r="O14" s="361"/>
      <c r="P14" s="664"/>
      <c r="Q14" s="360"/>
      <c r="R14" s="360"/>
      <c r="S14" s="360"/>
      <c r="T14" s="360"/>
    </row>
    <row s="5363" customFormat="1" customHeight="1" ht="10.5">
      <c r="B15" s="1006"/>
      <c r="D15" s="317"/>
      <c r="K15" s="664"/>
      <c r="L15" s="664"/>
      <c r="M15" s="664"/>
      <c r="N15" s="664"/>
      <c r="O15" s="361"/>
      <c r="P15" s="664"/>
      <c r="Q15" s="360"/>
      <c r="R15" s="360"/>
      <c r="S15" s="360"/>
      <c r="T15" s="360"/>
    </row>
    <row r="19" customHeight="1" ht="14.25">
      <c r="G19" s="525"/>
      <c r="H19" s="525"/>
      <c r="I19" s="525"/>
    </row>
    <row r="23" customHeight="1" ht="14.25">
      <c r="K23" s="1343"/>
      <c r="L23" s="1343"/>
      <c r="M23" s="1343"/>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FB74D8B-4C61-806D-45B7-A9A4F268856B}" mc:Ignorable="x14ac xr xr2 xr3">
  <dimension ref="A1:IV14"/>
  <sheetViews>
    <sheetView topLeftCell="D4" showGridLines="0" zoomScale="90" workbookViewId="0">
      <selection activeCell="A1" sqref="A1"/>
    </sheetView>
  </sheetViews>
  <sheetFormatPr defaultColWidth="9.140625" customHeight="1" defaultRowHeight="14.25"/>
  <cols>
    <col min="1" max="1" style="6104" width="9.140625" hidden="1"/>
    <col min="2" max="2" style="6539" width="9.140625" hidden="1"/>
    <col min="3" max="3" style="6104" width="3.7109375" hidden="1" customWidth="1"/>
    <col min="4" max="4" style="5816" width="3.8515625" customWidth="1"/>
    <col min="5" max="5" style="6104" width="6.28125" customWidth="1"/>
    <col min="6" max="6" style="6104" width="27.28125" customWidth="1"/>
    <col min="7" max="7" style="6104" width="16.7109375" customWidth="1"/>
    <col min="8" max="8" style="6104" width="12.7109375" customWidth="1"/>
    <col min="9" max="9" style="6104" width="32.140625" customWidth="1"/>
    <col min="10" max="11" style="6104" width="41.8515625" customWidth="1"/>
    <col min="12" max="12" style="6104" width="89.57421875" customWidth="1"/>
    <col min="13" max="13" style="7594" width="3.7109375" customWidth="1"/>
    <col min="14" max="16" style="7594" width="9.140625"/>
    <col min="17" max="17" style="5372" width="25.7109375" customWidth="1"/>
    <col min="18" max="18" style="7594" width="14.421875" customWidth="1"/>
    <col min="19" max="22" style="5373" width="9.140625"/>
    <col min="23" max="256" style="6104" width="9.140625"/>
  </cols>
  <sheetData>
    <row customHeight="1" ht="14.25" hidden="1"/>
    <row s="5337" customFormat="1" customHeight="1" ht="22.5" hidden="1">
      <c r="A2" s="1003"/>
      <c r="B2" s="1348">
        <v>1</v>
      </c>
      <c r="C2" s="1348"/>
      <c r="D2" s="968"/>
      <c r="E2" s="1708"/>
      <c r="F2" s="1767" t="str">
        <f>IF(ROIV_INFO_NAME="","",ROIV_INFO_NAME)</f>
        <v/>
      </c>
      <c r="G2" s="1974" t="s">
        <v>17</v>
      </c>
      <c r="H2" s="1766"/>
      <c r="I2" s="1766"/>
      <c r="J2" s="1352"/>
      <c r="K2" s="1352"/>
      <c r="L2" s="363"/>
      <c r="M2" s="1763">
        <f>MERGEVALUE(F2)</f>
      </c>
      <c r="N2" s="675"/>
      <c r="O2" s="675"/>
      <c r="P2" s="664" t="str">
        <f t="array" ref="P2:P2">IF(ISERROR(MATCH(MID(Q2,1,250),MID(note_ter,1,250),0)),"n","y")</f>
        <v>n</v>
      </c>
      <c r="Q2" s="675"/>
      <c r="R2" s="664" t="str">
        <f>G2&amp;"("&amp;L2&amp;")"</f>
        <v>()</v>
      </c>
      <c r="S2" s="1348"/>
      <c r="T2" s="1348"/>
      <c r="U2" s="583"/>
      <c r="V2" s="1348"/>
      <c r="W2" s="1348"/>
      <c r="X2" s="1348"/>
      <c r="Y2" s="585"/>
      <c r="Z2" s="585"/>
      <c r="AA2" s="582"/>
      <c r="AB2" s="582"/>
      <c r="AC2" s="582"/>
      <c r="AD2" s="582"/>
      <c r="AE2" s="582"/>
      <c r="AF2" s="582"/>
      <c r="AG2" s="582"/>
      <c r="AH2" s="582"/>
      <c r="AI2" s="582"/>
      <c r="AJ2" s="582"/>
      <c r="AK2" s="582"/>
      <c r="AL2" s="582"/>
      <c r="AM2" s="582"/>
      <c r="AN2" s="582"/>
      <c r="AO2" s="582"/>
      <c r="AP2" s="582"/>
      <c r="AQ2" s="582"/>
      <c r="AR2" s="582"/>
      <c r="AS2" s="582"/>
      <c r="AT2" s="582"/>
      <c r="AU2" s="582"/>
      <c r="AV2" s="582"/>
      <c r="AW2" s="582"/>
      <c r="AX2" s="582"/>
      <c r="AY2" s="582"/>
      <c r="AZ2" s="582"/>
      <c r="BA2" s="582"/>
      <c r="BB2" s="582"/>
      <c r="BC2" s="582"/>
      <c r="BD2" s="582"/>
      <c r="BE2" s="582"/>
      <c r="BF2" s="582"/>
      <c r="BG2" s="582"/>
      <c r="BH2" s="582"/>
      <c r="BI2" s="582"/>
      <c r="BJ2" s="582"/>
      <c r="BK2" s="582"/>
      <c r="BL2" s="582"/>
      <c r="BM2" s="582"/>
      <c r="BN2" s="582"/>
      <c r="BO2" s="582"/>
      <c r="BP2" s="582"/>
      <c r="BQ2" s="582"/>
      <c r="BR2" s="582"/>
      <c r="BS2" s="582"/>
      <c r="BT2" s="582"/>
      <c r="BU2" s="582"/>
      <c r="BV2" s="585"/>
      <c r="BW2" s="585"/>
      <c r="BX2" s="585"/>
      <c r="BY2" s="585"/>
      <c r="BZ2" s="585"/>
      <c r="CA2" s="585"/>
      <c r="CB2" s="585"/>
      <c r="CC2" s="585"/>
      <c r="CD2" s="585"/>
      <c r="CE2" s="585"/>
    </row>
    <row s="6608" customFormat="1" customHeight="1" ht="5.25" hidden="1">
      <c r="A3" s="660"/>
      <c r="D3" s="658"/>
      <c r="F3" s="382" t="s">
        <v>82</v>
      </c>
      <c r="G3" s="1977" t="s">
        <v>83</v>
      </c>
      <c r="H3" s="658"/>
      <c r="I3" s="658"/>
      <c r="J3" s="658"/>
      <c r="K3" s="658"/>
      <c r="L3" s="362" t="s">
        <v>84</v>
      </c>
      <c r="M3" s="382" t="s">
        <v>82</v>
      </c>
      <c r="N3" s="382"/>
      <c r="O3" s="382"/>
      <c r="P3" s="382"/>
      <c r="Q3" s="383"/>
      <c r="R3" s="382"/>
      <c r="S3" s="382"/>
      <c r="T3" s="382"/>
      <c r="U3" s="382"/>
      <c r="V3" s="382"/>
      <c r="W3" s="362"/>
      <c r="X3" s="362"/>
      <c r="Y3" s="362"/>
      <c r="Z3" s="362"/>
      <c r="AA3" s="362"/>
      <c r="AB3" s="362"/>
      <c r="AC3" s="362"/>
      <c r="AD3" s="362"/>
      <c r="AE3" s="362"/>
      <c r="AF3" s="362"/>
      <c r="AG3" s="362"/>
      <c r="AH3" s="362"/>
      <c r="AI3" s="362"/>
      <c r="AJ3" s="362"/>
      <c r="AK3" s="362"/>
      <c r="AL3" s="362"/>
      <c r="AM3" s="362"/>
      <c r="AN3" s="362"/>
      <c r="AO3" s="362"/>
      <c r="AP3" s="362"/>
      <c r="AQ3" s="362"/>
      <c r="AR3" s="362"/>
      <c r="AS3" s="362"/>
      <c r="AT3" s="362"/>
      <c r="AU3" s="362"/>
      <c r="AV3" s="362"/>
      <c r="AW3" s="362"/>
      <c r="AX3" s="362"/>
      <c r="AY3" s="362"/>
      <c r="AZ3" s="362"/>
      <c r="BA3" s="362"/>
      <c r="BB3" s="362"/>
      <c r="BC3" s="362"/>
      <c r="BD3" s="362"/>
      <c r="BE3" s="362"/>
      <c r="BF3" s="362"/>
      <c r="BG3" s="362"/>
      <c r="BH3" s="362"/>
      <c r="BI3" s="362"/>
      <c r="BJ3" s="362"/>
      <c r="BK3" s="362"/>
      <c r="BL3" s="362"/>
      <c r="BM3" s="362"/>
      <c r="BN3" s="362"/>
      <c r="BO3" s="362"/>
      <c r="BP3" s="362"/>
      <c r="BQ3" s="362"/>
      <c r="BR3" s="362"/>
      <c r="BS3" s="362"/>
      <c r="BT3" s="362"/>
      <c r="BU3" s="362"/>
      <c r="BV3" s="362"/>
      <c r="BW3" s="362"/>
      <c r="BX3" s="362"/>
      <c r="BY3" s="362"/>
      <c r="BZ3" s="362"/>
      <c r="CA3" s="362"/>
      <c r="CB3" s="362"/>
      <c r="CC3" s="362"/>
      <c r="CD3" s="362"/>
      <c r="CE3" s="362"/>
      <c r="CF3" s="362"/>
      <c r="CG3" s="362"/>
      <c r="CH3" s="362"/>
      <c r="CI3" s="362"/>
      <c r="CJ3" s="362"/>
      <c r="CK3" s="362"/>
      <c r="CL3" s="362"/>
      <c r="CM3" s="362"/>
      <c r="CN3" s="362"/>
      <c r="CO3" s="362"/>
      <c r="CP3" s="362"/>
      <c r="CQ3" s="362"/>
      <c r="CR3" s="362"/>
      <c r="CS3" s="362"/>
      <c r="CT3" s="362"/>
      <c r="CU3" s="362"/>
      <c r="CV3" s="362"/>
      <c r="CW3" s="362"/>
      <c r="CX3" s="362"/>
      <c r="CY3" s="362"/>
      <c r="CZ3" s="362"/>
      <c r="DA3" s="362"/>
      <c r="DB3" s="362"/>
      <c r="DC3" s="362"/>
      <c r="DD3" s="362"/>
      <c r="DE3" s="362"/>
      <c r="DF3" s="362"/>
      <c r="DG3" s="362"/>
      <c r="DH3" s="362"/>
      <c r="DI3" s="362"/>
      <c r="DJ3" s="362"/>
      <c r="DK3" s="362"/>
      <c r="DL3" s="362"/>
      <c r="DM3" s="362"/>
      <c r="DN3" s="362"/>
      <c r="DO3" s="362"/>
      <c r="DP3" s="362"/>
      <c r="DQ3" s="362"/>
      <c r="DR3" s="362"/>
      <c r="DS3" s="362"/>
      <c r="DT3" s="362"/>
      <c r="DU3" s="362"/>
      <c r="DV3" s="362"/>
      <c r="DW3" s="362"/>
      <c r="DX3" s="362"/>
      <c r="DY3" s="362"/>
      <c r="DZ3" s="362"/>
      <c r="EA3" s="362"/>
      <c r="EB3" s="362"/>
      <c r="EC3" s="362"/>
      <c r="ED3" s="362"/>
      <c r="EE3" s="362"/>
      <c r="EF3" s="362"/>
      <c r="EG3" s="362"/>
      <c r="EH3" s="362"/>
      <c r="EI3" s="362"/>
      <c r="EJ3" s="362"/>
      <c r="EK3" s="362"/>
      <c r="EL3" s="362"/>
      <c r="EM3" s="362"/>
      <c r="EN3" s="362"/>
      <c r="EO3" s="362"/>
      <c r="EP3" s="362"/>
      <c r="EQ3" s="362"/>
      <c r="ER3" s="362"/>
      <c r="ES3" s="362"/>
      <c r="ET3" s="362"/>
      <c r="EU3" s="362"/>
      <c r="EV3" s="362"/>
      <c r="EW3" s="362"/>
      <c r="EX3" s="362"/>
      <c r="EY3" s="362"/>
      <c r="EZ3" s="362"/>
      <c r="FA3" s="362"/>
      <c r="FB3" s="362"/>
      <c r="FC3" s="362"/>
      <c r="FD3" s="362"/>
      <c r="FE3" s="362"/>
      <c r="FF3" s="362"/>
      <c r="FG3" s="362"/>
      <c r="FH3" s="362"/>
      <c r="FI3" s="362"/>
      <c r="FJ3" s="362"/>
      <c r="FK3" s="362"/>
      <c r="FL3" s="362"/>
      <c r="FM3" s="362"/>
      <c r="FN3" s="362"/>
      <c r="FO3" s="362"/>
      <c r="FP3" s="362"/>
      <c r="FQ3" s="362"/>
      <c r="FR3" s="362"/>
      <c r="FS3" s="362"/>
      <c r="FT3" s="362"/>
      <c r="FU3" s="362"/>
      <c r="FV3" s="362"/>
      <c r="FW3" s="362"/>
      <c r="FX3" s="362"/>
      <c r="FY3" s="362"/>
      <c r="FZ3" s="362"/>
      <c r="GA3" s="362"/>
      <c r="GB3" s="362"/>
      <c r="GC3" s="362"/>
      <c r="GD3" s="362"/>
      <c r="GE3" s="362"/>
      <c r="GF3" s="362"/>
      <c r="GG3" s="362"/>
      <c r="GH3" s="362"/>
      <c r="GI3" s="362"/>
      <c r="GJ3" s="362"/>
      <c r="GK3" s="362"/>
      <c r="GL3" s="362"/>
      <c r="GM3" s="362"/>
      <c r="GN3" s="362"/>
      <c r="GO3" s="362"/>
      <c r="GP3" s="362"/>
      <c r="GQ3" s="362"/>
      <c r="GR3" s="362"/>
      <c r="GS3" s="362"/>
      <c r="GT3" s="362"/>
      <c r="GU3" s="362"/>
      <c r="GV3" s="362"/>
      <c r="GW3" s="362"/>
      <c r="GX3" s="362"/>
      <c r="GY3" s="362"/>
      <c r="GZ3" s="362"/>
      <c r="HA3" s="362"/>
      <c r="HB3" s="362"/>
      <c r="HC3" s="362"/>
      <c r="HD3" s="362"/>
      <c r="HE3" s="362"/>
      <c r="HF3" s="362"/>
      <c r="HG3" s="362"/>
      <c r="HH3" s="362"/>
      <c r="HI3" s="362"/>
      <c r="HJ3" s="362"/>
      <c r="HK3" s="362"/>
      <c r="HL3" s="362"/>
      <c r="HM3" s="362"/>
      <c r="HN3" s="362"/>
      <c r="HO3" s="362"/>
      <c r="HP3" s="362"/>
      <c r="HQ3" s="362"/>
      <c r="HR3" s="362"/>
      <c r="HS3" s="362"/>
      <c r="HT3" s="362"/>
      <c r="HU3" s="362"/>
      <c r="HV3" s="362"/>
      <c r="HW3" s="362"/>
      <c r="HX3" s="362"/>
      <c r="HY3" s="362"/>
      <c r="HZ3" s="362"/>
      <c r="IA3" s="362"/>
      <c r="IB3" s="362"/>
      <c r="IC3" s="362"/>
      <c r="ID3" s="362"/>
      <c r="IE3" s="362"/>
      <c r="IF3" s="362"/>
      <c r="IG3" s="362"/>
      <c r="IH3" s="362"/>
      <c r="II3" s="362"/>
      <c r="IJ3" s="362"/>
      <c r="IK3" s="362"/>
      <c r="IL3" s="362"/>
      <c r="IM3" s="362"/>
      <c r="IN3" s="362"/>
      <c r="IO3" s="362"/>
      <c r="IP3" s="362"/>
      <c r="IQ3" s="362"/>
      <c r="IR3" s="362"/>
      <c r="IS3" s="362"/>
      <c r="IT3" s="362"/>
      <c r="IU3" s="362"/>
      <c r="IV3" s="362"/>
    </row>
    <row s="5328" customFormat="1" customHeight="1" ht="14.25">
      <c r="A4" s="1343"/>
      <c r="B4" s="1348"/>
      <c r="C4" s="1343"/>
      <c r="D4" s="1719"/>
      <c r="E4" s="673"/>
      <c r="F4" s="673"/>
      <c r="G4" s="673"/>
      <c r="H4" s="673"/>
      <c r="I4" s="673"/>
      <c r="J4" s="673"/>
      <c r="K4" s="673"/>
      <c r="L4" s="301"/>
      <c r="M4" s="382"/>
      <c r="N4" s="664"/>
      <c r="O4" s="664"/>
      <c r="P4" s="664"/>
      <c r="Q4" s="361"/>
      <c r="R4" s="664"/>
      <c r="S4" s="360"/>
      <c r="T4" s="360"/>
      <c r="U4" s="360"/>
      <c r="V4" s="360"/>
    </row>
    <row s="5328" customFormat="1" customHeight="1" ht="25.5">
      <c r="A5" s="1343"/>
      <c r="B5" s="1348"/>
      <c r="C5" s="1343"/>
      <c r="D5" s="1719"/>
      <c r="E5" s="2062" t="str">
        <f>"Форма 3. Информация о рассмотрении дел об установлении тарифов в сфере "&amp;IF(TEMPLATE_SPHERE="HEAT","теплоснабжения","водоснабжения и водоотведения")</f>
        <v>Форма 3. Информация о рассмотрении дел об установлении тарифов в сфере водоснабжения и водоотведения</v>
      </c>
      <c r="F5" s="2062"/>
      <c r="G5" s="2062"/>
      <c r="H5" s="2062"/>
      <c r="I5" s="2062"/>
      <c r="J5" s="2062"/>
      <c r="K5" s="2062"/>
      <c r="L5" s="752"/>
      <c r="M5" s="382"/>
      <c r="N5" s="664"/>
      <c r="O5" s="664"/>
      <c r="P5" s="664"/>
      <c r="Q5" s="361"/>
      <c r="R5" s="664"/>
      <c r="S5" s="360"/>
      <c r="T5" s="360"/>
      <c r="U5" s="360"/>
      <c r="V5" s="360"/>
    </row>
    <row s="5328" customFormat="1" customHeight="1" ht="14.25">
      <c r="A6" s="1343"/>
      <c r="B6" s="1348"/>
      <c r="C6" s="1343"/>
      <c r="D6" s="1719"/>
      <c r="E6" s="673"/>
      <c r="F6" s="302"/>
      <c r="G6" s="302"/>
      <c r="H6" s="302"/>
      <c r="I6" s="302"/>
      <c r="J6" s="302"/>
      <c r="K6" s="302"/>
      <c r="L6" s="303"/>
      <c r="M6" s="664"/>
      <c r="N6" s="664"/>
      <c r="O6" s="664"/>
      <c r="P6" s="664"/>
      <c r="Q6" s="361"/>
      <c r="R6" s="664"/>
      <c r="S6" s="360"/>
      <c r="T6" s="360"/>
      <c r="U6" s="360"/>
      <c r="V6" s="360"/>
    </row>
    <row s="5328" customFormat="1" customHeight="1" ht="14.25">
      <c r="A7" s="1343"/>
      <c r="B7" s="1348"/>
      <c r="C7" s="1343"/>
      <c r="D7" s="1719"/>
      <c r="E7" s="2063" t="s">
        <v>300</v>
      </c>
      <c r="F7" s="2064"/>
      <c r="G7" s="2064"/>
      <c r="H7" s="2064"/>
      <c r="I7" s="2064"/>
      <c r="J7" s="2064"/>
      <c r="K7" s="2064"/>
      <c r="L7" s="2626" t="s">
        <v>301</v>
      </c>
      <c r="M7" s="664"/>
      <c r="N7" s="664"/>
      <c r="O7" s="664"/>
      <c r="P7" s="664"/>
      <c r="Q7" s="361"/>
      <c r="R7" s="664"/>
      <c r="S7" s="360"/>
      <c r="T7" s="360"/>
      <c r="U7" s="360"/>
      <c r="V7" s="360"/>
    </row>
    <row s="5328" customFormat="1" customHeight="1" ht="47.25">
      <c r="A8" s="1343"/>
      <c r="B8" s="1348"/>
      <c r="C8" s="1343"/>
      <c r="D8" s="1719"/>
      <c r="E8" s="2633" t="s">
        <v>87</v>
      </c>
      <c r="F8" s="2631" t="s">
        <v>2132</v>
      </c>
      <c r="G8" s="2635" t="str">
        <f>"Заседание правления (коллегии органа регулирования тарифов, на котором планируется рассмотрение дела об установлении тарифов в сфере "&amp;IF(TEMPLATE_SPHERE="HEAT","теплоснабжения","водоснабжения и водоотведения")</f>
        <v>Заседание правления (коллегии органа регулирования тарифов, на котором планируется рассмотрение дела об установлении тарифов в сфере водоснабжения и водоотведения</v>
      </c>
      <c r="H8" s="2636"/>
      <c r="I8" s="2637"/>
      <c r="J8" s="2631" t="str">
        <f>"Принятые органом регулирования тарифов решения об установлении тарифов в сфере "&amp;IF(TEMPLATE_SPHERE="HEAT","теплоснабжения","водоснабжения и водоотведения")</f>
        <v>Принятые органом регулирования тарифов решения об установлении тарифов в сфере водоснабжения и водоотведения</v>
      </c>
      <c r="K8" s="2631" t="str">
        <f>"Протокол заседания правления (коллегии) органа регулирования тарифов, оформленный в соответствии с требованиями"&amp;IF(TEMPLATE_SPHERE="HEAT","законодательства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630"/>
      <c r="M8" s="664"/>
      <c r="N8" s="664"/>
      <c r="O8" s="664"/>
      <c r="P8" s="664"/>
      <c r="Q8" s="361"/>
      <c r="R8" s="664"/>
      <c r="S8" s="360"/>
      <c r="T8" s="360"/>
      <c r="U8" s="360"/>
      <c r="V8" s="360"/>
    </row>
    <row s="5328" customFormat="1" customHeight="1" ht="56.25">
      <c r="A9" s="1343"/>
      <c r="B9" s="1348"/>
      <c r="C9" s="1343"/>
      <c r="D9" s="1719"/>
      <c r="E9" s="2634"/>
      <c r="F9" s="2632"/>
      <c r="G9" s="1765" t="s">
        <v>2154</v>
      </c>
      <c r="H9" s="1765" t="s">
        <v>2155</v>
      </c>
      <c r="I9" s="1765" t="s">
        <v>2156</v>
      </c>
      <c r="J9" s="2632"/>
      <c r="K9" s="2632"/>
      <c r="L9" s="2627"/>
      <c r="M9" s="664"/>
      <c r="N9" s="664"/>
      <c r="O9" s="664"/>
      <c r="P9" s="664"/>
      <c r="Q9" s="361"/>
      <c r="R9" s="664"/>
      <c r="S9" s="360"/>
      <c r="T9" s="360"/>
      <c r="U9" s="360"/>
      <c r="V9" s="360"/>
    </row>
    <row s="5337" customFormat="1" customHeight="1" ht="22.5">
      <c r="A10" s="2061"/>
      <c r="B10" s="1348">
        <v>1</v>
      </c>
      <c r="C10" s="1348"/>
      <c r="D10" s="967"/>
      <c r="E10" s="965">
        <v>1</v>
      </c>
      <c r="F10" s="1767" t="str">
        <f>IF(ROIV_INFO_NAME="","",ROIV_INFO_NAME)</f>
        <v/>
      </c>
      <c r="G10" s="1974" t="s">
        <v>17</v>
      </c>
      <c r="H10" s="1762"/>
      <c r="I10" s="1762"/>
      <c r="J10" s="1352"/>
      <c r="K10" s="1352"/>
      <c r="L10" s="2628" t="s">
        <v>2157</v>
      </c>
      <c r="M10" s="1763">
        <f>MERGEVALUE(F10)</f>
      </c>
      <c r="N10" s="675"/>
      <c r="O10" s="675"/>
      <c r="P10" s="664" t="str">
        <f t="array" ref="P10:P10">IF(ISERROR(MATCH(MID(Q10,1,250),MID(note_ter,1,250),0)),"n","y")</f>
        <v>n</v>
      </c>
      <c r="Q10" s="675"/>
      <c r="R10" s="664"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348"/>
      <c r="T10" s="1348"/>
      <c r="U10" s="583"/>
      <c r="V10" s="1348"/>
      <c r="W10" s="1348"/>
      <c r="X10" s="1348"/>
      <c r="Y10" s="585"/>
      <c r="Z10" s="585"/>
      <c r="AA10" s="582"/>
      <c r="AB10" s="582"/>
      <c r="AC10" s="582"/>
      <c r="AD10" s="582"/>
      <c r="AE10" s="582"/>
      <c r="AF10" s="582"/>
      <c r="AG10" s="582"/>
      <c r="AH10" s="582"/>
      <c r="AI10" s="582"/>
      <c r="AJ10" s="582"/>
      <c r="AK10" s="582"/>
      <c r="AL10" s="582"/>
      <c r="AM10" s="582"/>
      <c r="AN10" s="582"/>
      <c r="AO10" s="582"/>
      <c r="AP10" s="582"/>
      <c r="AQ10" s="582"/>
      <c r="AR10" s="582"/>
      <c r="AS10" s="582"/>
      <c r="AT10" s="582"/>
      <c r="AU10" s="582"/>
      <c r="AV10" s="582"/>
      <c r="AW10" s="582"/>
      <c r="AX10" s="582"/>
      <c r="AY10" s="582"/>
      <c r="AZ10" s="582"/>
      <c r="BA10" s="582"/>
      <c r="BB10" s="582"/>
      <c r="BC10" s="582"/>
      <c r="BD10" s="582"/>
      <c r="BE10" s="582"/>
      <c r="BF10" s="582"/>
      <c r="BG10" s="582"/>
      <c r="BH10" s="582"/>
      <c r="BI10" s="582"/>
      <c r="BJ10" s="582"/>
      <c r="BK10" s="582"/>
      <c r="BL10" s="582"/>
      <c r="BM10" s="582"/>
      <c r="BN10" s="582"/>
      <c r="BO10" s="582"/>
      <c r="BP10" s="582"/>
      <c r="BQ10" s="582"/>
      <c r="BR10" s="582"/>
      <c r="BS10" s="582"/>
      <c r="BT10" s="582"/>
      <c r="BU10" s="582"/>
      <c r="BV10" s="585"/>
      <c r="BW10" s="585"/>
      <c r="BX10" s="585"/>
      <c r="BY10" s="585"/>
      <c r="BZ10" s="585"/>
      <c r="CA10" s="585"/>
      <c r="CB10" s="585"/>
      <c r="CC10" s="585"/>
      <c r="CD10" s="585"/>
      <c r="CE10" s="585"/>
    </row>
    <row s="5337" customFormat="1" customHeight="1" ht="15">
      <c r="A11" s="2061"/>
      <c r="B11" s="1348"/>
      <c r="C11" s="575"/>
      <c r="D11" s="968"/>
      <c r="E11" s="584"/>
      <c r="F11" s="579" t="s">
        <v>2158</v>
      </c>
      <c r="G11" s="321"/>
      <c r="H11" s="321"/>
      <c r="I11" s="321"/>
      <c r="J11" s="321"/>
      <c r="K11" s="321"/>
      <c r="L11" s="2629"/>
      <c r="M11" s="1764"/>
      <c r="N11" s="675"/>
      <c r="O11" s="675"/>
      <c r="P11" s="675"/>
      <c r="Q11" s="664"/>
      <c r="R11" s="675"/>
      <c r="S11" s="1348"/>
      <c r="T11" s="1348"/>
      <c r="U11" s="583"/>
      <c r="V11" s="1348"/>
      <c r="W11" s="1348"/>
      <c r="X11" s="1348"/>
      <c r="Y11" s="585"/>
      <c r="Z11" s="585"/>
      <c r="AA11" s="582"/>
      <c r="AB11" s="582"/>
      <c r="AC11" s="582"/>
      <c r="AD11" s="582"/>
      <c r="AE11" s="582"/>
      <c r="AF11" s="582"/>
      <c r="AG11" s="582"/>
      <c r="AH11" s="582"/>
      <c r="AI11" s="582"/>
      <c r="AJ11" s="582"/>
      <c r="AK11" s="582"/>
      <c r="AL11" s="582"/>
      <c r="AM11" s="582"/>
      <c r="AN11" s="582"/>
      <c r="AO11" s="582"/>
      <c r="AP11" s="582"/>
      <c r="AQ11" s="582"/>
      <c r="AR11" s="582"/>
      <c r="AS11" s="582"/>
      <c r="AT11" s="582"/>
      <c r="AU11" s="582"/>
      <c r="AV11" s="582"/>
      <c r="AW11" s="582"/>
      <c r="AX11" s="582"/>
      <c r="AY11" s="582"/>
      <c r="AZ11" s="582"/>
      <c r="BA11" s="582"/>
      <c r="BB11" s="582"/>
      <c r="BC11" s="582"/>
      <c r="BD11" s="582"/>
      <c r="BE11" s="582"/>
      <c r="BF11" s="582"/>
      <c r="BG11" s="582"/>
      <c r="BH11" s="582"/>
      <c r="BI11" s="582"/>
      <c r="BJ11" s="582"/>
      <c r="BK11" s="582"/>
      <c r="BL11" s="582"/>
      <c r="BM11" s="582"/>
      <c r="BN11" s="582"/>
      <c r="BO11" s="582"/>
      <c r="BP11" s="582"/>
      <c r="BQ11" s="582"/>
      <c r="BR11" s="582"/>
      <c r="BS11" s="582"/>
      <c r="BT11" s="582"/>
      <c r="BU11" s="582"/>
      <c r="BV11" s="585"/>
      <c r="BW11" s="585"/>
      <c r="BX11" s="585"/>
      <c r="BY11" s="585"/>
      <c r="BZ11" s="585"/>
      <c r="CA11" s="585"/>
      <c r="CB11" s="585"/>
      <c r="CC11" s="585"/>
      <c r="CD11" s="585"/>
      <c r="CE11" s="585"/>
    </row>
    <row s="5328" customFormat="1" customHeight="1" ht="21">
      <c r="A12" s="1343"/>
      <c r="B12" s="1348"/>
      <c r="C12" s="1343"/>
      <c r="D12" s="615"/>
      <c r="E12" s="315"/>
      <c r="F12" s="315"/>
      <c r="G12" s="315"/>
      <c r="H12" s="315"/>
      <c r="I12" s="315"/>
      <c r="J12" s="315"/>
      <c r="K12" s="315"/>
      <c r="L12" s="315"/>
      <c r="M12" s="664"/>
      <c r="N12" s="664"/>
      <c r="O12" s="664"/>
      <c r="P12" s="664"/>
      <c r="Q12" s="361"/>
      <c r="R12" s="664"/>
      <c r="S12" s="360"/>
      <c r="T12" s="360"/>
      <c r="U12" s="360"/>
      <c r="V12" s="360"/>
    </row>
    <row s="5328" customFormat="1" customHeight="1" ht="14.25">
      <c r="A13" s="1343"/>
      <c r="B13" s="1348"/>
      <c r="C13" s="1343"/>
      <c r="D13" s="615"/>
      <c r="E13" s="1343"/>
      <c r="F13" s="1343"/>
      <c r="G13" s="1343"/>
      <c r="H13" s="1343"/>
      <c r="I13" s="1343"/>
      <c r="J13" s="1343"/>
      <c r="K13" s="1343"/>
      <c r="L13" s="1343"/>
      <c r="M13" s="664"/>
      <c r="N13" s="664"/>
      <c r="O13" s="664"/>
      <c r="P13" s="664"/>
      <c r="Q13" s="361"/>
      <c r="R13" s="664"/>
      <c r="S13" s="360"/>
      <c r="T13" s="360"/>
      <c r="U13" s="360"/>
      <c r="V13" s="360"/>
    </row>
    <row s="5328" customFormat="1" customHeight="1" ht="0.75">
      <c r="A14" s="1343"/>
      <c r="B14" s="1348"/>
      <c r="C14" s="1343"/>
      <c r="D14" s="615"/>
      <c r="E14" s="1343"/>
      <c r="F14" s="1343"/>
      <c r="G14" s="1343"/>
      <c r="H14" s="1343"/>
      <c r="I14" s="1343"/>
      <c r="J14" s="1343"/>
      <c r="K14" s="1343"/>
      <c r="L14" s="1343"/>
      <c r="M14" s="664"/>
      <c r="N14" s="664"/>
      <c r="O14" s="664"/>
      <c r="P14" s="664"/>
      <c r="Q14" s="361"/>
      <c r="R14" s="664"/>
      <c r="S14" s="360"/>
      <c r="T14" s="360"/>
      <c r="U14" s="360"/>
      <c r="V14" s="360"/>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allowBlank="1" showInputMessage="1" showErrorMessage="1" sqref="H2:I3 H10:I10">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E93894-15F4-8668-06FF-22A44C8C7AE6}" mc:Ignorable="x14ac xr xr2 xr3">
  <dimension ref="A1:IY16"/>
  <sheetViews>
    <sheetView topLeftCell="D5" showGridLines="0" zoomScale="90" workbookViewId="0">
      <selection activeCell="A1" sqref="A1"/>
    </sheetView>
  </sheetViews>
  <sheetFormatPr defaultColWidth="9.140625" customHeight="1" defaultRowHeight="14.25"/>
  <cols>
    <col min="1" max="1" style="6104" width="9.140625" hidden="1"/>
    <col min="2" max="2" style="6539" width="9.140625" hidden="1"/>
    <col min="3" max="3" style="6104" width="3.7109375" hidden="1" customWidth="1"/>
    <col min="4" max="4" style="5816" width="3.8515625" customWidth="1"/>
    <col min="5" max="5" style="6104" width="10.140625" customWidth="1"/>
    <col min="6" max="6" style="6104" width="6.28125" customWidth="1"/>
    <col min="7" max="7" style="6104" width="27.28125" customWidth="1"/>
    <col min="8" max="8" style="6104" width="29.28125" customWidth="1"/>
    <col min="9" max="9" style="6104" width="25.421875" customWidth="1"/>
    <col min="10" max="10" style="6104" width="5.57421875" customWidth="1"/>
    <col min="11" max="11" style="6104" width="6.57421875" customWidth="1"/>
    <col min="12" max="12" style="6104" width="41.8515625" customWidth="1"/>
    <col min="13" max="13" style="6104" width="42.421875" customWidth="1"/>
    <col min="14" max="14" style="6104" width="41.57421875" customWidth="1"/>
    <col min="15" max="15" style="6104" width="64.140625" customWidth="1"/>
    <col min="16" max="16" style="7594" width="3.7109375" customWidth="1"/>
    <col min="17" max="19" style="7594" width="9.140625"/>
    <col min="20" max="20" style="5372" width="25.7109375" customWidth="1"/>
    <col min="21" max="21" style="7594" width="14.421875" customWidth="1"/>
    <col min="22" max="25" style="5373" width="9.140625"/>
    <col min="26" max="259" style="6104" width="9.140625"/>
  </cols>
  <sheetData>
    <row customHeight="1" ht="14.25" hidden="1"/>
    <row s="5337" customFormat="1" customHeight="1" ht="22.5" hidden="1">
      <c r="A2" s="660"/>
      <c r="B2" s="1348">
        <v>1</v>
      </c>
      <c r="C2" s="1348"/>
      <c r="D2" s="968"/>
      <c r="E2" s="2396"/>
      <c r="F2" s="2396">
        <v>1</v>
      </c>
      <c r="G2" s="2460" t="str">
        <f>IF(region_name="","",region_name)</f>
        <v>Краснодарский край</v>
      </c>
      <c r="H2" s="2647"/>
      <c r="I2" s="2648"/>
      <c r="J2" s="638"/>
      <c r="K2" s="1708">
        <v>1</v>
      </c>
      <c r="L2" s="1352"/>
      <c r="M2" s="1352"/>
      <c r="N2" s="1352"/>
      <c r="O2" s="1352"/>
      <c r="P2" s="1763">
        <f>MERGEVALUE(G2)</f>
      </c>
      <c r="Q2" s="675"/>
      <c r="R2" s="675"/>
      <c r="S2" s="664" t="str">
        <f t="array" ref="S2:S2">IF(ISERROR(MATCH(MID(T2,1,250),MID(note_ter,1,250),0)),"n","y")</f>
        <v>n</v>
      </c>
      <c r="T2" s="675"/>
      <c r="U2" s="664"/>
      <c r="V2" s="1348"/>
      <c r="W2" s="1348"/>
      <c r="X2" s="583"/>
      <c r="Y2" s="1348"/>
      <c r="Z2" s="1348"/>
      <c r="AA2" s="1348"/>
      <c r="AB2" s="585"/>
      <c r="AC2" s="585"/>
      <c r="AD2" s="582"/>
      <c r="AE2" s="582"/>
      <c r="AF2" s="582"/>
      <c r="AG2" s="582"/>
      <c r="AH2" s="582"/>
      <c r="AI2" s="582"/>
      <c r="AJ2" s="582"/>
      <c r="AK2" s="582"/>
      <c r="AL2" s="582"/>
      <c r="AM2" s="582"/>
      <c r="AN2" s="582"/>
      <c r="AO2" s="582"/>
      <c r="AP2" s="582"/>
      <c r="AQ2" s="582"/>
      <c r="AR2" s="582"/>
      <c r="AS2" s="582"/>
      <c r="AT2" s="582"/>
      <c r="AU2" s="582"/>
      <c r="AV2" s="582"/>
      <c r="AW2" s="582"/>
      <c r="AX2" s="582"/>
      <c r="AY2" s="582"/>
      <c r="AZ2" s="582"/>
      <c r="BA2" s="582"/>
      <c r="BB2" s="582"/>
      <c r="BC2" s="582"/>
      <c r="BD2" s="582"/>
      <c r="BE2" s="582"/>
      <c r="BF2" s="582"/>
      <c r="BG2" s="582"/>
      <c r="BH2" s="582"/>
      <c r="BI2" s="582"/>
      <c r="BJ2" s="582"/>
      <c r="BK2" s="582"/>
      <c r="BL2" s="582"/>
      <c r="BM2" s="582"/>
      <c r="BN2" s="582"/>
      <c r="BO2" s="582"/>
      <c r="BP2" s="582"/>
      <c r="BQ2" s="582"/>
      <c r="BR2" s="582"/>
      <c r="BS2" s="582"/>
      <c r="BT2" s="582"/>
      <c r="BU2" s="582"/>
      <c r="BV2" s="582"/>
      <c r="BW2" s="582"/>
      <c r="BX2" s="582"/>
      <c r="BY2" s="585"/>
      <c r="BZ2" s="585"/>
      <c r="CA2" s="585"/>
      <c r="CB2" s="585"/>
      <c r="CC2" s="585"/>
      <c r="CD2" s="585"/>
      <c r="CE2" s="585"/>
      <c r="CF2" s="585"/>
      <c r="CG2" s="585"/>
      <c r="CH2" s="585"/>
    </row>
    <row s="5337" customFormat="1" customHeight="1" ht="22.5" hidden="1">
      <c r="A3" s="1003"/>
      <c r="B3" s="1348"/>
      <c r="C3" s="1348"/>
      <c r="D3" s="968"/>
      <c r="E3" s="2396"/>
      <c r="F3" s="2396"/>
      <c r="G3" s="2460"/>
      <c r="H3" s="2647"/>
      <c r="I3" s="2260"/>
      <c r="J3" s="1772"/>
      <c r="K3" s="1724"/>
      <c r="L3" s="1724" t="s">
        <v>2159</v>
      </c>
      <c r="M3" s="1775"/>
      <c r="N3" s="1775"/>
      <c r="O3" s="1776"/>
      <c r="P3" s="1763"/>
      <c r="Q3" s="675"/>
      <c r="R3" s="675"/>
      <c r="S3" s="664"/>
      <c r="T3" s="675"/>
      <c r="U3" s="664"/>
      <c r="V3" s="1348"/>
      <c r="W3" s="1348"/>
      <c r="X3" s="583"/>
      <c r="Y3" s="1348"/>
      <c r="Z3" s="1348"/>
      <c r="AA3" s="1348"/>
      <c r="AB3" s="585"/>
      <c r="AC3" s="585"/>
      <c r="AD3" s="582"/>
      <c r="AE3" s="582"/>
      <c r="AF3" s="582"/>
      <c r="AG3" s="582"/>
      <c r="AH3" s="582"/>
      <c r="AI3" s="582"/>
      <c r="AJ3" s="582"/>
      <c r="AK3" s="582"/>
      <c r="AL3" s="582"/>
      <c r="AM3" s="582"/>
      <c r="AN3" s="582"/>
      <c r="AO3" s="582"/>
      <c r="AP3" s="582"/>
      <c r="AQ3" s="582"/>
      <c r="AR3" s="582"/>
      <c r="AS3" s="582"/>
      <c r="AT3" s="582"/>
      <c r="AU3" s="582"/>
      <c r="AV3" s="582"/>
      <c r="AW3" s="582"/>
      <c r="AX3" s="582"/>
      <c r="AY3" s="582"/>
      <c r="AZ3" s="582"/>
      <c r="BA3" s="582"/>
      <c r="BB3" s="582"/>
      <c r="BC3" s="582"/>
      <c r="BD3" s="582"/>
      <c r="BE3" s="582"/>
      <c r="BF3" s="582"/>
      <c r="BG3" s="582"/>
      <c r="BH3" s="582"/>
      <c r="BI3" s="582"/>
      <c r="BJ3" s="582"/>
      <c r="BK3" s="582"/>
      <c r="BL3" s="582"/>
      <c r="BM3" s="582"/>
      <c r="BN3" s="582"/>
      <c r="BO3" s="582"/>
      <c r="BP3" s="582"/>
      <c r="BQ3" s="582"/>
      <c r="BR3" s="582"/>
      <c r="BS3" s="582"/>
      <c r="BT3" s="582"/>
      <c r="BU3" s="582"/>
      <c r="BV3" s="582"/>
      <c r="BW3" s="582"/>
      <c r="BX3" s="582"/>
      <c r="BY3" s="585"/>
      <c r="BZ3" s="585"/>
      <c r="CA3" s="585"/>
      <c r="CB3" s="585"/>
      <c r="CC3" s="585"/>
      <c r="CD3" s="585"/>
      <c r="CE3" s="585"/>
      <c r="CF3" s="585"/>
      <c r="CG3" s="585"/>
      <c r="CH3" s="585"/>
    </row>
    <row s="6608" customFormat="1" customHeight="1" ht="5.25" hidden="1">
      <c r="A4" s="660"/>
      <c r="D4" s="658"/>
      <c r="G4" s="382" t="s">
        <v>82</v>
      </c>
      <c r="H4" s="658" t="s">
        <v>83</v>
      </c>
      <c r="I4" s="658"/>
      <c r="J4" s="1777"/>
      <c r="K4" s="1777"/>
      <c r="L4" s="1777"/>
      <c r="M4" s="1777"/>
      <c r="N4" s="1777"/>
      <c r="O4" s="1777"/>
      <c r="P4" s="382" t="s">
        <v>82</v>
      </c>
      <c r="Q4" s="382"/>
      <c r="R4" s="382"/>
      <c r="S4" s="382"/>
      <c r="T4" s="383"/>
      <c r="U4" s="382"/>
      <c r="V4" s="382"/>
      <c r="W4" s="382"/>
      <c r="X4" s="382"/>
      <c r="Y4" s="382"/>
      <c r="Z4" s="362"/>
      <c r="AA4" s="362"/>
      <c r="AB4" s="362"/>
      <c r="AC4" s="362"/>
      <c r="AD4" s="362"/>
      <c r="AE4" s="362"/>
      <c r="AF4" s="362"/>
      <c r="AG4" s="362"/>
      <c r="AH4" s="362"/>
      <c r="AI4" s="362"/>
      <c r="AJ4" s="362"/>
      <c r="AK4" s="362"/>
      <c r="AL4" s="362"/>
      <c r="AM4" s="362"/>
      <c r="AN4" s="362"/>
      <c r="AO4" s="362"/>
      <c r="AP4" s="362"/>
      <c r="AQ4" s="362"/>
      <c r="AR4" s="362"/>
      <c r="AS4" s="362"/>
      <c r="AT4" s="362"/>
      <c r="AU4" s="362"/>
      <c r="AV4" s="362"/>
      <c r="AW4" s="362"/>
      <c r="AX4" s="362"/>
      <c r="AY4" s="362"/>
      <c r="AZ4" s="362"/>
      <c r="BA4" s="362"/>
      <c r="BB4" s="362"/>
      <c r="BC4" s="362"/>
      <c r="BD4" s="362"/>
      <c r="BE4" s="362"/>
      <c r="BF4" s="362"/>
      <c r="BG4" s="362"/>
      <c r="BH4" s="362"/>
      <c r="BI4" s="362"/>
      <c r="BJ4" s="362"/>
      <c r="BK4" s="362"/>
      <c r="BL4" s="362"/>
      <c r="BM4" s="362"/>
      <c r="BN4" s="362"/>
      <c r="BO4" s="362"/>
      <c r="BP4" s="362"/>
      <c r="BQ4" s="362"/>
      <c r="BR4" s="362"/>
      <c r="BS4" s="362"/>
      <c r="BT4" s="362"/>
      <c r="BU4" s="362"/>
      <c r="BV4" s="362"/>
      <c r="BW4" s="362"/>
      <c r="BX4" s="362"/>
      <c r="BY4" s="362"/>
      <c r="BZ4" s="362"/>
      <c r="CA4" s="362"/>
      <c r="CB4" s="362"/>
      <c r="CC4" s="362"/>
      <c r="CD4" s="362"/>
      <c r="CE4" s="362"/>
      <c r="CF4" s="362"/>
      <c r="CG4" s="362"/>
      <c r="CH4" s="362"/>
      <c r="CI4" s="362"/>
      <c r="CJ4" s="362"/>
      <c r="CK4" s="362"/>
      <c r="CL4" s="362"/>
      <c r="CM4" s="362"/>
      <c r="CN4" s="362"/>
      <c r="CO4" s="362"/>
      <c r="CP4" s="362"/>
      <c r="CQ4" s="362"/>
      <c r="CR4" s="362"/>
      <c r="CS4" s="362"/>
      <c r="CT4" s="362"/>
      <c r="CU4" s="362"/>
      <c r="CV4" s="362"/>
      <c r="CW4" s="362"/>
      <c r="CX4" s="362"/>
      <c r="CY4" s="362"/>
      <c r="CZ4" s="362"/>
      <c r="DA4" s="362"/>
      <c r="DB4" s="362"/>
      <c r="DC4" s="362"/>
      <c r="DD4" s="362"/>
      <c r="DE4" s="362"/>
      <c r="DF4" s="362"/>
      <c r="DG4" s="362"/>
      <c r="DH4" s="362"/>
      <c r="DI4" s="362"/>
      <c r="DJ4" s="362"/>
      <c r="DK4" s="362"/>
      <c r="DL4" s="362"/>
      <c r="DM4" s="362"/>
      <c r="DN4" s="362"/>
      <c r="DO4" s="362"/>
      <c r="DP4" s="362"/>
      <c r="DQ4" s="362"/>
      <c r="DR4" s="362"/>
      <c r="DS4" s="362"/>
      <c r="DT4" s="362"/>
      <c r="DU4" s="362"/>
      <c r="DV4" s="362"/>
      <c r="DW4" s="362"/>
      <c r="DX4" s="362"/>
      <c r="DY4" s="362"/>
      <c r="DZ4" s="362"/>
      <c r="EA4" s="362"/>
      <c r="EB4" s="362"/>
      <c r="EC4" s="362"/>
      <c r="ED4" s="362"/>
      <c r="EE4" s="362"/>
      <c r="EF4" s="362"/>
      <c r="EG4" s="362"/>
      <c r="EH4" s="362"/>
      <c r="EI4" s="362"/>
      <c r="EJ4" s="362"/>
      <c r="EK4" s="362"/>
      <c r="EL4" s="362"/>
      <c r="EM4" s="362"/>
      <c r="EN4" s="362"/>
      <c r="EO4" s="362"/>
      <c r="EP4" s="362"/>
      <c r="EQ4" s="362"/>
      <c r="ER4" s="362"/>
      <c r="ES4" s="362"/>
      <c r="ET4" s="362"/>
      <c r="EU4" s="362"/>
      <c r="EV4" s="362"/>
      <c r="EW4" s="362"/>
      <c r="EX4" s="362"/>
      <c r="EY4" s="362"/>
      <c r="EZ4" s="362"/>
      <c r="FA4" s="362"/>
      <c r="FB4" s="362"/>
      <c r="FC4" s="362"/>
      <c r="FD4" s="362"/>
      <c r="FE4" s="362"/>
      <c r="FF4" s="362"/>
      <c r="FG4" s="362"/>
      <c r="FH4" s="362"/>
      <c r="FI4" s="362"/>
      <c r="FJ4" s="362"/>
      <c r="FK4" s="362"/>
      <c r="FL4" s="362"/>
      <c r="FM4" s="362"/>
      <c r="FN4" s="362"/>
      <c r="FO4" s="362"/>
      <c r="FP4" s="362"/>
      <c r="FQ4" s="362"/>
      <c r="FR4" s="362"/>
      <c r="FS4" s="362"/>
      <c r="FT4" s="362"/>
      <c r="FU4" s="362"/>
      <c r="FV4" s="362"/>
      <c r="FW4" s="362"/>
      <c r="FX4" s="362"/>
      <c r="FY4" s="362"/>
      <c r="FZ4" s="362"/>
      <c r="GA4" s="362"/>
      <c r="GB4" s="362"/>
      <c r="GC4" s="362"/>
      <c r="GD4" s="362"/>
      <c r="GE4" s="362"/>
      <c r="GF4" s="362"/>
      <c r="GG4" s="362"/>
      <c r="GH4" s="362"/>
      <c r="GI4" s="362"/>
      <c r="GJ4" s="362"/>
      <c r="GK4" s="362"/>
      <c r="GL4" s="362"/>
      <c r="GM4" s="362"/>
      <c r="GN4" s="362"/>
      <c r="GO4" s="362"/>
      <c r="GP4" s="362"/>
      <c r="GQ4" s="362"/>
      <c r="GR4" s="362"/>
      <c r="GS4" s="362"/>
      <c r="GT4" s="362"/>
      <c r="GU4" s="362"/>
      <c r="GV4" s="362"/>
      <c r="GW4" s="362"/>
      <c r="GX4" s="362"/>
      <c r="GY4" s="362"/>
      <c r="GZ4" s="362"/>
      <c r="HA4" s="362"/>
      <c r="HB4" s="362"/>
      <c r="HC4" s="362"/>
      <c r="HD4" s="362"/>
      <c r="HE4" s="362"/>
      <c r="HF4" s="362"/>
      <c r="HG4" s="362"/>
      <c r="HH4" s="362"/>
      <c r="HI4" s="362"/>
      <c r="HJ4" s="362"/>
      <c r="HK4" s="362"/>
      <c r="HL4" s="362"/>
      <c r="HM4" s="362"/>
      <c r="HN4" s="362"/>
      <c r="HO4" s="362"/>
      <c r="HP4" s="362"/>
      <c r="HQ4" s="362"/>
      <c r="HR4" s="362"/>
      <c r="HS4" s="362"/>
      <c r="HT4" s="362"/>
      <c r="HU4" s="362"/>
      <c r="HV4" s="362"/>
      <c r="HW4" s="362"/>
      <c r="HX4" s="362"/>
      <c r="HY4" s="362"/>
      <c r="HZ4" s="362"/>
      <c r="IA4" s="362"/>
      <c r="IB4" s="362"/>
      <c r="IC4" s="362"/>
      <c r="ID4" s="362"/>
      <c r="IE4" s="362"/>
      <c r="IF4" s="362"/>
      <c r="IG4" s="362"/>
      <c r="IH4" s="362"/>
      <c r="II4" s="362"/>
      <c r="IJ4" s="362"/>
      <c r="IK4" s="362"/>
      <c r="IL4" s="362"/>
      <c r="IM4" s="362"/>
      <c r="IN4" s="362"/>
      <c r="IO4" s="362"/>
      <c r="IP4" s="362"/>
      <c r="IQ4" s="362"/>
      <c r="IR4" s="362"/>
      <c r="IS4" s="362"/>
      <c r="IT4" s="362"/>
      <c r="IU4" s="362"/>
      <c r="IV4" s="362"/>
      <c r="IW4" s="362"/>
      <c r="IX4" s="362"/>
      <c r="IY4" s="362"/>
    </row>
    <row s="5328" customFormat="1" customHeight="1" ht="14.25">
      <c r="A5" s="1343"/>
      <c r="B5" s="1348"/>
      <c r="C5" s="1343"/>
      <c r="D5" s="1719"/>
      <c r="E5" s="673"/>
      <c r="F5" s="673"/>
      <c r="G5" s="673"/>
      <c r="H5" s="673"/>
      <c r="I5" s="673"/>
      <c r="J5" s="673"/>
      <c r="K5" s="673"/>
      <c r="L5" s="673"/>
      <c r="M5" s="673"/>
      <c r="N5" s="673"/>
      <c r="O5" s="673"/>
      <c r="P5" s="382"/>
      <c r="Q5" s="664"/>
      <c r="R5" s="664"/>
      <c r="S5" s="664"/>
      <c r="T5" s="361"/>
      <c r="U5" s="664"/>
      <c r="V5" s="360"/>
      <c r="W5" s="360"/>
      <c r="X5" s="360"/>
      <c r="Y5" s="360"/>
    </row>
    <row s="5328" customFormat="1" customHeight="1" ht="25.5">
      <c r="A6" s="1343"/>
      <c r="B6" s="1348"/>
      <c r="C6" s="1343"/>
      <c r="D6" s="1719"/>
      <c r="E6" s="2062" t="s">
        <v>2160</v>
      </c>
      <c r="F6" s="2062"/>
      <c r="G6" s="2062"/>
      <c r="H6" s="2062"/>
      <c r="I6" s="2062"/>
      <c r="J6" s="2062"/>
      <c r="K6" s="2062"/>
      <c r="L6" s="2062"/>
      <c r="M6" s="2062"/>
      <c r="N6" s="2062"/>
      <c r="O6" s="2062"/>
      <c r="P6" s="382"/>
      <c r="Q6" s="664"/>
      <c r="R6" s="664"/>
      <c r="S6" s="664"/>
      <c r="T6" s="361"/>
      <c r="U6" s="664"/>
      <c r="V6" s="360"/>
      <c r="W6" s="360"/>
      <c r="X6" s="360"/>
      <c r="Y6" s="360"/>
    </row>
    <row s="5328" customFormat="1" customHeight="1" ht="14.25">
      <c r="A7" s="1343"/>
      <c r="B7" s="1348"/>
      <c r="C7" s="1343"/>
      <c r="D7" s="1719"/>
      <c r="E7" s="673"/>
      <c r="F7" s="673"/>
      <c r="G7" s="302"/>
      <c r="H7" s="302"/>
      <c r="I7" s="302"/>
      <c r="J7" s="302"/>
      <c r="K7" s="302"/>
      <c r="L7" s="302"/>
      <c r="M7" s="302"/>
      <c r="N7" s="302"/>
      <c r="O7" s="302"/>
      <c r="P7" s="664"/>
      <c r="Q7" s="664"/>
      <c r="R7" s="664"/>
      <c r="S7" s="664"/>
      <c r="T7" s="361"/>
      <c r="U7" s="664"/>
      <c r="V7" s="360"/>
      <c r="W7" s="360"/>
      <c r="X7" s="360"/>
      <c r="Y7" s="360"/>
    </row>
    <row s="7613" customFormat="1" customHeight="1" ht="42.75">
      <c r="A8" s="1692"/>
      <c r="B8" s="1702"/>
      <c r="C8" s="1692"/>
      <c r="D8" s="1719"/>
      <c r="E8" s="1786" t="s">
        <v>301</v>
      </c>
      <c r="F8" s="1786"/>
      <c r="G8" s="1787" t="s">
        <v>305</v>
      </c>
      <c r="H8" s="1787" t="s">
        <v>2161</v>
      </c>
      <c r="I8" s="1787" t="s">
        <v>309</v>
      </c>
      <c r="J8" s="2643"/>
      <c r="K8" s="2644"/>
      <c r="L8" s="2645"/>
      <c r="M8" s="1787" t="s">
        <v>2162</v>
      </c>
      <c r="N8" s="1787" t="s">
        <v>2163</v>
      </c>
      <c r="O8" s="1787" t="s">
        <v>2164</v>
      </c>
      <c r="P8" s="1778"/>
      <c r="Q8" s="1778"/>
      <c r="R8" s="1778"/>
      <c r="S8" s="1778"/>
      <c r="T8" s="1779"/>
      <c r="U8" s="1778"/>
      <c r="V8" s="1780"/>
      <c r="W8" s="1780"/>
      <c r="X8" s="1780"/>
      <c r="Y8" s="1780"/>
    </row>
    <row s="5328" customFormat="1" customHeight="1" ht="47.25">
      <c r="A9" s="1343"/>
      <c r="B9" s="1348"/>
      <c r="C9" s="1343"/>
      <c r="D9" s="1719"/>
      <c r="E9" s="2638" t="s">
        <v>300</v>
      </c>
      <c r="F9" s="2634" t="s">
        <v>87</v>
      </c>
      <c r="G9" s="2632" t="s">
        <v>304</v>
      </c>
      <c r="H9" s="2632" t="s">
        <v>2165</v>
      </c>
      <c r="I9" s="2632"/>
      <c r="J9" s="2632" t="s">
        <v>2166</v>
      </c>
      <c r="K9" s="2632"/>
      <c r="L9" s="2632"/>
      <c r="M9" s="2632" t="s">
        <v>2167</v>
      </c>
      <c r="N9" s="2632" t="s">
        <v>2168</v>
      </c>
      <c r="O9" s="2632" t="s">
        <v>2169</v>
      </c>
      <c r="P9" s="664"/>
      <c r="Q9" s="664"/>
      <c r="R9" s="664"/>
      <c r="S9" s="664"/>
      <c r="T9" s="361"/>
      <c r="U9" s="664"/>
      <c r="V9" s="360"/>
      <c r="W9" s="360"/>
      <c r="X9" s="360"/>
      <c r="Y9" s="360"/>
    </row>
    <row s="5328" customFormat="1" customHeight="1" ht="56.25">
      <c r="A10" s="1343"/>
      <c r="B10" s="1348"/>
      <c r="C10" s="1343"/>
      <c r="D10" s="1719"/>
      <c r="E10" s="2396"/>
      <c r="F10" s="2642"/>
      <c r="G10" s="2641"/>
      <c r="H10" s="307" t="s">
        <v>2170</v>
      </c>
      <c r="I10" s="307" t="s">
        <v>308</v>
      </c>
      <c r="J10" s="2631"/>
      <c r="K10" s="2631"/>
      <c r="L10" s="2641"/>
      <c r="M10" s="2641"/>
      <c r="N10" s="2641"/>
      <c r="O10" s="2641"/>
      <c r="P10" s="664"/>
      <c r="Q10" s="664"/>
      <c r="R10" s="664"/>
      <c r="S10" s="664"/>
      <c r="T10" s="361"/>
      <c r="U10" s="664"/>
      <c r="V10" s="360"/>
      <c r="W10" s="360"/>
      <c r="X10" s="360"/>
      <c r="Y10" s="360"/>
    </row>
    <row s="5337" customFormat="1" customHeight="1" ht="22.5">
      <c r="A11" s="2061">
        <v>26379339</v>
      </c>
      <c r="B11" s="1348">
        <v>1</v>
      </c>
      <c r="C11" s="1348"/>
      <c r="D11" s="968"/>
      <c r="E11" s="2638"/>
      <c r="F11" s="2638">
        <v>1</v>
      </c>
      <c r="G11" s="2639" t="str">
        <f>IF(region_name="","",region_name)</f>
        <v>Краснодарский край</v>
      </c>
      <c r="H11" s="2640"/>
      <c r="I11" s="2646"/>
      <c r="J11" s="638"/>
      <c r="K11" s="1708">
        <v>1</v>
      </c>
      <c r="L11" s="1788"/>
      <c r="M11" s="1774"/>
      <c r="N11" s="1774"/>
      <c r="O11" s="1773"/>
      <c r="P11" s="1763">
        <f>MERGEVALUE(G11)</f>
      </c>
      <c r="Q11" s="675"/>
      <c r="R11" s="675"/>
      <c r="S11" s="664" t="str">
        <f t="array" ref="S11:S11">IF(ISERROR(MATCH(MID(T11,1,250),MID(note_ter,1,250),0)),"n","y")</f>
        <v>n</v>
      </c>
      <c r="T11" s="675"/>
      <c r="U11" s="664"/>
      <c r="V11" s="1348"/>
      <c r="W11" s="1348"/>
      <c r="X11" s="583"/>
      <c r="Y11" s="1348"/>
      <c r="Z11" s="1348"/>
      <c r="AA11" s="1348"/>
      <c r="AB11" s="585"/>
      <c r="AC11" s="585"/>
      <c r="AD11" s="582"/>
      <c r="AE11" s="582"/>
      <c r="AF11" s="582"/>
      <c r="AG11" s="582"/>
      <c r="AH11" s="582"/>
      <c r="AI11" s="582"/>
      <c r="AJ11" s="582"/>
      <c r="AK11" s="582"/>
      <c r="AL11" s="582"/>
      <c r="AM11" s="582"/>
      <c r="AN11" s="582"/>
      <c r="AO11" s="582"/>
      <c r="AP11" s="582"/>
      <c r="AQ11" s="582"/>
      <c r="AR11" s="582"/>
      <c r="AS11" s="582"/>
      <c r="AT11" s="582"/>
      <c r="AU11" s="582"/>
      <c r="AV11" s="582"/>
      <c r="AW11" s="582"/>
      <c r="AX11" s="582"/>
      <c r="AY11" s="582"/>
      <c r="AZ11" s="582"/>
      <c r="BA11" s="582"/>
      <c r="BB11" s="582"/>
      <c r="BC11" s="582"/>
      <c r="BD11" s="582"/>
      <c r="BE11" s="582"/>
      <c r="BF11" s="582"/>
      <c r="BG11" s="582"/>
      <c r="BH11" s="582"/>
      <c r="BI11" s="582"/>
      <c r="BJ11" s="582"/>
      <c r="BK11" s="582"/>
      <c r="BL11" s="582"/>
      <c r="BM11" s="582"/>
      <c r="BN11" s="582"/>
      <c r="BO11" s="582"/>
      <c r="BP11" s="582"/>
      <c r="BQ11" s="582"/>
      <c r="BR11" s="582"/>
      <c r="BS11" s="582"/>
      <c r="BT11" s="582"/>
      <c r="BU11" s="582"/>
      <c r="BV11" s="582"/>
      <c r="BW11" s="582"/>
      <c r="BX11" s="582"/>
      <c r="BY11" s="585"/>
      <c r="BZ11" s="585"/>
      <c r="CA11" s="585"/>
      <c r="CB11" s="585"/>
      <c r="CC11" s="585"/>
      <c r="CD11" s="585"/>
      <c r="CE11" s="585"/>
      <c r="CF11" s="585"/>
      <c r="CG11" s="585"/>
      <c r="CH11" s="585"/>
    </row>
    <row s="5337" customFormat="1" customHeight="1" ht="22.5">
      <c r="A12" s="2061"/>
      <c r="B12" s="1348"/>
      <c r="C12" s="1348"/>
      <c r="D12" s="968"/>
      <c r="E12" s="2638"/>
      <c r="F12" s="2638"/>
      <c r="G12" s="2639"/>
      <c r="H12" s="2640"/>
      <c r="I12" s="2277"/>
      <c r="J12" s="1772"/>
      <c r="K12" s="1724"/>
      <c r="L12" s="1724" t="s">
        <v>2159</v>
      </c>
      <c r="M12" s="1775"/>
      <c r="N12" s="1775"/>
      <c r="O12" s="1776"/>
      <c r="P12" s="1763"/>
      <c r="Q12" s="675"/>
      <c r="R12" s="675"/>
      <c r="S12" s="664"/>
      <c r="T12" s="675"/>
      <c r="U12" s="664"/>
      <c r="V12" s="1348"/>
      <c r="W12" s="1348"/>
      <c r="X12" s="583"/>
      <c r="Y12" s="1348"/>
      <c r="Z12" s="1348"/>
      <c r="AA12" s="1348"/>
      <c r="AB12" s="585"/>
      <c r="AC12" s="585"/>
      <c r="AD12" s="582"/>
      <c r="AE12" s="582"/>
      <c r="AF12" s="582"/>
      <c r="AG12" s="582"/>
      <c r="AH12" s="582"/>
      <c r="AI12" s="582"/>
      <c r="AJ12" s="582"/>
      <c r="AK12" s="582"/>
      <c r="AL12" s="582"/>
      <c r="AM12" s="582"/>
      <c r="AN12" s="582"/>
      <c r="AO12" s="582"/>
      <c r="AP12" s="582"/>
      <c r="AQ12" s="582"/>
      <c r="AR12" s="582"/>
      <c r="AS12" s="582"/>
      <c r="AT12" s="582"/>
      <c r="AU12" s="582"/>
      <c r="AV12" s="582"/>
      <c r="AW12" s="582"/>
      <c r="AX12" s="582"/>
      <c r="AY12" s="582"/>
      <c r="AZ12" s="582"/>
      <c r="BA12" s="582"/>
      <c r="BB12" s="582"/>
      <c r="BC12" s="582"/>
      <c r="BD12" s="582"/>
      <c r="BE12" s="582"/>
      <c r="BF12" s="582"/>
      <c r="BG12" s="582"/>
      <c r="BH12" s="582"/>
      <c r="BI12" s="582"/>
      <c r="BJ12" s="582"/>
      <c r="BK12" s="582"/>
      <c r="BL12" s="582"/>
      <c r="BM12" s="582"/>
      <c r="BN12" s="582"/>
      <c r="BO12" s="582"/>
      <c r="BP12" s="582"/>
      <c r="BQ12" s="582"/>
      <c r="BR12" s="582"/>
      <c r="BS12" s="582"/>
      <c r="BT12" s="582"/>
      <c r="BU12" s="582"/>
      <c r="BV12" s="582"/>
      <c r="BW12" s="582"/>
      <c r="BX12" s="582"/>
      <c r="BY12" s="585"/>
      <c r="BZ12" s="585"/>
      <c r="CA12" s="585"/>
      <c r="CB12" s="585"/>
      <c r="CC12" s="585"/>
      <c r="CD12" s="585"/>
      <c r="CE12" s="585"/>
      <c r="CF12" s="585"/>
      <c r="CG12" s="585"/>
      <c r="CH12" s="585"/>
    </row>
    <row s="5337" customFormat="1" customHeight="1" ht="22.5">
      <c r="A13" s="2061"/>
      <c r="B13" s="1348"/>
      <c r="C13" s="575"/>
      <c r="D13" s="968"/>
      <c r="E13" s="1769"/>
      <c r="F13" s="1772"/>
      <c r="G13" s="1724" t="s">
        <v>2153</v>
      </c>
      <c r="H13" s="1770"/>
      <c r="I13" s="1770"/>
      <c r="J13" s="321"/>
      <c r="K13" s="321"/>
      <c r="L13" s="321"/>
      <c r="M13" s="321"/>
      <c r="N13" s="321"/>
      <c r="O13" s="1771"/>
      <c r="P13" s="1764"/>
      <c r="Q13" s="675"/>
      <c r="R13" s="675"/>
      <c r="S13" s="675"/>
      <c r="T13" s="664"/>
      <c r="U13" s="675"/>
      <c r="V13" s="1348"/>
      <c r="W13" s="1348"/>
      <c r="X13" s="583"/>
      <c r="Y13" s="1348"/>
      <c r="Z13" s="1348"/>
      <c r="AA13" s="1348"/>
      <c r="AB13" s="585"/>
      <c r="AC13" s="585"/>
      <c r="AD13" s="582"/>
      <c r="AE13" s="582"/>
      <c r="AF13" s="582"/>
      <c r="AG13" s="582"/>
      <c r="AH13" s="582"/>
      <c r="AI13" s="582"/>
      <c r="AJ13" s="582"/>
      <c r="AK13" s="582"/>
      <c r="AL13" s="582"/>
      <c r="AM13" s="582"/>
      <c r="AN13" s="582"/>
      <c r="AO13" s="582"/>
      <c r="AP13" s="582"/>
      <c r="AQ13" s="582"/>
      <c r="AR13" s="582"/>
      <c r="AS13" s="582"/>
      <c r="AT13" s="582"/>
      <c r="AU13" s="582"/>
      <c r="AV13" s="582"/>
      <c r="AW13" s="582"/>
      <c r="AX13" s="582"/>
      <c r="AY13" s="582"/>
      <c r="AZ13" s="582"/>
      <c r="BA13" s="582"/>
      <c r="BB13" s="582"/>
      <c r="BC13" s="582"/>
      <c r="BD13" s="582"/>
      <c r="BE13" s="582"/>
      <c r="BF13" s="582"/>
      <c r="BG13" s="582"/>
      <c r="BH13" s="582"/>
      <c r="BI13" s="582"/>
      <c r="BJ13" s="582"/>
      <c r="BK13" s="582"/>
      <c r="BL13" s="582"/>
      <c r="BM13" s="582"/>
      <c r="BN13" s="582"/>
      <c r="BO13" s="582"/>
      <c r="BP13" s="582"/>
      <c r="BQ13" s="582"/>
      <c r="BR13" s="582"/>
      <c r="BS13" s="582"/>
      <c r="BT13" s="582"/>
      <c r="BU13" s="582"/>
      <c r="BV13" s="582"/>
      <c r="BW13" s="582"/>
      <c r="BX13" s="582"/>
      <c r="BY13" s="585"/>
      <c r="BZ13" s="585"/>
      <c r="CA13" s="585"/>
      <c r="CB13" s="585"/>
      <c r="CC13" s="585"/>
      <c r="CD13" s="585"/>
      <c r="CE13" s="585"/>
      <c r="CF13" s="585"/>
      <c r="CG13" s="585"/>
      <c r="CH13" s="585"/>
    </row>
    <row s="5328" customFormat="1" customHeight="1" ht="21">
      <c r="A14" s="1343"/>
      <c r="B14" s="1348"/>
      <c r="C14" s="1343"/>
      <c r="D14" s="615"/>
      <c r="E14" s="315"/>
      <c r="F14" s="315"/>
      <c r="G14" s="315"/>
      <c r="H14" s="315"/>
      <c r="I14" s="315"/>
      <c r="J14" s="315"/>
      <c r="K14" s="315"/>
      <c r="L14" s="315"/>
      <c r="M14" s="315"/>
      <c r="N14" s="673"/>
      <c r="O14" s="673"/>
      <c r="P14" s="664"/>
      <c r="Q14" s="664"/>
      <c r="R14" s="664"/>
      <c r="S14" s="664"/>
      <c r="T14" s="361"/>
      <c r="U14" s="664"/>
      <c r="V14" s="360"/>
      <c r="W14" s="360"/>
      <c r="X14" s="360"/>
      <c r="Y14" s="360"/>
    </row>
    <row s="5328" customFormat="1" customHeight="1" ht="14.25">
      <c r="A15" s="1343"/>
      <c r="B15" s="1348"/>
      <c r="C15" s="1343"/>
      <c r="D15" s="615"/>
      <c r="E15" s="1343"/>
      <c r="F15" s="1343"/>
      <c r="G15" s="1343"/>
      <c r="H15" s="1343"/>
      <c r="I15" s="1343"/>
      <c r="J15" s="1343"/>
      <c r="K15" s="1343"/>
      <c r="L15" s="1343"/>
      <c r="M15" s="1343"/>
      <c r="N15" s="1343"/>
      <c r="O15" s="1343"/>
      <c r="P15" s="664"/>
      <c r="Q15" s="664"/>
      <c r="R15" s="664"/>
      <c r="S15" s="664"/>
      <c r="T15" s="361"/>
      <c r="U15" s="664"/>
      <c r="V15" s="360"/>
      <c r="W15" s="360"/>
      <c r="X15" s="360"/>
      <c r="Y15" s="360"/>
    </row>
    <row s="5328" customFormat="1" customHeight="1" ht="0.75">
      <c r="A16" s="1343"/>
      <c r="B16" s="1348"/>
      <c r="C16" s="1343"/>
      <c r="D16" s="615"/>
      <c r="E16" s="1343"/>
      <c r="F16" s="1343"/>
      <c r="G16" s="1343"/>
      <c r="H16" s="1343"/>
      <c r="I16" s="1343"/>
      <c r="J16" s="1343"/>
      <c r="K16" s="1343"/>
      <c r="L16" s="1343"/>
      <c r="M16" s="1343"/>
      <c r="N16" s="1343"/>
      <c r="O16" s="1343"/>
      <c r="P16" s="664"/>
      <c r="Q16" s="664"/>
      <c r="R16" s="664"/>
      <c r="S16" s="664"/>
      <c r="T16" s="361"/>
      <c r="U16" s="664"/>
      <c r="V16" s="360"/>
      <c r="W16" s="360"/>
      <c r="X16" s="360"/>
      <c r="Y16" s="360"/>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2650914-27F4-E641-87DD-3D552EA0E2D7}" mc:Ignorable="x14ac xr xr2 xr3">
  <sheetPr>
    <tabColor rgb="FFCCCCFF"/>
    <pageSetUpPr fitToPage="1"/>
  </sheetPr>
  <dimension ref="A1:L12"/>
  <sheetViews>
    <sheetView topLeftCell="C6" showGridLines="0" zoomScale="90" workbookViewId="0">
      <selection activeCell="A1" sqref="A1"/>
    </sheetView>
  </sheetViews>
  <sheetFormatPr defaultColWidth="9.140625" customHeight="1" defaultRowHeight="14.25"/>
  <cols>
    <col min="1" max="2" style="6053" width="9.140625" hidden="1"/>
    <col min="3" max="3" style="7555" width="3.7109375" customWidth="1"/>
    <col min="4" max="4" style="6053" width="6.28125" customWidth="1"/>
    <col min="5" max="5" style="6053" width="94.8515625" customWidth="1"/>
    <col min="6" max="12" style="6053" width="9.140625"/>
  </cols>
  <sheetData>
    <row customHeight="1" ht="14.25" hidden="1">
      <c r="L1" s="399"/>
    </row>
    <row customHeight="1" ht="14.25" hidden="1"/>
    <row customHeight="1" ht="14.25" hidden="1"/>
    <row customHeight="1" ht="14.25" hidden="1"/>
    <row customHeight="1" ht="14.25" hidden="1"/>
    <row customHeight="1" ht="3">
      <c r="C6" s="222"/>
      <c r="D6" s="198"/>
      <c r="E6" s="198"/>
    </row>
    <row customHeight="1" ht="22.5">
      <c r="C7" s="222"/>
      <c r="D7" s="2062" t="s">
        <v>2171</v>
      </c>
      <c r="E7" s="2062"/>
      <c r="F7" s="402"/>
    </row>
    <row customHeight="1" ht="3">
      <c r="C8" s="222"/>
      <c r="D8" s="198"/>
      <c r="E8" s="198"/>
    </row>
    <row customHeight="1" ht="15.75">
      <c r="C9" s="222"/>
      <c r="D9" s="237" t="s">
        <v>87</v>
      </c>
      <c r="E9" s="240" t="s">
        <v>287</v>
      </c>
    </row>
    <row customHeight="1" ht="12">
      <c r="C10" s="222"/>
      <c r="D10" s="216" t="s">
        <v>118</v>
      </c>
      <c r="E10" s="216" t="s">
        <v>102</v>
      </c>
    </row>
    <row customHeight="1" ht="15" hidden="1">
      <c r="C11" s="222"/>
      <c r="D11" s="245">
        <v>0</v>
      </c>
      <c r="E11" s="282"/>
    </row>
    <row customHeight="1" ht="14.25">
      <c r="C12" s="222"/>
      <c r="D12" s="241"/>
      <c r="E12" s="239" t="s">
        <v>2130</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96C12D8-6C28-2749-7BC2-A81923EC3804}"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7639" width="1.7109375" customWidth="1"/>
    <col min="2" max="2" style="7639" width="34.57421875" customWidth="1"/>
    <col min="3" max="3" style="7639" width="85.57421875" customWidth="1"/>
    <col min="4" max="4" style="7639" width="17.7109375" customWidth="1"/>
    <col min="5" max="5" style="7639" width="9.140625"/>
  </cols>
  <sheetData>
    <row customHeight="1" ht="3"/>
    <row customHeight="1" ht="22.5">
      <c r="B2" s="2649" t="s">
        <v>2172</v>
      </c>
      <c r="C2" s="2649"/>
      <c r="D2" s="2649"/>
      <c r="E2" s="403"/>
    </row>
    <row customHeight="1" ht="3"/>
    <row customHeight="1" ht="21.75">
      <c r="B4" s="541" t="s">
        <v>2173</v>
      </c>
      <c r="C4" s="541" t="s">
        <v>2174</v>
      </c>
      <c r="D4" s="541" t="s">
        <v>2175</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4539F4-BBF8-59CE-B663-7DB5C3EB5CB5}"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194"/>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C16D37-9AE7-7B52-FE98-9D993B741BDD}" mc:Ignorable="x14ac xr xr2 xr3">
  <dimension ref="A1:E8"/>
  <sheetViews>
    <sheetView topLeftCell="A1" showGridLines="0" workbookViewId="0">
      <selection activeCell="A1" sqref="A1"/>
    </sheetView>
  </sheetViews>
  <sheetFormatPr customHeight="1" defaultRowHeight="11.25"/>
  <cols>
    <col min="1" max="1" style="5366" width="10.57421875" customWidth="1"/>
    <col min="2" max="2" style="5366" width="8.7109375" customWidth="1"/>
    <col min="3" max="3" style="5366" width="18.140625" customWidth="1"/>
    <col min="4" max="4" style="5366" width="12.57421875" customWidth="1"/>
  </cols>
  <sheetData>
    <row customHeight="1" ht="11.25">
      <c r="A1" s="919" t="s">
        <v>2176</v>
      </c>
      <c r="B1" s="930" t="s">
        <v>2177</v>
      </c>
      <c r="C1" s="2650" t="s">
        <v>2178</v>
      </c>
      <c r="D1" s="2651"/>
      <c r="E1" s="1008" t="s">
        <v>2179</v>
      </c>
    </row>
    <row customHeight="1" ht="11.25">
      <c r="A2" s="923"/>
      <c r="B2" s="931" t="s">
        <v>22</v>
      </c>
      <c r="C2" s="919"/>
      <c r="D2" s="930"/>
      <c r="E2" s="1008"/>
    </row>
    <row customHeight="1" ht="11.25">
      <c r="A3" s="934"/>
      <c r="B3" s="932" t="s">
        <v>28</v>
      </c>
      <c r="C3" s="919"/>
      <c r="D3" s="930"/>
      <c r="E3" s="1008"/>
    </row>
    <row customHeight="1" ht="11.25">
      <c r="A4" s="935"/>
      <c r="B4" s="932" t="s">
        <v>725</v>
      </c>
      <c r="C4" s="919"/>
      <c r="D4" s="930"/>
      <c r="E4" s="1008"/>
    </row>
    <row customHeight="1" ht="11.25">
      <c r="A5" s="948"/>
      <c r="B5" s="932" t="s">
        <v>500</v>
      </c>
      <c r="C5" s="922" t="s">
        <v>462</v>
      </c>
      <c r="D5" s="1054" t="s">
        <v>2180</v>
      </c>
      <c r="E5" s="1008"/>
    </row>
    <row s="6050" customFormat="1" customHeight="1" ht="11.25">
      <c r="A6" s="933"/>
      <c r="B6" s="932" t="s">
        <v>732</v>
      </c>
      <c r="C6" s="919"/>
      <c r="D6" s="930"/>
      <c r="E6" s="1008"/>
    </row>
    <row customHeight="1" ht="11.25">
      <c r="A7" s="921"/>
      <c r="B7" s="932" t="s">
        <v>734</v>
      </c>
      <c r="C7" s="919"/>
      <c r="D7" s="930"/>
      <c r="E7" s="1008"/>
    </row>
    <row customHeight="1" ht="11.25">
      <c r="A8" s="922"/>
      <c r="B8" s="932" t="s">
        <v>733</v>
      </c>
      <c r="C8" s="919"/>
      <c r="D8" s="930"/>
      <c r="E8" s="100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885CBB3-8077-D865-48C3-1E25EB5CE7C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357801F-681B-12D1-4D66-A7F3E4BA801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8F1D4C-BB48-817E-D501-674999F3B641}" mc:Ignorable="x14ac xr xr2 xr3">
  <sheetPr>
    <tabColor rgb="FFFFCC99"/>
  </sheetPr>
  <dimension ref="A1:N1411"/>
  <sheetViews>
    <sheetView topLeftCell="A1" showGridLines="0" workbookViewId="0">
      <selection activeCell="A1" sqref="A1"/>
    </sheetView>
  </sheetViews>
  <sheetFormatPr defaultColWidth="9.140625" customHeight="1" defaultRowHeight="11.25"/>
  <cols>
    <col min="1" max="2" style="7658" width="9.140625"/>
    <col min="3" max="3" style="7658" width="20.7109375" customWidth="1"/>
    <col min="4" max="4" style="7658" width="25.140625" customWidth="1"/>
    <col min="5" max="9" style="7658" width="9.140625"/>
  </cols>
  <sheetData>
    <row customHeight="1" ht="11.25">
      <c r="A1" s="196" t="s">
        <v>2181</v>
      </c>
      <c r="B1" s="196" t="s">
        <v>2182</v>
      </c>
      <c r="C1" s="196" t="s">
        <v>2183</v>
      </c>
      <c r="D1" s="196" t="s">
        <v>2184</v>
      </c>
      <c r="E1" s="196" t="s">
        <v>2185</v>
      </c>
      <c r="F1" s="196" t="s">
        <v>2186</v>
      </c>
      <c r="G1" s="196" t="s">
        <v>2187</v>
      </c>
      <c r="H1" s="196" t="s">
        <v>2188</v>
      </c>
      <c r="I1" s="196" t="s">
        <v>2189</v>
      </c>
      <c r="J1" s="0" t="s">
        <v>2190</v>
      </c>
      <c r="K1" s="0" t="s">
        <v>2191</v>
      </c>
      <c r="L1" s="0" t="s">
        <v>2192</v>
      </c>
      <c r="M1" s="0" t="s">
        <v>2193</v>
      </c>
      <c r="N1" s="0" t="s">
        <v>2194</v>
      </c>
    </row>
    <row customHeight="1" ht="11.25">
      <c r="A2" s="7657" t="s">
        <v>2195</v>
      </c>
      <c r="B2" s="7657" t="s">
        <v>14</v>
      </c>
      <c r="C2" s="7657" t="s">
        <v>2196</v>
      </c>
      <c r="D2" s="7657" t="s">
        <v>2197</v>
      </c>
      <c r="E2" s="7657" t="s">
        <v>2198</v>
      </c>
      <c r="F2" s="7657" t="s">
        <v>2199</v>
      </c>
      <c r="G2" s="7657" t="s">
        <v>17</v>
      </c>
      <c r="H2" s="7657" t="s">
        <v>17</v>
      </c>
      <c r="I2" s="7657" t="s">
        <v>2200</v>
      </c>
      <c r="J2" s="0" t="s">
        <v>17</v>
      </c>
      <c r="K2" s="0" t="s">
        <v>878</v>
      </c>
      <c r="L2" s="0" t="s">
        <v>2201</v>
      </c>
      <c r="M2" s="0" t="s">
        <v>2202</v>
      </c>
      <c r="N2" s="0" t="s">
        <v>400</v>
      </c>
    </row>
    <row customHeight="1" ht="11.25">
      <c r="A3" s="7657" t="s">
        <v>2195</v>
      </c>
      <c r="B3" s="7657" t="s">
        <v>14</v>
      </c>
      <c r="C3" s="7657" t="s">
        <v>2203</v>
      </c>
      <c r="D3" s="7657" t="s">
        <v>2204</v>
      </c>
      <c r="E3" s="7657" t="s">
        <v>2205</v>
      </c>
      <c r="F3" s="7657" t="s">
        <v>2206</v>
      </c>
      <c r="G3" s="7657" t="s">
        <v>2207</v>
      </c>
      <c r="H3" s="7657" t="s">
        <v>17</v>
      </c>
      <c r="I3" s="7657" t="s">
        <v>2208</v>
      </c>
      <c r="J3" s="0" t="s">
        <v>17</v>
      </c>
      <c r="K3" s="0" t="s">
        <v>878</v>
      </c>
      <c r="L3" s="0" t="s">
        <v>2201</v>
      </c>
      <c r="M3" s="0" t="s">
        <v>2202</v>
      </c>
      <c r="N3" s="0" t="s">
        <v>400</v>
      </c>
    </row>
    <row customHeight="1" ht="11.25">
      <c r="A4" s="7657" t="s">
        <v>2195</v>
      </c>
      <c r="B4" s="7657" t="s">
        <v>14</v>
      </c>
      <c r="C4" s="7657" t="s">
        <v>2209</v>
      </c>
      <c r="D4" s="7657" t="s">
        <v>2210</v>
      </c>
      <c r="E4" s="7657" t="s">
        <v>2211</v>
      </c>
      <c r="F4" s="7657" t="s">
        <v>2212</v>
      </c>
      <c r="G4" s="7657" t="s">
        <v>2213</v>
      </c>
      <c r="H4" s="7657" t="s">
        <v>17</v>
      </c>
      <c r="I4" s="7657" t="s">
        <v>2213</v>
      </c>
      <c r="J4" s="0" t="s">
        <v>17</v>
      </c>
      <c r="K4" s="0" t="s">
        <v>878</v>
      </c>
      <c r="L4" s="0" t="s">
        <v>2201</v>
      </c>
      <c r="M4" s="0" t="s">
        <v>2202</v>
      </c>
      <c r="N4" s="0" t="s">
        <v>400</v>
      </c>
    </row>
    <row customHeight="1" ht="11.25">
      <c r="A5" s="7657" t="s">
        <v>2195</v>
      </c>
      <c r="B5" s="7657" t="s">
        <v>14</v>
      </c>
      <c r="C5" s="7657" t="s">
        <v>2214</v>
      </c>
      <c r="D5" s="7657" t="s">
        <v>2215</v>
      </c>
      <c r="E5" s="7657" t="s">
        <v>2216</v>
      </c>
      <c r="F5" s="7657" t="s">
        <v>2217</v>
      </c>
      <c r="G5" s="7657" t="s">
        <v>2218</v>
      </c>
      <c r="H5" s="7657" t="s">
        <v>17</v>
      </c>
      <c r="I5" s="7657" t="s">
        <v>2218</v>
      </c>
      <c r="J5" s="0" t="s">
        <v>17</v>
      </c>
      <c r="K5" s="0" t="s">
        <v>878</v>
      </c>
      <c r="L5" s="0" t="s">
        <v>2201</v>
      </c>
      <c r="M5" s="0" t="s">
        <v>2202</v>
      </c>
      <c r="N5" s="0" t="s">
        <v>400</v>
      </c>
    </row>
    <row customHeight="1" ht="11.25">
      <c r="A6" s="7657" t="s">
        <v>2195</v>
      </c>
      <c r="B6" s="7657" t="s">
        <v>14</v>
      </c>
      <c r="C6" s="7657" t="s">
        <v>2219</v>
      </c>
      <c r="D6" s="7657" t="s">
        <v>2220</v>
      </c>
      <c r="E6" s="7657" t="s">
        <v>2221</v>
      </c>
      <c r="F6" s="7657" t="s">
        <v>2222</v>
      </c>
      <c r="G6" s="7657" t="s">
        <v>17</v>
      </c>
      <c r="H6" s="7657" t="s">
        <v>17</v>
      </c>
      <c r="I6" s="7657" t="s">
        <v>2223</v>
      </c>
      <c r="J6" s="0" t="s">
        <v>17</v>
      </c>
      <c r="K6" s="0" t="s">
        <v>878</v>
      </c>
      <c r="L6" s="0" t="s">
        <v>2201</v>
      </c>
      <c r="M6" s="0" t="s">
        <v>2202</v>
      </c>
      <c r="N6" s="0" t="s">
        <v>400</v>
      </c>
    </row>
    <row customHeight="1" ht="11.25">
      <c r="A7" s="7657" t="s">
        <v>2195</v>
      </c>
      <c r="B7" s="7657" t="s">
        <v>14</v>
      </c>
      <c r="C7" s="7657" t="s">
        <v>2224</v>
      </c>
      <c r="D7" s="7657" t="s">
        <v>2225</v>
      </c>
      <c r="E7" s="7657" t="s">
        <v>2226</v>
      </c>
      <c r="F7" s="7657" t="s">
        <v>2227</v>
      </c>
      <c r="G7" s="7657" t="s">
        <v>17</v>
      </c>
      <c r="H7" s="7657" t="s">
        <v>17</v>
      </c>
      <c r="I7" s="7657" t="s">
        <v>2228</v>
      </c>
      <c r="J7" s="0" t="s">
        <v>17</v>
      </c>
      <c r="K7" s="0" t="s">
        <v>878</v>
      </c>
      <c r="L7" s="0" t="s">
        <v>2201</v>
      </c>
      <c r="M7" s="0" t="s">
        <v>2202</v>
      </c>
      <c r="N7" s="0" t="s">
        <v>400</v>
      </c>
    </row>
    <row customHeight="1" ht="11.25">
      <c r="A8" s="7657" t="s">
        <v>2195</v>
      </c>
      <c r="B8" s="7657" t="s">
        <v>14</v>
      </c>
      <c r="C8" s="7657" t="s">
        <v>2229</v>
      </c>
      <c r="D8" s="7657" t="s">
        <v>2230</v>
      </c>
      <c r="E8" s="7657" t="s">
        <v>2231</v>
      </c>
      <c r="F8" s="7657" t="s">
        <v>2232</v>
      </c>
      <c r="G8" s="7657" t="s">
        <v>17</v>
      </c>
      <c r="H8" s="7657" t="s">
        <v>17</v>
      </c>
      <c r="I8" s="7657" t="s">
        <v>2233</v>
      </c>
      <c r="J8" s="0" t="s">
        <v>17</v>
      </c>
      <c r="K8" s="0" t="s">
        <v>938</v>
      </c>
      <c r="L8" s="0" t="s">
        <v>2234</v>
      </c>
      <c r="M8" s="0" t="s">
        <v>2235</v>
      </c>
      <c r="N8" s="0" t="s">
        <v>400</v>
      </c>
    </row>
    <row customHeight="1" ht="11.25">
      <c r="A9" s="7657" t="s">
        <v>2195</v>
      </c>
      <c r="B9" s="7657" t="s">
        <v>14</v>
      </c>
      <c r="C9" s="7657" t="s">
        <v>2236</v>
      </c>
      <c r="D9" s="7657" t="s">
        <v>2237</v>
      </c>
      <c r="E9" s="7657" t="s">
        <v>2238</v>
      </c>
      <c r="F9" s="7657" t="s">
        <v>2239</v>
      </c>
      <c r="G9" s="7657" t="s">
        <v>17</v>
      </c>
      <c r="H9" s="7657" t="s">
        <v>17</v>
      </c>
      <c r="I9" s="7657" t="s">
        <v>2240</v>
      </c>
      <c r="J9" s="0" t="s">
        <v>17</v>
      </c>
      <c r="K9" s="0" t="s">
        <v>878</v>
      </c>
      <c r="L9" s="0" t="s">
        <v>2201</v>
      </c>
      <c r="M9" s="0" t="s">
        <v>2202</v>
      </c>
      <c r="N9" s="0" t="s">
        <v>400</v>
      </c>
    </row>
    <row customHeight="1" ht="11.25">
      <c r="A10" s="7657" t="s">
        <v>2195</v>
      </c>
      <c r="B10" s="7657" t="s">
        <v>14</v>
      </c>
      <c r="C10" s="7657" t="s">
        <v>2241</v>
      </c>
      <c r="D10" s="7657" t="s">
        <v>2242</v>
      </c>
      <c r="E10" s="7657" t="s">
        <v>2243</v>
      </c>
      <c r="F10" s="7657" t="s">
        <v>2244</v>
      </c>
      <c r="G10" s="7657" t="s">
        <v>17</v>
      </c>
      <c r="H10" s="7657" t="s">
        <v>17</v>
      </c>
      <c r="I10" s="7657" t="s">
        <v>2245</v>
      </c>
      <c r="J10" s="0" t="s">
        <v>17</v>
      </c>
      <c r="K10" s="0" t="s">
        <v>878</v>
      </c>
      <c r="L10" s="0" t="s">
        <v>2201</v>
      </c>
      <c r="M10" s="0" t="s">
        <v>2202</v>
      </c>
      <c r="N10" s="0" t="s">
        <v>400</v>
      </c>
    </row>
    <row customHeight="1" ht="11.25">
      <c r="A11" s="7657" t="s">
        <v>2195</v>
      </c>
      <c r="B11" s="7657" t="s">
        <v>14</v>
      </c>
      <c r="C11" s="7657" t="s">
        <v>2241</v>
      </c>
      <c r="D11" s="7657" t="s">
        <v>2242</v>
      </c>
      <c r="E11" s="7657" t="s">
        <v>2243</v>
      </c>
      <c r="F11" s="7657" t="s">
        <v>2244</v>
      </c>
      <c r="G11" s="7657" t="s">
        <v>17</v>
      </c>
      <c r="H11" s="7657" t="s">
        <v>17</v>
      </c>
      <c r="I11" s="7657" t="s">
        <v>2246</v>
      </c>
      <c r="J11" s="0" t="s">
        <v>17</v>
      </c>
      <c r="K11" s="0" t="s">
        <v>878</v>
      </c>
      <c r="L11" s="0" t="s">
        <v>2201</v>
      </c>
      <c r="M11" s="0" t="s">
        <v>2202</v>
      </c>
      <c r="N11" s="0" t="s">
        <v>400</v>
      </c>
    </row>
    <row customHeight="1" ht="11.25">
      <c r="A12" s="7657" t="s">
        <v>2195</v>
      </c>
      <c r="B12" s="7657" t="s">
        <v>14</v>
      </c>
      <c r="C12" s="7657" t="s">
        <v>2241</v>
      </c>
      <c r="D12" s="7657" t="s">
        <v>2242</v>
      </c>
      <c r="E12" s="7657" t="s">
        <v>2243</v>
      </c>
      <c r="F12" s="7657" t="s">
        <v>2244</v>
      </c>
      <c r="G12" s="7657" t="s">
        <v>17</v>
      </c>
      <c r="H12" s="7657" t="s">
        <v>17</v>
      </c>
      <c r="I12" s="7657" t="s">
        <v>2247</v>
      </c>
      <c r="J12" s="0" t="s">
        <v>17</v>
      </c>
      <c r="K12" s="0" t="s">
        <v>878</v>
      </c>
      <c r="L12" s="0" t="s">
        <v>2201</v>
      </c>
      <c r="M12" s="0" t="s">
        <v>2202</v>
      </c>
      <c r="N12" s="0" t="s">
        <v>400</v>
      </c>
    </row>
    <row customHeight="1" ht="11.25">
      <c r="A13" s="7657" t="s">
        <v>2195</v>
      </c>
      <c r="B13" s="7657" t="s">
        <v>14</v>
      </c>
      <c r="C13" s="7657" t="s">
        <v>2248</v>
      </c>
      <c r="D13" s="7657" t="s">
        <v>2249</v>
      </c>
      <c r="E13" s="7657" t="s">
        <v>2250</v>
      </c>
      <c r="F13" s="7657" t="s">
        <v>2227</v>
      </c>
      <c r="G13" s="7657" t="s">
        <v>17</v>
      </c>
      <c r="H13" s="7657" t="s">
        <v>17</v>
      </c>
      <c r="I13" s="7657" t="s">
        <v>2228</v>
      </c>
      <c r="J13" s="0" t="s">
        <v>17</v>
      </c>
      <c r="K13" s="0" t="s">
        <v>878</v>
      </c>
      <c r="L13" s="0" t="s">
        <v>2201</v>
      </c>
      <c r="M13" s="0" t="s">
        <v>2202</v>
      </c>
      <c r="N13" s="0" t="s">
        <v>400</v>
      </c>
    </row>
    <row customHeight="1" ht="11.25">
      <c r="A14" s="7657" t="s">
        <v>2195</v>
      </c>
      <c r="B14" s="7657" t="s">
        <v>14</v>
      </c>
      <c r="C14" s="7657" t="s">
        <v>2251</v>
      </c>
      <c r="D14" s="7657" t="s">
        <v>2252</v>
      </c>
      <c r="E14" s="7657" t="s">
        <v>2253</v>
      </c>
      <c r="F14" s="7657" t="s">
        <v>2254</v>
      </c>
      <c r="G14" s="7657" t="s">
        <v>2255</v>
      </c>
      <c r="H14" s="7657" t="s">
        <v>17</v>
      </c>
      <c r="I14" s="7657" t="s">
        <v>2228</v>
      </c>
      <c r="J14" s="0" t="s">
        <v>17</v>
      </c>
      <c r="K14" s="0" t="s">
        <v>878</v>
      </c>
      <c r="L14" s="0" t="s">
        <v>2201</v>
      </c>
      <c r="M14" s="0" t="s">
        <v>2202</v>
      </c>
      <c r="N14" s="0" t="s">
        <v>400</v>
      </c>
    </row>
    <row customHeight="1" ht="11.25">
      <c r="A15" s="7657" t="s">
        <v>2195</v>
      </c>
      <c r="B15" s="7657" t="s">
        <v>14</v>
      </c>
      <c r="C15" s="7657" t="s">
        <v>2256</v>
      </c>
      <c r="D15" s="7657" t="s">
        <v>2257</v>
      </c>
      <c r="E15" s="7657" t="s">
        <v>2258</v>
      </c>
      <c r="F15" s="7657" t="s">
        <v>2217</v>
      </c>
      <c r="G15" s="7657" t="s">
        <v>17</v>
      </c>
      <c r="H15" s="7657" t="s">
        <v>17</v>
      </c>
      <c r="I15" s="7657" t="s">
        <v>2259</v>
      </c>
      <c r="J15" s="0" t="s">
        <v>17</v>
      </c>
      <c r="K15" s="0" t="s">
        <v>878</v>
      </c>
      <c r="L15" s="0" t="s">
        <v>2201</v>
      </c>
      <c r="M15" s="0" t="s">
        <v>2202</v>
      </c>
      <c r="N15" s="0" t="s">
        <v>400</v>
      </c>
    </row>
    <row customHeight="1" ht="11.25">
      <c r="A16" s="7657" t="s">
        <v>2195</v>
      </c>
      <c r="B16" s="7657" t="s">
        <v>14</v>
      </c>
      <c r="C16" s="7657" t="s">
        <v>2260</v>
      </c>
      <c r="D16" s="7657" t="s">
        <v>2261</v>
      </c>
      <c r="E16" s="7657" t="s">
        <v>2262</v>
      </c>
      <c r="F16" s="7657" t="s">
        <v>2263</v>
      </c>
      <c r="G16" s="7657" t="s">
        <v>2223</v>
      </c>
      <c r="H16" s="7657" t="s">
        <v>17</v>
      </c>
      <c r="I16" s="7657" t="s">
        <v>2223</v>
      </c>
      <c r="J16" s="0" t="s">
        <v>17</v>
      </c>
      <c r="K16" s="0" t="s">
        <v>878</v>
      </c>
      <c r="L16" s="0" t="s">
        <v>2201</v>
      </c>
      <c r="M16" s="0" t="s">
        <v>2202</v>
      </c>
      <c r="N16" s="0" t="s">
        <v>400</v>
      </c>
    </row>
    <row customHeight="1" ht="11.25">
      <c r="A17" s="7657" t="s">
        <v>2195</v>
      </c>
      <c r="B17" s="7657" t="s">
        <v>14</v>
      </c>
      <c r="C17" s="7657" t="s">
        <v>2264</v>
      </c>
      <c r="D17" s="7657" t="s">
        <v>2265</v>
      </c>
      <c r="E17" s="7657" t="s">
        <v>2266</v>
      </c>
      <c r="F17" s="7657" t="s">
        <v>2267</v>
      </c>
      <c r="G17" s="7657" t="s">
        <v>17</v>
      </c>
      <c r="H17" s="7657" t="s">
        <v>17</v>
      </c>
      <c r="I17" s="7657" t="s">
        <v>2228</v>
      </c>
      <c r="J17" s="0" t="s">
        <v>17</v>
      </c>
      <c r="K17" s="0" t="s">
        <v>878</v>
      </c>
      <c r="L17" s="0" t="s">
        <v>2201</v>
      </c>
      <c r="M17" s="0" t="s">
        <v>2202</v>
      </c>
      <c r="N17" s="0" t="s">
        <v>400</v>
      </c>
    </row>
    <row customHeight="1" ht="11.25">
      <c r="A18" s="7657" t="s">
        <v>2195</v>
      </c>
      <c r="B18" s="7657" t="s">
        <v>14</v>
      </c>
      <c r="C18" s="7657" t="s">
        <v>2268</v>
      </c>
      <c r="D18" s="7657" t="s">
        <v>2269</v>
      </c>
      <c r="E18" s="7657" t="s">
        <v>2270</v>
      </c>
      <c r="F18" s="7657" t="s">
        <v>2267</v>
      </c>
      <c r="G18" s="7657" t="s">
        <v>17</v>
      </c>
      <c r="H18" s="7657" t="s">
        <v>17</v>
      </c>
      <c r="I18" s="7657" t="s">
        <v>2271</v>
      </c>
      <c r="J18" s="0" t="s">
        <v>17</v>
      </c>
      <c r="K18" s="0" t="s">
        <v>878</v>
      </c>
      <c r="L18" s="0" t="s">
        <v>2201</v>
      </c>
      <c r="M18" s="0" t="s">
        <v>2202</v>
      </c>
      <c r="N18" s="0" t="s">
        <v>400</v>
      </c>
    </row>
    <row customHeight="1" ht="11.25">
      <c r="A19" s="7657" t="s">
        <v>2195</v>
      </c>
      <c r="B19" s="7657" t="s">
        <v>14</v>
      </c>
      <c r="C19" s="7657" t="s">
        <v>2272</v>
      </c>
      <c r="D19" s="7657" t="s">
        <v>2273</v>
      </c>
      <c r="E19" s="7657" t="s">
        <v>2274</v>
      </c>
      <c r="F19" s="7657" t="s">
        <v>2222</v>
      </c>
      <c r="G19" s="7657" t="s">
        <v>2275</v>
      </c>
      <c r="H19" s="7657" t="s">
        <v>17</v>
      </c>
      <c r="I19" s="7657" t="s">
        <v>2275</v>
      </c>
      <c r="J19" s="0" t="s">
        <v>17</v>
      </c>
      <c r="K19" s="0" t="s">
        <v>878</v>
      </c>
      <c r="L19" s="0" t="s">
        <v>2201</v>
      </c>
      <c r="M19" s="0" t="s">
        <v>2202</v>
      </c>
      <c r="N19" s="0" t="s">
        <v>400</v>
      </c>
    </row>
    <row customHeight="1" ht="11.25">
      <c r="A20" s="7657" t="s">
        <v>2195</v>
      </c>
      <c r="B20" s="7657" t="s">
        <v>14</v>
      </c>
      <c r="C20" s="7657" t="s">
        <v>2276</v>
      </c>
      <c r="D20" s="7657" t="s">
        <v>2277</v>
      </c>
      <c r="E20" s="7657" t="s">
        <v>2278</v>
      </c>
      <c r="F20" s="7657" t="s">
        <v>2279</v>
      </c>
      <c r="G20" s="7657" t="s">
        <v>17</v>
      </c>
      <c r="H20" s="7657" t="s">
        <v>17</v>
      </c>
      <c r="I20" s="7657" t="s">
        <v>2228</v>
      </c>
      <c r="J20" s="0" t="s">
        <v>17</v>
      </c>
      <c r="K20" s="0" t="s">
        <v>878</v>
      </c>
      <c r="L20" s="0" t="s">
        <v>2201</v>
      </c>
      <c r="M20" s="0" t="s">
        <v>2202</v>
      </c>
      <c r="N20" s="0" t="s">
        <v>400</v>
      </c>
    </row>
    <row customHeight="1" ht="11.25">
      <c r="A21" s="7657" t="s">
        <v>2195</v>
      </c>
      <c r="B21" s="7657" t="s">
        <v>14</v>
      </c>
      <c r="C21" s="7657" t="s">
        <v>2280</v>
      </c>
      <c r="D21" s="7657" t="s">
        <v>2281</v>
      </c>
      <c r="E21" s="7657" t="s">
        <v>2282</v>
      </c>
      <c r="F21" s="7657" t="s">
        <v>2267</v>
      </c>
      <c r="G21" s="7657" t="s">
        <v>17</v>
      </c>
      <c r="H21" s="7657" t="s">
        <v>17</v>
      </c>
      <c r="I21" s="7657" t="s">
        <v>2228</v>
      </c>
      <c r="J21" s="0" t="s">
        <v>17</v>
      </c>
      <c r="K21" s="0" t="s">
        <v>878</v>
      </c>
      <c r="L21" s="0" t="s">
        <v>2201</v>
      </c>
      <c r="M21" s="0" t="s">
        <v>2202</v>
      </c>
      <c r="N21" s="0" t="s">
        <v>400</v>
      </c>
    </row>
    <row customHeight="1" ht="11.25">
      <c r="A22" s="7657" t="s">
        <v>2195</v>
      </c>
      <c r="B22" s="7657" t="s">
        <v>14</v>
      </c>
      <c r="C22" s="7657" t="s">
        <v>2283</v>
      </c>
      <c r="D22" s="7657" t="s">
        <v>2284</v>
      </c>
      <c r="E22" s="7657" t="s">
        <v>2285</v>
      </c>
      <c r="F22" s="7657" t="s">
        <v>2286</v>
      </c>
      <c r="G22" s="7657" t="s">
        <v>17</v>
      </c>
      <c r="H22" s="7657" t="s">
        <v>17</v>
      </c>
      <c r="I22" s="7657" t="s">
        <v>2287</v>
      </c>
      <c r="J22" s="0" t="s">
        <v>17</v>
      </c>
      <c r="K22" s="0" t="s">
        <v>782</v>
      </c>
      <c r="L22" s="0" t="s">
        <v>2288</v>
      </c>
      <c r="M22" s="0" t="s">
        <v>2289</v>
      </c>
      <c r="N22" s="0" t="s">
        <v>400</v>
      </c>
    </row>
    <row customHeight="1" ht="11.25">
      <c r="A23" s="7657" t="s">
        <v>2195</v>
      </c>
      <c r="B23" s="7657" t="s">
        <v>14</v>
      </c>
      <c r="C23" s="7657" t="s">
        <v>2283</v>
      </c>
      <c r="D23" s="7657" t="s">
        <v>2284</v>
      </c>
      <c r="E23" s="7657" t="s">
        <v>2285</v>
      </c>
      <c r="F23" s="7657" t="s">
        <v>2286</v>
      </c>
      <c r="G23" s="7657" t="s">
        <v>17</v>
      </c>
      <c r="H23" s="7657" t="s">
        <v>17</v>
      </c>
      <c r="I23" s="7657" t="s">
        <v>2287</v>
      </c>
      <c r="J23" s="0" t="s">
        <v>17</v>
      </c>
      <c r="K23" s="0" t="s">
        <v>845</v>
      </c>
      <c r="L23" s="0" t="s">
        <v>2288</v>
      </c>
      <c r="M23" s="0" t="s">
        <v>2289</v>
      </c>
      <c r="N23" s="0" t="s">
        <v>400</v>
      </c>
    </row>
    <row customHeight="1" ht="11.25">
      <c r="A24" s="7657" t="s">
        <v>2195</v>
      </c>
      <c r="B24" s="7657" t="s">
        <v>14</v>
      </c>
      <c r="C24" s="7657" t="s">
        <v>2283</v>
      </c>
      <c r="D24" s="7657" t="s">
        <v>2284</v>
      </c>
      <c r="E24" s="7657" t="s">
        <v>2285</v>
      </c>
      <c r="F24" s="7657" t="s">
        <v>2286</v>
      </c>
      <c r="G24" s="7657" t="s">
        <v>17</v>
      </c>
      <c r="H24" s="7657" t="s">
        <v>17</v>
      </c>
      <c r="I24" s="7657" t="s">
        <v>2290</v>
      </c>
      <c r="J24" s="0" t="s">
        <v>17</v>
      </c>
      <c r="K24" s="0" t="s">
        <v>810</v>
      </c>
      <c r="L24" s="0" t="s">
        <v>810</v>
      </c>
      <c r="M24" s="0" t="s">
        <v>2291</v>
      </c>
      <c r="N24" s="0" t="s">
        <v>400</v>
      </c>
    </row>
    <row customHeight="1" ht="11.25">
      <c r="A25" s="7657" t="s">
        <v>2195</v>
      </c>
      <c r="B25" s="7657" t="s">
        <v>14</v>
      </c>
      <c r="C25" s="7657" t="s">
        <v>2292</v>
      </c>
      <c r="D25" s="7657" t="s">
        <v>2293</v>
      </c>
      <c r="E25" s="7657" t="s">
        <v>2294</v>
      </c>
      <c r="F25" s="7657" t="s">
        <v>2295</v>
      </c>
      <c r="G25" s="7657" t="s">
        <v>2296</v>
      </c>
      <c r="H25" s="7657" t="s">
        <v>17</v>
      </c>
      <c r="I25" s="7657" t="s">
        <v>2297</v>
      </c>
      <c r="J25" s="0" t="s">
        <v>17</v>
      </c>
      <c r="K25" s="0" t="s">
        <v>878</v>
      </c>
      <c r="L25" s="0" t="s">
        <v>2201</v>
      </c>
      <c r="M25" s="0" t="s">
        <v>2202</v>
      </c>
      <c r="N25" s="0" t="s">
        <v>400</v>
      </c>
    </row>
    <row customHeight="1" ht="11.25">
      <c r="A26" s="7657" t="s">
        <v>2195</v>
      </c>
      <c r="B26" s="7657" t="s">
        <v>14</v>
      </c>
      <c r="C26" s="7657" t="s">
        <v>2298</v>
      </c>
      <c r="D26" s="7657" t="s">
        <v>2299</v>
      </c>
      <c r="E26" s="7657" t="s">
        <v>2300</v>
      </c>
      <c r="F26" s="7657" t="s">
        <v>2279</v>
      </c>
      <c r="G26" s="7657" t="s">
        <v>17</v>
      </c>
      <c r="H26" s="7657" t="s">
        <v>17</v>
      </c>
      <c r="I26" s="7657" t="s">
        <v>2228</v>
      </c>
      <c r="J26" s="0" t="s">
        <v>17</v>
      </c>
      <c r="K26" s="0" t="s">
        <v>782</v>
      </c>
      <c r="L26" s="0" t="s">
        <v>2301</v>
      </c>
      <c r="M26" s="0" t="s">
        <v>2302</v>
      </c>
      <c r="N26" s="0" t="s">
        <v>400</v>
      </c>
    </row>
    <row customHeight="1" ht="11.25">
      <c r="A27" s="7657" t="s">
        <v>2195</v>
      </c>
      <c r="B27" s="7657" t="s">
        <v>14</v>
      </c>
      <c r="C27" s="7657" t="s">
        <v>2298</v>
      </c>
      <c r="D27" s="7657" t="s">
        <v>2299</v>
      </c>
      <c r="E27" s="7657" t="s">
        <v>2300</v>
      </c>
      <c r="F27" s="7657" t="s">
        <v>2279</v>
      </c>
      <c r="G27" s="7657" t="s">
        <v>17</v>
      </c>
      <c r="H27" s="7657" t="s">
        <v>17</v>
      </c>
      <c r="I27" s="7657" t="s">
        <v>2228</v>
      </c>
      <c r="J27" s="0" t="s">
        <v>17</v>
      </c>
      <c r="K27" s="0" t="s">
        <v>845</v>
      </c>
      <c r="L27" s="0" t="s">
        <v>2301</v>
      </c>
      <c r="M27" s="0" t="s">
        <v>2302</v>
      </c>
      <c r="N27" s="0" t="s">
        <v>400</v>
      </c>
    </row>
    <row customHeight="1" ht="11.25">
      <c r="A28" s="7657" t="s">
        <v>2195</v>
      </c>
      <c r="B28" s="7657" t="s">
        <v>14</v>
      </c>
      <c r="C28" s="7657" t="s">
        <v>2303</v>
      </c>
      <c r="D28" s="7657" t="s">
        <v>2304</v>
      </c>
      <c r="E28" s="7657" t="s">
        <v>2305</v>
      </c>
      <c r="F28" s="7657" t="s">
        <v>2306</v>
      </c>
      <c r="G28" s="7657" t="s">
        <v>17</v>
      </c>
      <c r="H28" s="7657" t="s">
        <v>17</v>
      </c>
      <c r="I28" s="7657" t="s">
        <v>2307</v>
      </c>
      <c r="J28" s="0" t="s">
        <v>17</v>
      </c>
      <c r="K28" s="0" t="s">
        <v>878</v>
      </c>
      <c r="L28" s="0" t="s">
        <v>2201</v>
      </c>
      <c r="M28" s="0" t="s">
        <v>2202</v>
      </c>
      <c r="N28" s="0" t="s">
        <v>400</v>
      </c>
    </row>
    <row customHeight="1" ht="11.25">
      <c r="A29" s="7657" t="s">
        <v>2195</v>
      </c>
      <c r="B29" s="7657" t="s">
        <v>14</v>
      </c>
      <c r="C29" s="7657" t="s">
        <v>2308</v>
      </c>
      <c r="D29" s="7657" t="s">
        <v>2309</v>
      </c>
      <c r="E29" s="7657" t="s">
        <v>2310</v>
      </c>
      <c r="F29" s="7657" t="s">
        <v>2311</v>
      </c>
      <c r="G29" s="7657" t="s">
        <v>2312</v>
      </c>
      <c r="H29" s="7657" t="s">
        <v>17</v>
      </c>
      <c r="I29" s="7657" t="s">
        <v>2313</v>
      </c>
      <c r="J29" s="0" t="s">
        <v>17</v>
      </c>
      <c r="K29" s="0" t="s">
        <v>878</v>
      </c>
      <c r="L29" s="0" t="s">
        <v>2201</v>
      </c>
      <c r="M29" s="0" t="s">
        <v>2202</v>
      </c>
      <c r="N29" s="0" t="s">
        <v>400</v>
      </c>
    </row>
    <row customHeight="1" ht="11.25">
      <c r="A30" s="7657" t="s">
        <v>2195</v>
      </c>
      <c r="B30" s="7657" t="s">
        <v>14</v>
      </c>
      <c r="C30" s="7657" t="s">
        <v>2314</v>
      </c>
      <c r="D30" s="7657" t="s">
        <v>2315</v>
      </c>
      <c r="E30" s="7657" t="s">
        <v>2316</v>
      </c>
      <c r="F30" s="7657" t="s">
        <v>2317</v>
      </c>
      <c r="G30" s="7657" t="s">
        <v>17</v>
      </c>
      <c r="H30" s="7657" t="s">
        <v>17</v>
      </c>
      <c r="I30" s="7657" t="s">
        <v>2223</v>
      </c>
      <c r="J30" s="0" t="s">
        <v>17</v>
      </c>
      <c r="K30" s="0" t="s">
        <v>878</v>
      </c>
      <c r="L30" s="0" t="s">
        <v>2201</v>
      </c>
      <c r="M30" s="0" t="s">
        <v>2202</v>
      </c>
      <c r="N30" s="0" t="s">
        <v>400</v>
      </c>
    </row>
    <row customHeight="1" ht="11.25">
      <c r="A31" s="7657" t="s">
        <v>2195</v>
      </c>
      <c r="B31" s="7657" t="s">
        <v>14</v>
      </c>
      <c r="C31" s="7657" t="s">
        <v>2318</v>
      </c>
      <c r="D31" s="7657" t="s">
        <v>2319</v>
      </c>
      <c r="E31" s="7657" t="s">
        <v>2320</v>
      </c>
      <c r="F31" s="7657" t="s">
        <v>2321</v>
      </c>
      <c r="G31" s="7657" t="s">
        <v>17</v>
      </c>
      <c r="H31" s="7657" t="s">
        <v>17</v>
      </c>
      <c r="I31" s="7657" t="s">
        <v>2322</v>
      </c>
      <c r="J31" s="0" t="s">
        <v>17</v>
      </c>
      <c r="K31" s="0" t="s">
        <v>878</v>
      </c>
      <c r="L31" s="0" t="s">
        <v>2201</v>
      </c>
      <c r="M31" s="0" t="s">
        <v>2202</v>
      </c>
      <c r="N31" s="0" t="s">
        <v>400</v>
      </c>
    </row>
    <row customHeight="1" ht="11.25">
      <c r="A32" s="7657" t="s">
        <v>2195</v>
      </c>
      <c r="B32" s="7657" t="s">
        <v>14</v>
      </c>
      <c r="C32" s="7657" t="s">
        <v>2323</v>
      </c>
      <c r="D32" s="7657" t="s">
        <v>2324</v>
      </c>
      <c r="E32" s="7657" t="s">
        <v>2325</v>
      </c>
      <c r="F32" s="7657" t="s">
        <v>2326</v>
      </c>
      <c r="G32" s="7657" t="s">
        <v>2327</v>
      </c>
      <c r="H32" s="7657" t="s">
        <v>17</v>
      </c>
      <c r="I32" s="7657" t="s">
        <v>2328</v>
      </c>
      <c r="J32" s="0" t="s">
        <v>17</v>
      </c>
      <c r="K32" s="0" t="s">
        <v>878</v>
      </c>
      <c r="L32" s="0" t="s">
        <v>2201</v>
      </c>
      <c r="M32" s="0" t="s">
        <v>2202</v>
      </c>
      <c r="N32" s="0" t="s">
        <v>400</v>
      </c>
    </row>
    <row customHeight="1" ht="11.25">
      <c r="A33" s="7657" t="s">
        <v>2195</v>
      </c>
      <c r="B33" s="7657" t="s">
        <v>14</v>
      </c>
      <c r="C33" s="7657" t="s">
        <v>2329</v>
      </c>
      <c r="D33" s="7657" t="s">
        <v>2330</v>
      </c>
      <c r="E33" s="7657" t="s">
        <v>2331</v>
      </c>
      <c r="F33" s="7657" t="s">
        <v>2332</v>
      </c>
      <c r="G33" s="7657" t="s">
        <v>17</v>
      </c>
      <c r="H33" s="7657" t="s">
        <v>17</v>
      </c>
      <c r="I33" s="7657" t="s">
        <v>2287</v>
      </c>
      <c r="J33" s="0" t="s">
        <v>17</v>
      </c>
      <c r="K33" s="0" t="s">
        <v>782</v>
      </c>
      <c r="L33" s="0" t="s">
        <v>2301</v>
      </c>
      <c r="M33" s="0" t="s">
        <v>2302</v>
      </c>
      <c r="N33" s="0" t="s">
        <v>400</v>
      </c>
    </row>
    <row customHeight="1" ht="11.25">
      <c r="A34" s="7657" t="s">
        <v>2195</v>
      </c>
      <c r="B34" s="7657" t="s">
        <v>14</v>
      </c>
      <c r="C34" s="7657" t="s">
        <v>2329</v>
      </c>
      <c r="D34" s="7657" t="s">
        <v>2330</v>
      </c>
      <c r="E34" s="7657" t="s">
        <v>2331</v>
      </c>
      <c r="F34" s="7657" t="s">
        <v>2332</v>
      </c>
      <c r="G34" s="7657" t="s">
        <v>17</v>
      </c>
      <c r="H34" s="7657" t="s">
        <v>17</v>
      </c>
      <c r="I34" s="7657" t="s">
        <v>2287</v>
      </c>
      <c r="J34" s="0" t="s">
        <v>17</v>
      </c>
      <c r="K34" s="0" t="s">
        <v>845</v>
      </c>
      <c r="L34" s="0" t="s">
        <v>2301</v>
      </c>
      <c r="M34" s="0" t="s">
        <v>2302</v>
      </c>
      <c r="N34" s="0" t="s">
        <v>400</v>
      </c>
    </row>
    <row customHeight="1" ht="11.25">
      <c r="A35" s="7657" t="s">
        <v>2195</v>
      </c>
      <c r="B35" s="7657" t="s">
        <v>14</v>
      </c>
      <c r="C35" s="7657" t="s">
        <v>2333</v>
      </c>
      <c r="D35" s="7657" t="s">
        <v>2334</v>
      </c>
      <c r="E35" s="7657" t="s">
        <v>2335</v>
      </c>
      <c r="F35" s="7657" t="s">
        <v>2279</v>
      </c>
      <c r="G35" s="7657" t="s">
        <v>17</v>
      </c>
      <c r="H35" s="7657" t="s">
        <v>17</v>
      </c>
      <c r="I35" s="7657" t="s">
        <v>2336</v>
      </c>
      <c r="J35" s="0" t="s">
        <v>17</v>
      </c>
      <c r="K35" s="0" t="s">
        <v>878</v>
      </c>
      <c r="L35" s="0" t="s">
        <v>2201</v>
      </c>
      <c r="M35" s="0" t="s">
        <v>2202</v>
      </c>
      <c r="N35" s="0" t="s">
        <v>400</v>
      </c>
    </row>
    <row customHeight="1" ht="11.25">
      <c r="A36" s="7657" t="s">
        <v>2195</v>
      </c>
      <c r="B36" s="7657" t="s">
        <v>14</v>
      </c>
      <c r="C36" s="7657" t="s">
        <v>2337</v>
      </c>
      <c r="D36" s="7657" t="s">
        <v>2338</v>
      </c>
      <c r="E36" s="7657" t="s">
        <v>2339</v>
      </c>
      <c r="F36" s="7657" t="s">
        <v>2232</v>
      </c>
      <c r="G36" s="7657" t="s">
        <v>17</v>
      </c>
      <c r="H36" s="7657" t="s">
        <v>17</v>
      </c>
      <c r="I36" s="7657" t="s">
        <v>2340</v>
      </c>
      <c r="J36" s="0" t="s">
        <v>17</v>
      </c>
      <c r="K36" s="0" t="s">
        <v>878</v>
      </c>
      <c r="L36" s="0" t="s">
        <v>2201</v>
      </c>
      <c r="M36" s="0" t="s">
        <v>2202</v>
      </c>
      <c r="N36" s="0" t="s">
        <v>400</v>
      </c>
    </row>
    <row customHeight="1" ht="11.25">
      <c r="A37" s="7657" t="s">
        <v>2195</v>
      </c>
      <c r="B37" s="7657" t="s">
        <v>14</v>
      </c>
      <c r="C37" s="7657" t="s">
        <v>2341</v>
      </c>
      <c r="D37" s="7657" t="s">
        <v>2342</v>
      </c>
      <c r="E37" s="7657" t="s">
        <v>2343</v>
      </c>
      <c r="F37" s="7657" t="s">
        <v>2206</v>
      </c>
      <c r="G37" s="7657" t="s">
        <v>2344</v>
      </c>
      <c r="H37" s="7657" t="s">
        <v>17</v>
      </c>
      <c r="I37" s="7657" t="s">
        <v>2208</v>
      </c>
      <c r="J37" s="0" t="s">
        <v>17</v>
      </c>
      <c r="K37" s="0" t="s">
        <v>845</v>
      </c>
      <c r="L37" s="0" t="s">
        <v>2345</v>
      </c>
      <c r="M37" s="0" t="s">
        <v>2346</v>
      </c>
      <c r="N37" s="0" t="s">
        <v>400</v>
      </c>
    </row>
    <row customHeight="1" ht="11.25">
      <c r="A38" s="7657" t="s">
        <v>2195</v>
      </c>
      <c r="B38" s="7657" t="s">
        <v>14</v>
      </c>
      <c r="C38" s="7657" t="s">
        <v>2341</v>
      </c>
      <c r="D38" s="7657" t="s">
        <v>2342</v>
      </c>
      <c r="E38" s="7657" t="s">
        <v>2343</v>
      </c>
      <c r="F38" s="7657" t="s">
        <v>2206</v>
      </c>
      <c r="G38" s="7657" t="s">
        <v>2344</v>
      </c>
      <c r="H38" s="7657" t="s">
        <v>17</v>
      </c>
      <c r="I38" s="7657" t="s">
        <v>2347</v>
      </c>
      <c r="J38" s="0" t="s">
        <v>17</v>
      </c>
      <c r="K38" s="0" t="s">
        <v>878</v>
      </c>
      <c r="L38" s="0" t="s">
        <v>2201</v>
      </c>
      <c r="M38" s="0" t="s">
        <v>2202</v>
      </c>
      <c r="N38" s="0" t="s">
        <v>400</v>
      </c>
    </row>
    <row customHeight="1" ht="11.25">
      <c r="A39" s="7657" t="s">
        <v>2195</v>
      </c>
      <c r="B39" s="7657" t="s">
        <v>14</v>
      </c>
      <c r="C39" s="7657" t="s">
        <v>2341</v>
      </c>
      <c r="D39" s="7657" t="s">
        <v>2342</v>
      </c>
      <c r="E39" s="7657" t="s">
        <v>2343</v>
      </c>
      <c r="F39" s="7657" t="s">
        <v>2206</v>
      </c>
      <c r="G39" s="7657" t="s">
        <v>2344</v>
      </c>
      <c r="H39" s="7657" t="s">
        <v>17</v>
      </c>
      <c r="I39" s="7657" t="s">
        <v>2348</v>
      </c>
      <c r="J39" s="0" t="s">
        <v>17</v>
      </c>
      <c r="K39" s="0" t="s">
        <v>878</v>
      </c>
      <c r="L39" s="0" t="s">
        <v>2201</v>
      </c>
      <c r="M39" s="0" t="s">
        <v>2202</v>
      </c>
      <c r="N39" s="0" t="s">
        <v>400</v>
      </c>
    </row>
    <row customHeight="1" ht="11.25">
      <c r="A40" s="7657" t="s">
        <v>2195</v>
      </c>
      <c r="B40" s="7657" t="s">
        <v>14</v>
      </c>
      <c r="C40" s="7657" t="s">
        <v>2349</v>
      </c>
      <c r="D40" s="7657" t="s">
        <v>2350</v>
      </c>
      <c r="E40" s="7657" t="s">
        <v>2351</v>
      </c>
      <c r="F40" s="7657" t="s">
        <v>2352</v>
      </c>
      <c r="G40" s="7657" t="s">
        <v>2353</v>
      </c>
      <c r="H40" s="7657" t="s">
        <v>17</v>
      </c>
      <c r="I40" s="7657" t="s">
        <v>2354</v>
      </c>
      <c r="J40" s="0" t="s">
        <v>17</v>
      </c>
      <c r="K40" s="0" t="s">
        <v>878</v>
      </c>
      <c r="L40" s="0" t="s">
        <v>2201</v>
      </c>
      <c r="M40" s="0" t="s">
        <v>2202</v>
      </c>
      <c r="N40" s="0" t="s">
        <v>400</v>
      </c>
    </row>
    <row customHeight="1" ht="11.25">
      <c r="A41" s="7657" t="s">
        <v>2195</v>
      </c>
      <c r="B41" s="7657" t="s">
        <v>14</v>
      </c>
      <c r="C41" s="7657" t="s">
        <v>2355</v>
      </c>
      <c r="D41" s="7657" t="s">
        <v>2356</v>
      </c>
      <c r="E41" s="7657" t="s">
        <v>2357</v>
      </c>
      <c r="F41" s="7657" t="s">
        <v>2358</v>
      </c>
      <c r="G41" s="7657" t="s">
        <v>2359</v>
      </c>
      <c r="H41" s="7657" t="s">
        <v>17</v>
      </c>
      <c r="I41" s="7657" t="s">
        <v>2360</v>
      </c>
      <c r="J41" s="0" t="s">
        <v>17</v>
      </c>
      <c r="K41" s="0" t="s">
        <v>878</v>
      </c>
      <c r="L41" s="0" t="s">
        <v>2201</v>
      </c>
      <c r="M41" s="0" t="s">
        <v>2202</v>
      </c>
      <c r="N41" s="0" t="s">
        <v>400</v>
      </c>
    </row>
    <row customHeight="1" ht="11.25">
      <c r="A42" s="7657" t="s">
        <v>2195</v>
      </c>
      <c r="B42" s="7657" t="s">
        <v>14</v>
      </c>
      <c r="C42" s="7657" t="s">
        <v>2361</v>
      </c>
      <c r="D42" s="7657" t="s">
        <v>2362</v>
      </c>
      <c r="E42" s="7657" t="s">
        <v>2363</v>
      </c>
      <c r="F42" s="7657" t="s">
        <v>2364</v>
      </c>
      <c r="G42" s="7657" t="s">
        <v>2365</v>
      </c>
      <c r="H42" s="7657" t="s">
        <v>17</v>
      </c>
      <c r="I42" s="7657" t="s">
        <v>2228</v>
      </c>
      <c r="J42" s="0" t="s">
        <v>17</v>
      </c>
      <c r="K42" s="0" t="s">
        <v>878</v>
      </c>
      <c r="L42" s="0" t="s">
        <v>2201</v>
      </c>
      <c r="M42" s="0" t="s">
        <v>2202</v>
      </c>
      <c r="N42" s="0" t="s">
        <v>400</v>
      </c>
    </row>
    <row customHeight="1" ht="11.25">
      <c r="A43" s="7657" t="s">
        <v>2195</v>
      </c>
      <c r="B43" s="7657" t="s">
        <v>14</v>
      </c>
      <c r="C43" s="7657" t="s">
        <v>2366</v>
      </c>
      <c r="D43" s="7657" t="s">
        <v>2367</v>
      </c>
      <c r="E43" s="7657" t="s">
        <v>2368</v>
      </c>
      <c r="F43" s="7657" t="s">
        <v>2369</v>
      </c>
      <c r="G43" s="7657" t="s">
        <v>17</v>
      </c>
      <c r="H43" s="7657" t="s">
        <v>17</v>
      </c>
      <c r="I43" s="7657" t="s">
        <v>2370</v>
      </c>
      <c r="J43" s="0" t="s">
        <v>17</v>
      </c>
      <c r="K43" s="0" t="s">
        <v>878</v>
      </c>
      <c r="L43" s="0" t="s">
        <v>2201</v>
      </c>
      <c r="M43" s="0" t="s">
        <v>2202</v>
      </c>
      <c r="N43" s="0" t="s">
        <v>400</v>
      </c>
    </row>
    <row customHeight="1" ht="11.25">
      <c r="A44" s="7657" t="s">
        <v>2195</v>
      </c>
      <c r="B44" s="7657" t="s">
        <v>14</v>
      </c>
      <c r="C44" s="7657" t="s">
        <v>2371</v>
      </c>
      <c r="D44" s="7657" t="s">
        <v>2372</v>
      </c>
      <c r="E44" s="7657" t="s">
        <v>2368</v>
      </c>
      <c r="F44" s="7657" t="s">
        <v>2373</v>
      </c>
      <c r="G44" s="7657" t="s">
        <v>17</v>
      </c>
      <c r="H44" s="7657" t="s">
        <v>17</v>
      </c>
      <c r="I44" s="7657" t="s">
        <v>2374</v>
      </c>
      <c r="J44" s="0" t="s">
        <v>17</v>
      </c>
      <c r="K44" s="0" t="s">
        <v>878</v>
      </c>
      <c r="L44" s="0" t="s">
        <v>2201</v>
      </c>
      <c r="M44" s="0" t="s">
        <v>2202</v>
      </c>
      <c r="N44" s="0" t="s">
        <v>400</v>
      </c>
    </row>
    <row customHeight="1" ht="11.25">
      <c r="A45" s="7657" t="s">
        <v>2195</v>
      </c>
      <c r="B45" s="7657" t="s">
        <v>14</v>
      </c>
      <c r="C45" s="7657" t="s">
        <v>2375</v>
      </c>
      <c r="D45" s="7657" t="s">
        <v>2376</v>
      </c>
      <c r="E45" s="7657" t="s">
        <v>2377</v>
      </c>
      <c r="F45" s="7657" t="s">
        <v>2378</v>
      </c>
      <c r="G45" s="7657" t="s">
        <v>2379</v>
      </c>
      <c r="H45" s="7657" t="s">
        <v>17</v>
      </c>
      <c r="I45" s="7657" t="s">
        <v>2379</v>
      </c>
      <c r="J45" s="0" t="s">
        <v>17</v>
      </c>
      <c r="K45" s="0" t="s">
        <v>878</v>
      </c>
      <c r="L45" s="0" t="s">
        <v>2201</v>
      </c>
      <c r="M45" s="0" t="s">
        <v>2202</v>
      </c>
      <c r="N45" s="0" t="s">
        <v>400</v>
      </c>
    </row>
    <row customHeight="1" ht="11.25">
      <c r="A46" s="7657" t="s">
        <v>2195</v>
      </c>
      <c r="B46" s="7657" t="s">
        <v>14</v>
      </c>
      <c r="C46" s="7657" t="s">
        <v>2380</v>
      </c>
      <c r="D46" s="7657" t="s">
        <v>2381</v>
      </c>
      <c r="E46" s="7657" t="s">
        <v>2382</v>
      </c>
      <c r="F46" s="7657" t="s">
        <v>2383</v>
      </c>
      <c r="G46" s="7657" t="s">
        <v>2384</v>
      </c>
      <c r="H46" s="7657" t="s">
        <v>17</v>
      </c>
      <c r="I46" s="7657" t="s">
        <v>2384</v>
      </c>
      <c r="J46" s="0" t="s">
        <v>17</v>
      </c>
      <c r="K46" s="0" t="s">
        <v>878</v>
      </c>
      <c r="L46" s="0" t="s">
        <v>2201</v>
      </c>
      <c r="M46" s="0" t="s">
        <v>2202</v>
      </c>
      <c r="N46" s="0" t="s">
        <v>400</v>
      </c>
    </row>
    <row customHeight="1" ht="11.25">
      <c r="A47" s="7657" t="s">
        <v>2195</v>
      </c>
      <c r="B47" s="7657" t="s">
        <v>14</v>
      </c>
      <c r="C47" s="7657" t="s">
        <v>2385</v>
      </c>
      <c r="D47" s="7657" t="s">
        <v>2386</v>
      </c>
      <c r="E47" s="7657" t="s">
        <v>2387</v>
      </c>
      <c r="F47" s="7657" t="s">
        <v>2388</v>
      </c>
      <c r="G47" s="7657" t="s">
        <v>2389</v>
      </c>
      <c r="H47" s="7657" t="s">
        <v>17</v>
      </c>
      <c r="I47" s="7657" t="s">
        <v>2390</v>
      </c>
      <c r="J47" s="0" t="s">
        <v>17</v>
      </c>
      <c r="K47" s="0" t="s">
        <v>878</v>
      </c>
      <c r="L47" s="0" t="s">
        <v>2201</v>
      </c>
      <c r="M47" s="0" t="s">
        <v>2202</v>
      </c>
      <c r="N47" s="0" t="s">
        <v>400</v>
      </c>
    </row>
    <row customHeight="1" ht="11.25">
      <c r="A48" s="7657" t="s">
        <v>2195</v>
      </c>
      <c r="B48" s="7657" t="s">
        <v>14</v>
      </c>
      <c r="C48" s="7657" t="s">
        <v>2391</v>
      </c>
      <c r="D48" s="7657" t="s">
        <v>2392</v>
      </c>
      <c r="E48" s="7657" t="s">
        <v>2393</v>
      </c>
      <c r="F48" s="7657" t="s">
        <v>2388</v>
      </c>
      <c r="G48" s="7657" t="s">
        <v>2394</v>
      </c>
      <c r="H48" s="7657" t="s">
        <v>17</v>
      </c>
      <c r="I48" s="7657" t="s">
        <v>2395</v>
      </c>
      <c r="J48" s="0" t="s">
        <v>17</v>
      </c>
      <c r="K48" s="0" t="s">
        <v>878</v>
      </c>
      <c r="L48" s="0" t="s">
        <v>2201</v>
      </c>
      <c r="M48" s="0" t="s">
        <v>2202</v>
      </c>
      <c r="N48" s="0" t="s">
        <v>400</v>
      </c>
    </row>
    <row customHeight="1" ht="11.25">
      <c r="A49" s="7657" t="s">
        <v>2195</v>
      </c>
      <c r="B49" s="7657" t="s">
        <v>14</v>
      </c>
      <c r="C49" s="7657" t="s">
        <v>2396</v>
      </c>
      <c r="D49" s="7657" t="s">
        <v>2397</v>
      </c>
      <c r="E49" s="7657" t="s">
        <v>2398</v>
      </c>
      <c r="F49" s="7657" t="s">
        <v>2306</v>
      </c>
      <c r="G49" s="7657" t="s">
        <v>2399</v>
      </c>
      <c r="H49" s="7657" t="s">
        <v>17</v>
      </c>
      <c r="I49" s="7657" t="s">
        <v>2400</v>
      </c>
      <c r="J49" s="0" t="s">
        <v>17</v>
      </c>
      <c r="K49" s="0" t="s">
        <v>878</v>
      </c>
      <c r="L49" s="0" t="s">
        <v>2201</v>
      </c>
      <c r="M49" s="0" t="s">
        <v>2202</v>
      </c>
      <c r="N49" s="0" t="s">
        <v>400</v>
      </c>
    </row>
    <row customHeight="1" ht="11.25">
      <c r="A50" s="7657" t="s">
        <v>2195</v>
      </c>
      <c r="B50" s="7657" t="s">
        <v>14</v>
      </c>
      <c r="C50" s="7657" t="s">
        <v>2401</v>
      </c>
      <c r="D50" s="7657" t="s">
        <v>2402</v>
      </c>
      <c r="E50" s="7657" t="s">
        <v>2357</v>
      </c>
      <c r="F50" s="7657" t="s">
        <v>2403</v>
      </c>
      <c r="G50" s="7657" t="s">
        <v>2359</v>
      </c>
      <c r="H50" s="7657" t="s">
        <v>17</v>
      </c>
      <c r="I50" s="7657" t="s">
        <v>2360</v>
      </c>
      <c r="J50" s="0" t="s">
        <v>17</v>
      </c>
      <c r="K50" s="0" t="s">
        <v>878</v>
      </c>
      <c r="L50" s="0" t="s">
        <v>2201</v>
      </c>
      <c r="M50" s="0" t="s">
        <v>2202</v>
      </c>
      <c r="N50" s="0" t="s">
        <v>400</v>
      </c>
    </row>
    <row customHeight="1" ht="11.25">
      <c r="A51" s="7657" t="s">
        <v>2195</v>
      </c>
      <c r="B51" s="7657" t="s">
        <v>14</v>
      </c>
      <c r="C51" s="7657" t="s">
        <v>2404</v>
      </c>
      <c r="D51" s="7657" t="s">
        <v>2405</v>
      </c>
      <c r="E51" s="7657" t="s">
        <v>2406</v>
      </c>
      <c r="F51" s="7657" t="s">
        <v>2222</v>
      </c>
      <c r="G51" s="7657" t="s">
        <v>17</v>
      </c>
      <c r="H51" s="7657" t="s">
        <v>17</v>
      </c>
      <c r="I51" s="7657" t="s">
        <v>2228</v>
      </c>
      <c r="J51" s="0" t="s">
        <v>17</v>
      </c>
      <c r="K51" s="0" t="s">
        <v>878</v>
      </c>
      <c r="L51" s="0" t="s">
        <v>2201</v>
      </c>
      <c r="M51" s="0" t="s">
        <v>2202</v>
      </c>
      <c r="N51" s="0" t="s">
        <v>400</v>
      </c>
    </row>
    <row customHeight="1" ht="11.25">
      <c r="A52" s="7657" t="s">
        <v>2195</v>
      </c>
      <c r="B52" s="7657" t="s">
        <v>14</v>
      </c>
      <c r="C52" s="7657" t="s">
        <v>2407</v>
      </c>
      <c r="D52" s="7657" t="s">
        <v>2408</v>
      </c>
      <c r="E52" s="7657" t="s">
        <v>2409</v>
      </c>
      <c r="F52" s="7657" t="s">
        <v>2239</v>
      </c>
      <c r="G52" s="7657" t="s">
        <v>2410</v>
      </c>
      <c r="H52" s="7657" t="s">
        <v>17</v>
      </c>
      <c r="I52" s="7657" t="s">
        <v>2411</v>
      </c>
      <c r="J52" s="0" t="s">
        <v>17</v>
      </c>
      <c r="K52" s="0" t="s">
        <v>878</v>
      </c>
      <c r="L52" s="0" t="s">
        <v>2201</v>
      </c>
      <c r="M52" s="0" t="s">
        <v>2202</v>
      </c>
      <c r="N52" s="0" t="s">
        <v>400</v>
      </c>
    </row>
    <row customHeight="1" ht="11.25">
      <c r="A53" s="7657" t="s">
        <v>2195</v>
      </c>
      <c r="B53" s="7657" t="s">
        <v>14</v>
      </c>
      <c r="C53" s="7657" t="s">
        <v>2412</v>
      </c>
      <c r="D53" s="7657" t="s">
        <v>2413</v>
      </c>
      <c r="E53" s="7657" t="s">
        <v>2414</v>
      </c>
      <c r="F53" s="7657" t="s">
        <v>2415</v>
      </c>
      <c r="G53" s="7657" t="s">
        <v>17</v>
      </c>
      <c r="H53" s="7657" t="s">
        <v>17</v>
      </c>
      <c r="I53" s="7657" t="s">
        <v>2228</v>
      </c>
      <c r="J53" s="0" t="s">
        <v>17</v>
      </c>
      <c r="K53" s="0" t="s">
        <v>878</v>
      </c>
      <c r="L53" s="0" t="s">
        <v>2201</v>
      </c>
      <c r="M53" s="0" t="s">
        <v>2202</v>
      </c>
      <c r="N53" s="0" t="s">
        <v>400</v>
      </c>
    </row>
    <row customHeight="1" ht="11.25">
      <c r="A54" s="7657" t="s">
        <v>2195</v>
      </c>
      <c r="B54" s="7657" t="s">
        <v>14</v>
      </c>
      <c r="C54" s="7657" t="s">
        <v>2416</v>
      </c>
      <c r="D54" s="7657" t="s">
        <v>2417</v>
      </c>
      <c r="E54" s="7657" t="s">
        <v>2418</v>
      </c>
      <c r="F54" s="7657" t="s">
        <v>2267</v>
      </c>
      <c r="G54" s="7657" t="s">
        <v>17</v>
      </c>
      <c r="H54" s="7657" t="s">
        <v>17</v>
      </c>
      <c r="I54" s="7657" t="s">
        <v>2228</v>
      </c>
      <c r="J54" s="0" t="s">
        <v>17</v>
      </c>
      <c r="K54" s="0" t="s">
        <v>878</v>
      </c>
      <c r="L54" s="0" t="s">
        <v>2201</v>
      </c>
      <c r="M54" s="0" t="s">
        <v>2202</v>
      </c>
      <c r="N54" s="0" t="s">
        <v>400</v>
      </c>
    </row>
    <row customHeight="1" ht="11.25">
      <c r="A55" s="7657" t="s">
        <v>2195</v>
      </c>
      <c r="B55" s="7657" t="s">
        <v>14</v>
      </c>
      <c r="C55" s="7657" t="s">
        <v>2419</v>
      </c>
      <c r="D55" s="7657" t="s">
        <v>2420</v>
      </c>
      <c r="E55" s="7657" t="s">
        <v>2421</v>
      </c>
      <c r="F55" s="7657" t="s">
        <v>2232</v>
      </c>
      <c r="G55" s="7657" t="s">
        <v>17</v>
      </c>
      <c r="H55" s="7657" t="s">
        <v>17</v>
      </c>
      <c r="I55" s="7657" t="s">
        <v>2228</v>
      </c>
      <c r="J55" s="0" t="s">
        <v>17</v>
      </c>
      <c r="K55" s="0" t="s">
        <v>878</v>
      </c>
      <c r="L55" s="0" t="s">
        <v>2201</v>
      </c>
      <c r="M55" s="0" t="s">
        <v>2202</v>
      </c>
      <c r="N55" s="0" t="s">
        <v>400</v>
      </c>
    </row>
    <row customHeight="1" ht="11.25">
      <c r="A56" s="7657" t="s">
        <v>2195</v>
      </c>
      <c r="B56" s="7657" t="s">
        <v>14</v>
      </c>
      <c r="C56" s="7657" t="s">
        <v>2422</v>
      </c>
      <c r="D56" s="7657" t="s">
        <v>2423</v>
      </c>
      <c r="E56" s="7657" t="s">
        <v>2424</v>
      </c>
      <c r="F56" s="7657" t="s">
        <v>2425</v>
      </c>
      <c r="G56" s="7657" t="s">
        <v>17</v>
      </c>
      <c r="H56" s="7657" t="s">
        <v>17</v>
      </c>
      <c r="I56" s="7657" t="s">
        <v>2426</v>
      </c>
      <c r="J56" s="0" t="s">
        <v>17</v>
      </c>
      <c r="K56" s="0" t="s">
        <v>922</v>
      </c>
      <c r="L56" s="0" t="s">
        <v>2427</v>
      </c>
      <c r="M56" s="0" t="s">
        <v>2428</v>
      </c>
      <c r="N56" s="0" t="s">
        <v>400</v>
      </c>
    </row>
    <row customHeight="1" ht="11.25">
      <c r="A57" s="7657" t="s">
        <v>2195</v>
      </c>
      <c r="B57" s="7657" t="s">
        <v>14</v>
      </c>
      <c r="C57" s="7657" t="s">
        <v>2422</v>
      </c>
      <c r="D57" s="7657" t="s">
        <v>2423</v>
      </c>
      <c r="E57" s="7657" t="s">
        <v>2424</v>
      </c>
      <c r="F57" s="7657" t="s">
        <v>2425</v>
      </c>
      <c r="G57" s="7657" t="s">
        <v>17</v>
      </c>
      <c r="H57" s="7657" t="s">
        <v>17</v>
      </c>
      <c r="I57" s="7657" t="s">
        <v>2426</v>
      </c>
      <c r="J57" s="0" t="s">
        <v>17</v>
      </c>
      <c r="K57" s="0" t="s">
        <v>2429</v>
      </c>
      <c r="L57" s="0" t="s">
        <v>2430</v>
      </c>
      <c r="M57" s="0" t="s">
        <v>2431</v>
      </c>
      <c r="N57" s="0" t="s">
        <v>400</v>
      </c>
    </row>
    <row customHeight="1" ht="11.25">
      <c r="A58" s="7657" t="s">
        <v>2195</v>
      </c>
      <c r="B58" s="7657" t="s">
        <v>14</v>
      </c>
      <c r="C58" s="7657" t="s">
        <v>2422</v>
      </c>
      <c r="D58" s="7657" t="s">
        <v>2423</v>
      </c>
      <c r="E58" s="7657" t="s">
        <v>2424</v>
      </c>
      <c r="F58" s="7657" t="s">
        <v>2425</v>
      </c>
      <c r="G58" s="7657" t="s">
        <v>17</v>
      </c>
      <c r="H58" s="7657" t="s">
        <v>17</v>
      </c>
      <c r="I58" s="7657" t="s">
        <v>2432</v>
      </c>
      <c r="J58" s="0" t="s">
        <v>17</v>
      </c>
      <c r="K58" s="0" t="s">
        <v>810</v>
      </c>
      <c r="L58" s="0" t="s">
        <v>810</v>
      </c>
      <c r="M58" s="0" t="s">
        <v>2291</v>
      </c>
      <c r="N58" s="0" t="s">
        <v>400</v>
      </c>
    </row>
    <row customHeight="1" ht="11.25">
      <c r="A59" s="7657" t="s">
        <v>2195</v>
      </c>
      <c r="B59" s="7657" t="s">
        <v>14</v>
      </c>
      <c r="C59" s="7657" t="s">
        <v>2433</v>
      </c>
      <c r="D59" s="7657" t="s">
        <v>2434</v>
      </c>
      <c r="E59" s="7657" t="s">
        <v>2435</v>
      </c>
      <c r="F59" s="7657" t="s">
        <v>2254</v>
      </c>
      <c r="G59" s="7657" t="s">
        <v>17</v>
      </c>
      <c r="H59" s="7657" t="s">
        <v>17</v>
      </c>
      <c r="I59" s="7657" t="s">
        <v>2340</v>
      </c>
      <c r="J59" s="0" t="s">
        <v>17</v>
      </c>
      <c r="K59" s="0" t="s">
        <v>878</v>
      </c>
      <c r="L59" s="0" t="s">
        <v>2201</v>
      </c>
      <c r="M59" s="0" t="s">
        <v>2202</v>
      </c>
      <c r="N59" s="0" t="s">
        <v>400</v>
      </c>
    </row>
    <row customHeight="1" ht="11.25">
      <c r="A60" s="7657" t="s">
        <v>2195</v>
      </c>
      <c r="B60" s="7657" t="s">
        <v>14</v>
      </c>
      <c r="C60" s="7657" t="s">
        <v>2436</v>
      </c>
      <c r="D60" s="7657" t="s">
        <v>2437</v>
      </c>
      <c r="E60" s="7657" t="s">
        <v>2438</v>
      </c>
      <c r="F60" s="7657" t="s">
        <v>2439</v>
      </c>
      <c r="G60" s="7657" t="s">
        <v>17</v>
      </c>
      <c r="H60" s="7657" t="s">
        <v>17</v>
      </c>
      <c r="I60" s="7657" t="s">
        <v>2228</v>
      </c>
      <c r="J60" s="0" t="s">
        <v>17</v>
      </c>
      <c r="K60" s="0" t="s">
        <v>878</v>
      </c>
      <c r="L60" s="0" t="s">
        <v>2201</v>
      </c>
      <c r="M60" s="0" t="s">
        <v>2202</v>
      </c>
      <c r="N60" s="0" t="s">
        <v>400</v>
      </c>
    </row>
    <row customHeight="1" ht="11.25">
      <c r="A61" s="7657" t="s">
        <v>2195</v>
      </c>
      <c r="B61" s="7657" t="s">
        <v>14</v>
      </c>
      <c r="C61" s="7657" t="s">
        <v>2440</v>
      </c>
      <c r="D61" s="7657" t="s">
        <v>2441</v>
      </c>
      <c r="E61" s="7657" t="s">
        <v>2442</v>
      </c>
      <c r="F61" s="7657" t="s">
        <v>2443</v>
      </c>
      <c r="G61" s="7657" t="s">
        <v>2228</v>
      </c>
      <c r="H61" s="7657" t="s">
        <v>17</v>
      </c>
      <c r="I61" s="7657" t="s">
        <v>2228</v>
      </c>
      <c r="J61" s="0" t="s">
        <v>17</v>
      </c>
      <c r="K61" s="0" t="s">
        <v>845</v>
      </c>
      <c r="L61" s="0" t="s">
        <v>2345</v>
      </c>
      <c r="M61" s="0" t="s">
        <v>2346</v>
      </c>
      <c r="N61" s="0" t="s">
        <v>400</v>
      </c>
    </row>
    <row customHeight="1" ht="11.25">
      <c r="A62" s="7657" t="s">
        <v>2195</v>
      </c>
      <c r="B62" s="7657" t="s">
        <v>14</v>
      </c>
      <c r="C62" s="7657" t="s">
        <v>2444</v>
      </c>
      <c r="D62" s="7657" t="s">
        <v>2445</v>
      </c>
      <c r="E62" s="7657" t="s">
        <v>2446</v>
      </c>
      <c r="F62" s="7657" t="s">
        <v>1433</v>
      </c>
      <c r="G62" s="7657" t="s">
        <v>2447</v>
      </c>
      <c r="H62" s="7657" t="s">
        <v>17</v>
      </c>
      <c r="I62" s="7657" t="s">
        <v>2447</v>
      </c>
      <c r="J62" s="0" t="s">
        <v>17</v>
      </c>
      <c r="K62" s="0" t="s">
        <v>878</v>
      </c>
      <c r="L62" s="0" t="s">
        <v>2201</v>
      </c>
      <c r="M62" s="0" t="s">
        <v>2202</v>
      </c>
      <c r="N62" s="0" t="s">
        <v>400</v>
      </c>
    </row>
    <row customHeight="1" ht="11.25">
      <c r="A63" s="7657" t="s">
        <v>2195</v>
      </c>
      <c r="B63" s="7657" t="s">
        <v>14</v>
      </c>
      <c r="C63" s="7657" t="s">
        <v>2448</v>
      </c>
      <c r="D63" s="7657" t="s">
        <v>2449</v>
      </c>
      <c r="E63" s="7657" t="s">
        <v>2450</v>
      </c>
      <c r="F63" s="7657" t="s">
        <v>1433</v>
      </c>
      <c r="G63" s="7657" t="s">
        <v>2451</v>
      </c>
      <c r="H63" s="7657" t="s">
        <v>17</v>
      </c>
      <c r="I63" s="7657" t="s">
        <v>2452</v>
      </c>
      <c r="J63" s="0" t="s">
        <v>2453</v>
      </c>
      <c r="K63" s="0" t="s">
        <v>922</v>
      </c>
      <c r="L63" s="0" t="s">
        <v>2427</v>
      </c>
      <c r="M63" s="0" t="s">
        <v>2428</v>
      </c>
      <c r="N63" s="0" t="s">
        <v>400</v>
      </c>
    </row>
    <row customHeight="1" ht="11.25">
      <c r="A64" s="7657" t="s">
        <v>2195</v>
      </c>
      <c r="B64" s="7657" t="s">
        <v>14</v>
      </c>
      <c r="C64" s="7657" t="s">
        <v>2448</v>
      </c>
      <c r="D64" s="7657" t="s">
        <v>2449</v>
      </c>
      <c r="E64" s="7657" t="s">
        <v>2450</v>
      </c>
      <c r="F64" s="7657" t="s">
        <v>1433</v>
      </c>
      <c r="G64" s="7657" t="s">
        <v>2451</v>
      </c>
      <c r="H64" s="7657" t="s">
        <v>17</v>
      </c>
      <c r="I64" s="7657" t="s">
        <v>2454</v>
      </c>
      <c r="J64" s="0" t="s">
        <v>17</v>
      </c>
      <c r="K64" s="0" t="s">
        <v>922</v>
      </c>
      <c r="L64" s="0" t="s">
        <v>2427</v>
      </c>
      <c r="M64" s="0" t="s">
        <v>2428</v>
      </c>
      <c r="N64" s="0" t="s">
        <v>400</v>
      </c>
    </row>
    <row customHeight="1" ht="11.25">
      <c r="A65" s="7657" t="s">
        <v>2195</v>
      </c>
      <c r="B65" s="7657" t="s">
        <v>14</v>
      </c>
      <c r="C65" s="7657" t="s">
        <v>2455</v>
      </c>
      <c r="D65" s="7657" t="s">
        <v>2456</v>
      </c>
      <c r="E65" s="7657" t="s">
        <v>2457</v>
      </c>
      <c r="F65" s="7657" t="s">
        <v>1433</v>
      </c>
      <c r="G65" s="7657" t="s">
        <v>2458</v>
      </c>
      <c r="H65" s="7657" t="s">
        <v>17</v>
      </c>
      <c r="I65" s="7657" t="s">
        <v>2459</v>
      </c>
      <c r="J65" s="0" t="s">
        <v>17</v>
      </c>
      <c r="K65" s="0" t="s">
        <v>878</v>
      </c>
      <c r="L65" s="0" t="s">
        <v>2201</v>
      </c>
      <c r="M65" s="0" t="s">
        <v>2202</v>
      </c>
      <c r="N65" s="0" t="s">
        <v>400</v>
      </c>
    </row>
    <row customHeight="1" ht="11.25">
      <c r="A66" s="7657" t="s">
        <v>2195</v>
      </c>
      <c r="B66" s="7657" t="s">
        <v>14</v>
      </c>
      <c r="C66" s="7657" t="s">
        <v>2460</v>
      </c>
      <c r="D66" s="7657" t="s">
        <v>2461</v>
      </c>
      <c r="E66" s="7657" t="s">
        <v>2462</v>
      </c>
      <c r="F66" s="7657" t="s">
        <v>2227</v>
      </c>
      <c r="G66" s="7657" t="s">
        <v>2463</v>
      </c>
      <c r="H66" s="7657" t="s">
        <v>17</v>
      </c>
      <c r="I66" s="7657" t="s">
        <v>2463</v>
      </c>
      <c r="J66" s="0" t="s">
        <v>17</v>
      </c>
      <c r="K66" s="0" t="s">
        <v>878</v>
      </c>
      <c r="L66" s="0" t="s">
        <v>2201</v>
      </c>
      <c r="M66" s="0" t="s">
        <v>2202</v>
      </c>
      <c r="N66" s="0" t="s">
        <v>400</v>
      </c>
    </row>
    <row customHeight="1" ht="11.25">
      <c r="A67" s="7657" t="s">
        <v>2195</v>
      </c>
      <c r="B67" s="7657" t="s">
        <v>14</v>
      </c>
      <c r="C67" s="7657" t="s">
        <v>2464</v>
      </c>
      <c r="D67" s="7657" t="s">
        <v>2465</v>
      </c>
      <c r="E67" s="7657" t="s">
        <v>2466</v>
      </c>
      <c r="F67" s="7657" t="s">
        <v>2467</v>
      </c>
      <c r="G67" s="7657" t="s">
        <v>17</v>
      </c>
      <c r="H67" s="7657" t="s">
        <v>17</v>
      </c>
      <c r="I67" s="7657" t="s">
        <v>2468</v>
      </c>
      <c r="J67" s="0" t="s">
        <v>17</v>
      </c>
      <c r="K67" s="0" t="s">
        <v>878</v>
      </c>
      <c r="L67" s="0" t="s">
        <v>2201</v>
      </c>
      <c r="M67" s="0" t="s">
        <v>2202</v>
      </c>
      <c r="N67" s="0" t="s">
        <v>400</v>
      </c>
    </row>
    <row customHeight="1" ht="11.25">
      <c r="A68" s="7657" t="s">
        <v>2195</v>
      </c>
      <c r="B68" s="7657" t="s">
        <v>14</v>
      </c>
      <c r="C68" s="7657" t="s">
        <v>2469</v>
      </c>
      <c r="D68" s="7657" t="s">
        <v>2470</v>
      </c>
      <c r="E68" s="7657" t="s">
        <v>2357</v>
      </c>
      <c r="F68" s="7657" t="s">
        <v>2471</v>
      </c>
      <c r="G68" s="7657" t="s">
        <v>2359</v>
      </c>
      <c r="H68" s="7657" t="s">
        <v>17</v>
      </c>
      <c r="I68" s="7657" t="s">
        <v>2472</v>
      </c>
      <c r="J68" s="0" t="s">
        <v>17</v>
      </c>
      <c r="K68" s="0" t="s">
        <v>922</v>
      </c>
      <c r="L68" s="0" t="s">
        <v>2427</v>
      </c>
      <c r="M68" s="0" t="s">
        <v>2428</v>
      </c>
      <c r="N68" s="0" t="s">
        <v>400</v>
      </c>
    </row>
    <row customHeight="1" ht="11.25">
      <c r="A69" s="7657" t="s">
        <v>2195</v>
      </c>
      <c r="B69" s="7657" t="s">
        <v>14</v>
      </c>
      <c r="C69" s="7657" t="s">
        <v>2469</v>
      </c>
      <c r="D69" s="7657" t="s">
        <v>2470</v>
      </c>
      <c r="E69" s="7657" t="s">
        <v>2357</v>
      </c>
      <c r="F69" s="7657" t="s">
        <v>2471</v>
      </c>
      <c r="G69" s="7657" t="s">
        <v>2359</v>
      </c>
      <c r="H69" s="7657" t="s">
        <v>17</v>
      </c>
      <c r="I69" s="7657" t="s">
        <v>2472</v>
      </c>
      <c r="J69" s="0" t="s">
        <v>17</v>
      </c>
      <c r="K69" s="0" t="s">
        <v>2473</v>
      </c>
      <c r="L69" s="0" t="s">
        <v>810</v>
      </c>
      <c r="M69" s="0" t="s">
        <v>2474</v>
      </c>
      <c r="N69" s="0" t="s">
        <v>400</v>
      </c>
    </row>
    <row customHeight="1" ht="11.25">
      <c r="A70" s="7657" t="s">
        <v>2195</v>
      </c>
      <c r="B70" s="7657" t="s">
        <v>14</v>
      </c>
      <c r="C70" s="7657" t="s">
        <v>2475</v>
      </c>
      <c r="D70" s="7657" t="s">
        <v>2476</v>
      </c>
      <c r="E70" s="7657" t="s">
        <v>2477</v>
      </c>
      <c r="F70" s="7657" t="s">
        <v>2478</v>
      </c>
      <c r="G70" s="7657" t="s">
        <v>17</v>
      </c>
      <c r="H70" s="7657" t="s">
        <v>17</v>
      </c>
      <c r="I70" s="7657" t="s">
        <v>2479</v>
      </c>
      <c r="J70" s="0" t="s">
        <v>17</v>
      </c>
      <c r="K70" s="0" t="s">
        <v>878</v>
      </c>
      <c r="L70" s="0" t="s">
        <v>2201</v>
      </c>
      <c r="M70" s="0" t="s">
        <v>2202</v>
      </c>
      <c r="N70" s="0" t="s">
        <v>400</v>
      </c>
    </row>
    <row customHeight="1" ht="11.25">
      <c r="A71" s="7657" t="s">
        <v>2195</v>
      </c>
      <c r="B71" s="7657" t="s">
        <v>14</v>
      </c>
      <c r="C71" s="7657" t="s">
        <v>2480</v>
      </c>
      <c r="D71" s="7657" t="s">
        <v>2481</v>
      </c>
      <c r="E71" s="7657" t="s">
        <v>2482</v>
      </c>
      <c r="F71" s="7657" t="s">
        <v>2483</v>
      </c>
      <c r="G71" s="7657" t="s">
        <v>2484</v>
      </c>
      <c r="H71" s="7657" t="s">
        <v>17</v>
      </c>
      <c r="I71" s="7657" t="s">
        <v>2485</v>
      </c>
      <c r="J71" s="0" t="s">
        <v>17</v>
      </c>
      <c r="K71" s="0" t="s">
        <v>878</v>
      </c>
      <c r="L71" s="0" t="s">
        <v>2201</v>
      </c>
      <c r="M71" s="0" t="s">
        <v>2202</v>
      </c>
      <c r="N71" s="0" t="s">
        <v>400</v>
      </c>
    </row>
    <row customHeight="1" ht="11.25">
      <c r="A72" s="7657" t="s">
        <v>2195</v>
      </c>
      <c r="B72" s="7657" t="s">
        <v>14</v>
      </c>
      <c r="C72" s="7657" t="s">
        <v>2486</v>
      </c>
      <c r="D72" s="7657" t="s">
        <v>2487</v>
      </c>
      <c r="E72" s="7657" t="s">
        <v>2488</v>
      </c>
      <c r="F72" s="7657" t="s">
        <v>2489</v>
      </c>
      <c r="G72" s="7657" t="s">
        <v>17</v>
      </c>
      <c r="H72" s="7657" t="s">
        <v>17</v>
      </c>
      <c r="I72" s="7657" t="s">
        <v>2490</v>
      </c>
      <c r="J72" s="0" t="s">
        <v>17</v>
      </c>
      <c r="K72" s="0" t="s">
        <v>878</v>
      </c>
      <c r="L72" s="0" t="s">
        <v>2201</v>
      </c>
      <c r="M72" s="0" t="s">
        <v>2202</v>
      </c>
      <c r="N72" s="0" t="s">
        <v>400</v>
      </c>
    </row>
    <row customHeight="1" ht="11.25">
      <c r="A73" s="7657" t="s">
        <v>2195</v>
      </c>
      <c r="B73" s="7657" t="s">
        <v>14</v>
      </c>
      <c r="C73" s="7657" t="s">
        <v>2491</v>
      </c>
      <c r="D73" s="7657" t="s">
        <v>2492</v>
      </c>
      <c r="E73" s="7657" t="s">
        <v>2493</v>
      </c>
      <c r="F73" s="7657" t="s">
        <v>2489</v>
      </c>
      <c r="G73" s="7657" t="s">
        <v>17</v>
      </c>
      <c r="H73" s="7657" t="s">
        <v>17</v>
      </c>
      <c r="I73" s="7657" t="s">
        <v>2208</v>
      </c>
      <c r="J73" s="0" t="s">
        <v>17</v>
      </c>
      <c r="K73" s="0" t="s">
        <v>878</v>
      </c>
      <c r="L73" s="0" t="s">
        <v>2201</v>
      </c>
      <c r="M73" s="0" t="s">
        <v>2202</v>
      </c>
      <c r="N73" s="0" t="s">
        <v>400</v>
      </c>
    </row>
    <row customHeight="1" ht="11.25">
      <c r="A74" s="7657" t="s">
        <v>2195</v>
      </c>
      <c r="B74" s="7657" t="s">
        <v>14</v>
      </c>
      <c r="C74" s="7657" t="s">
        <v>2494</v>
      </c>
      <c r="D74" s="7657" t="s">
        <v>2495</v>
      </c>
      <c r="E74" s="7657" t="s">
        <v>2496</v>
      </c>
      <c r="F74" s="7657" t="s">
        <v>2222</v>
      </c>
      <c r="G74" s="7657" t="s">
        <v>17</v>
      </c>
      <c r="H74" s="7657" t="s">
        <v>17</v>
      </c>
      <c r="I74" s="7657" t="s">
        <v>2497</v>
      </c>
      <c r="J74" s="0" t="s">
        <v>17</v>
      </c>
      <c r="K74" s="0" t="s">
        <v>878</v>
      </c>
      <c r="L74" s="0" t="s">
        <v>2201</v>
      </c>
      <c r="M74" s="0" t="s">
        <v>2202</v>
      </c>
      <c r="N74" s="0" t="s">
        <v>400</v>
      </c>
    </row>
    <row customHeight="1" ht="11.25">
      <c r="A75" s="7657" t="s">
        <v>2195</v>
      </c>
      <c r="B75" s="7657" t="s">
        <v>14</v>
      </c>
      <c r="C75" s="7657" t="s">
        <v>2494</v>
      </c>
      <c r="D75" s="7657" t="s">
        <v>2495</v>
      </c>
      <c r="E75" s="7657" t="s">
        <v>2496</v>
      </c>
      <c r="F75" s="7657" t="s">
        <v>2222</v>
      </c>
      <c r="G75" s="7657" t="s">
        <v>17</v>
      </c>
      <c r="H75" s="7657" t="s">
        <v>17</v>
      </c>
      <c r="I75" s="7657" t="s">
        <v>2498</v>
      </c>
      <c r="J75" s="0" t="s">
        <v>17</v>
      </c>
      <c r="K75" s="0" t="s">
        <v>878</v>
      </c>
      <c r="L75" s="0" t="s">
        <v>2201</v>
      </c>
      <c r="M75" s="0" t="s">
        <v>2202</v>
      </c>
      <c r="N75" s="0" t="s">
        <v>400</v>
      </c>
    </row>
    <row customHeight="1" ht="11.25">
      <c r="A76" s="7657" t="s">
        <v>2195</v>
      </c>
      <c r="B76" s="7657" t="s">
        <v>14</v>
      </c>
      <c r="C76" s="7657" t="s">
        <v>2499</v>
      </c>
      <c r="D76" s="7657" t="s">
        <v>2500</v>
      </c>
      <c r="E76" s="7657" t="s">
        <v>2501</v>
      </c>
      <c r="F76" s="7657" t="s">
        <v>2502</v>
      </c>
      <c r="G76" s="7657" t="s">
        <v>17</v>
      </c>
      <c r="H76" s="7657" t="s">
        <v>17</v>
      </c>
      <c r="I76" s="7657" t="s">
        <v>2426</v>
      </c>
      <c r="J76" s="0" t="s">
        <v>17</v>
      </c>
      <c r="K76" s="0" t="s">
        <v>878</v>
      </c>
      <c r="L76" s="0" t="s">
        <v>2201</v>
      </c>
      <c r="M76" s="0" t="s">
        <v>2202</v>
      </c>
      <c r="N76" s="0" t="s">
        <v>400</v>
      </c>
    </row>
    <row customHeight="1" ht="11.25">
      <c r="A77" s="7657" t="s">
        <v>2195</v>
      </c>
      <c r="B77" s="7657" t="s">
        <v>14</v>
      </c>
      <c r="C77" s="7657" t="s">
        <v>2503</v>
      </c>
      <c r="D77" s="7657" t="s">
        <v>2504</v>
      </c>
      <c r="E77" s="7657" t="s">
        <v>2505</v>
      </c>
      <c r="F77" s="7657" t="s">
        <v>2506</v>
      </c>
      <c r="G77" s="7657" t="s">
        <v>2507</v>
      </c>
      <c r="H77" s="7657" t="s">
        <v>17</v>
      </c>
      <c r="I77" s="7657" t="s">
        <v>2507</v>
      </c>
      <c r="J77" s="0" t="s">
        <v>17</v>
      </c>
      <c r="K77" s="0" t="s">
        <v>782</v>
      </c>
      <c r="L77" s="0" t="s">
        <v>2508</v>
      </c>
      <c r="M77" s="0" t="s">
        <v>2509</v>
      </c>
      <c r="N77" s="0" t="s">
        <v>400</v>
      </c>
    </row>
    <row customHeight="1" ht="11.25">
      <c r="A78" s="7657" t="s">
        <v>2195</v>
      </c>
      <c r="B78" s="7657" t="s">
        <v>14</v>
      </c>
      <c r="C78" s="7657" t="s">
        <v>2510</v>
      </c>
      <c r="D78" s="7657" t="s">
        <v>2511</v>
      </c>
      <c r="E78" s="7657" t="s">
        <v>2512</v>
      </c>
      <c r="F78" s="7657" t="s">
        <v>2513</v>
      </c>
      <c r="G78" s="7657" t="s">
        <v>17</v>
      </c>
      <c r="H78" s="7657" t="s">
        <v>17</v>
      </c>
      <c r="I78" s="7657" t="s">
        <v>2228</v>
      </c>
      <c r="J78" s="0" t="s">
        <v>17</v>
      </c>
      <c r="K78" s="0" t="s">
        <v>782</v>
      </c>
      <c r="L78" s="0" t="s">
        <v>2508</v>
      </c>
      <c r="M78" s="0" t="s">
        <v>2509</v>
      </c>
      <c r="N78" s="0" t="s">
        <v>400</v>
      </c>
    </row>
    <row customHeight="1" ht="11.25">
      <c r="A79" s="7657" t="s">
        <v>2195</v>
      </c>
      <c r="B79" s="7657" t="s">
        <v>14</v>
      </c>
      <c r="C79" s="7657" t="s">
        <v>2514</v>
      </c>
      <c r="D79" s="7657" t="s">
        <v>2515</v>
      </c>
      <c r="E79" s="7657" t="s">
        <v>2516</v>
      </c>
      <c r="F79" s="7657" t="s">
        <v>2517</v>
      </c>
      <c r="G79" s="7657" t="s">
        <v>17</v>
      </c>
      <c r="H79" s="7657" t="s">
        <v>17</v>
      </c>
      <c r="I79" s="7657" t="s">
        <v>2518</v>
      </c>
      <c r="J79" s="0" t="s">
        <v>17</v>
      </c>
      <c r="K79" s="0" t="s">
        <v>878</v>
      </c>
      <c r="L79" s="0" t="s">
        <v>2201</v>
      </c>
      <c r="M79" s="0" t="s">
        <v>2202</v>
      </c>
      <c r="N79" s="0" t="s">
        <v>400</v>
      </c>
    </row>
    <row customHeight="1" ht="11.25">
      <c r="A80" s="7657" t="s">
        <v>2195</v>
      </c>
      <c r="B80" s="7657" t="s">
        <v>14</v>
      </c>
      <c r="C80" s="7657" t="s">
        <v>2519</v>
      </c>
      <c r="D80" s="7657" t="s">
        <v>2520</v>
      </c>
      <c r="E80" s="7657" t="s">
        <v>2521</v>
      </c>
      <c r="F80" s="7657" t="s">
        <v>2206</v>
      </c>
      <c r="G80" s="7657" t="s">
        <v>2522</v>
      </c>
      <c r="H80" s="7657" t="s">
        <v>17</v>
      </c>
      <c r="I80" s="7657" t="s">
        <v>2523</v>
      </c>
      <c r="J80" s="0" t="s">
        <v>17</v>
      </c>
      <c r="K80" s="0" t="s">
        <v>878</v>
      </c>
      <c r="L80" s="0" t="s">
        <v>2201</v>
      </c>
      <c r="M80" s="0" t="s">
        <v>2202</v>
      </c>
      <c r="N80" s="0" t="s">
        <v>400</v>
      </c>
    </row>
    <row customHeight="1" ht="11.25">
      <c r="A81" s="7657" t="s">
        <v>2195</v>
      </c>
      <c r="B81" s="7657" t="s">
        <v>14</v>
      </c>
      <c r="C81" s="7657" t="s">
        <v>2524</v>
      </c>
      <c r="D81" s="7657" t="s">
        <v>2525</v>
      </c>
      <c r="E81" s="7657" t="s">
        <v>2526</v>
      </c>
      <c r="F81" s="7657" t="s">
        <v>2527</v>
      </c>
      <c r="G81" s="7657" t="s">
        <v>2528</v>
      </c>
      <c r="H81" s="7657" t="s">
        <v>17</v>
      </c>
      <c r="I81" s="7657" t="s">
        <v>2529</v>
      </c>
      <c r="J81" s="0" t="s">
        <v>17</v>
      </c>
      <c r="K81" s="0" t="s">
        <v>878</v>
      </c>
      <c r="L81" s="0" t="s">
        <v>2201</v>
      </c>
      <c r="M81" s="0" t="s">
        <v>2202</v>
      </c>
      <c r="N81" s="0" t="s">
        <v>400</v>
      </c>
    </row>
    <row customHeight="1" ht="11.25">
      <c r="A82" s="7657" t="s">
        <v>2195</v>
      </c>
      <c r="B82" s="7657" t="s">
        <v>14</v>
      </c>
      <c r="C82" s="7657" t="s">
        <v>2530</v>
      </c>
      <c r="D82" s="7657" t="s">
        <v>2531</v>
      </c>
      <c r="E82" s="7657" t="s">
        <v>2532</v>
      </c>
      <c r="F82" s="7657" t="s">
        <v>2321</v>
      </c>
      <c r="G82" s="7657" t="s">
        <v>2533</v>
      </c>
      <c r="H82" s="7657" t="s">
        <v>17</v>
      </c>
      <c r="I82" s="7657" t="s">
        <v>2534</v>
      </c>
      <c r="J82" s="0" t="s">
        <v>17</v>
      </c>
      <c r="K82" s="0" t="s">
        <v>878</v>
      </c>
      <c r="L82" s="0" t="s">
        <v>2201</v>
      </c>
      <c r="M82" s="0" t="s">
        <v>2202</v>
      </c>
      <c r="N82" s="0" t="s">
        <v>400</v>
      </c>
    </row>
    <row customHeight="1" ht="11.25">
      <c r="A83" s="7657" t="s">
        <v>2195</v>
      </c>
      <c r="B83" s="7657" t="s">
        <v>14</v>
      </c>
      <c r="C83" s="7657" t="s">
        <v>2535</v>
      </c>
      <c r="D83" s="7657" t="s">
        <v>2536</v>
      </c>
      <c r="E83" s="7657" t="s">
        <v>2537</v>
      </c>
      <c r="F83" s="7657" t="s">
        <v>2478</v>
      </c>
      <c r="G83" s="7657" t="s">
        <v>2538</v>
      </c>
      <c r="H83" s="7657" t="s">
        <v>17</v>
      </c>
      <c r="I83" s="7657" t="s">
        <v>2538</v>
      </c>
      <c r="J83" s="0" t="s">
        <v>17</v>
      </c>
      <c r="K83" s="0" t="s">
        <v>782</v>
      </c>
      <c r="L83" s="0" t="s">
        <v>2508</v>
      </c>
      <c r="M83" s="0" t="s">
        <v>2509</v>
      </c>
      <c r="N83" s="0" t="s">
        <v>400</v>
      </c>
    </row>
    <row customHeight="1" ht="11.25">
      <c r="A84" s="7657" t="s">
        <v>2195</v>
      </c>
      <c r="B84" s="7657" t="s">
        <v>14</v>
      </c>
      <c r="C84" s="7657" t="s">
        <v>2539</v>
      </c>
      <c r="D84" s="7657" t="s">
        <v>2540</v>
      </c>
      <c r="E84" s="7657" t="s">
        <v>2541</v>
      </c>
      <c r="F84" s="7657" t="s">
        <v>2542</v>
      </c>
      <c r="G84" s="7657" t="s">
        <v>2543</v>
      </c>
      <c r="H84" s="7657" t="s">
        <v>17</v>
      </c>
      <c r="I84" s="7657" t="s">
        <v>2353</v>
      </c>
      <c r="J84" s="0" t="s">
        <v>17</v>
      </c>
      <c r="K84" s="0" t="s">
        <v>878</v>
      </c>
      <c r="L84" s="0" t="s">
        <v>2201</v>
      </c>
      <c r="M84" s="0" t="s">
        <v>2202</v>
      </c>
      <c r="N84" s="0" t="s">
        <v>400</v>
      </c>
    </row>
    <row customHeight="1" ht="11.25">
      <c r="A85" s="7657" t="s">
        <v>2195</v>
      </c>
      <c r="B85" s="7657" t="s">
        <v>14</v>
      </c>
      <c r="C85" s="7657" t="s">
        <v>2544</v>
      </c>
      <c r="D85" s="7657" t="s">
        <v>2545</v>
      </c>
      <c r="E85" s="7657" t="s">
        <v>2546</v>
      </c>
      <c r="F85" s="7657" t="s">
        <v>2527</v>
      </c>
      <c r="G85" s="7657" t="s">
        <v>2547</v>
      </c>
      <c r="H85" s="7657" t="s">
        <v>17</v>
      </c>
      <c r="I85" s="7657" t="s">
        <v>2548</v>
      </c>
      <c r="J85" s="0" t="s">
        <v>17</v>
      </c>
      <c r="K85" s="0" t="s">
        <v>878</v>
      </c>
      <c r="L85" s="0" t="s">
        <v>2201</v>
      </c>
      <c r="M85" s="0" t="s">
        <v>2202</v>
      </c>
      <c r="N85" s="0" t="s">
        <v>400</v>
      </c>
    </row>
    <row customHeight="1" ht="11.25">
      <c r="A86" s="7657" t="s">
        <v>2195</v>
      </c>
      <c r="B86" s="7657" t="s">
        <v>14</v>
      </c>
      <c r="C86" s="7657" t="s">
        <v>2549</v>
      </c>
      <c r="D86" s="7657" t="s">
        <v>2550</v>
      </c>
      <c r="E86" s="7657" t="s">
        <v>2551</v>
      </c>
      <c r="F86" s="7657" t="s">
        <v>2506</v>
      </c>
      <c r="G86" s="7657" t="s">
        <v>17</v>
      </c>
      <c r="H86" s="7657" t="s">
        <v>17</v>
      </c>
      <c r="I86" s="7657" t="s">
        <v>2552</v>
      </c>
      <c r="J86" s="0" t="s">
        <v>17</v>
      </c>
      <c r="K86" s="0" t="s">
        <v>782</v>
      </c>
      <c r="L86" s="0" t="s">
        <v>2508</v>
      </c>
      <c r="M86" s="0" t="s">
        <v>2509</v>
      </c>
      <c r="N86" s="0" t="s">
        <v>400</v>
      </c>
    </row>
    <row customHeight="1" ht="11.25">
      <c r="A87" s="7657" t="s">
        <v>2195</v>
      </c>
      <c r="B87" s="7657" t="s">
        <v>14</v>
      </c>
      <c r="C87" s="7657" t="s">
        <v>2553</v>
      </c>
      <c r="D87" s="7657" t="s">
        <v>2554</v>
      </c>
      <c r="E87" s="7657" t="s">
        <v>2555</v>
      </c>
      <c r="F87" s="7657" t="s">
        <v>2556</v>
      </c>
      <c r="G87" s="7657" t="s">
        <v>2557</v>
      </c>
      <c r="H87" s="7657" t="s">
        <v>17</v>
      </c>
      <c r="I87" s="7657" t="s">
        <v>2340</v>
      </c>
      <c r="J87" s="0" t="s">
        <v>17</v>
      </c>
      <c r="K87" s="0" t="s">
        <v>878</v>
      </c>
      <c r="L87" s="0" t="s">
        <v>2201</v>
      </c>
      <c r="M87" s="0" t="s">
        <v>2202</v>
      </c>
      <c r="N87" s="0" t="s">
        <v>400</v>
      </c>
    </row>
    <row customHeight="1" ht="11.25">
      <c r="A88" s="7657" t="s">
        <v>2195</v>
      </c>
      <c r="B88" s="7657" t="s">
        <v>14</v>
      </c>
      <c r="C88" s="7657" t="s">
        <v>2558</v>
      </c>
      <c r="D88" s="7657" t="s">
        <v>2559</v>
      </c>
      <c r="E88" s="7657" t="s">
        <v>2560</v>
      </c>
      <c r="F88" s="7657" t="s">
        <v>2489</v>
      </c>
      <c r="G88" s="7657" t="s">
        <v>17</v>
      </c>
      <c r="H88" s="7657" t="s">
        <v>17</v>
      </c>
      <c r="I88" s="7657" t="s">
        <v>2561</v>
      </c>
      <c r="J88" s="0" t="s">
        <v>17</v>
      </c>
      <c r="K88" s="0" t="s">
        <v>878</v>
      </c>
      <c r="L88" s="0" t="s">
        <v>2201</v>
      </c>
      <c r="M88" s="0" t="s">
        <v>2202</v>
      </c>
      <c r="N88" s="0" t="s">
        <v>400</v>
      </c>
    </row>
    <row customHeight="1" ht="11.25">
      <c r="A89" s="7657" t="s">
        <v>2195</v>
      </c>
      <c r="B89" s="7657" t="s">
        <v>14</v>
      </c>
      <c r="C89" s="7657" t="s">
        <v>2562</v>
      </c>
      <c r="D89" s="7657" t="s">
        <v>2563</v>
      </c>
      <c r="E89" s="7657" t="s">
        <v>2564</v>
      </c>
      <c r="F89" s="7657" t="s">
        <v>2306</v>
      </c>
      <c r="G89" s="7657" t="s">
        <v>17</v>
      </c>
      <c r="H89" s="7657" t="s">
        <v>17</v>
      </c>
      <c r="I89" s="7657" t="s">
        <v>2565</v>
      </c>
      <c r="J89" s="0" t="s">
        <v>17</v>
      </c>
      <c r="K89" s="0" t="s">
        <v>878</v>
      </c>
      <c r="L89" s="0" t="s">
        <v>2201</v>
      </c>
      <c r="M89" s="0" t="s">
        <v>2202</v>
      </c>
      <c r="N89" s="0" t="s">
        <v>400</v>
      </c>
    </row>
    <row customHeight="1" ht="11.25">
      <c r="A90" s="7657" t="s">
        <v>2195</v>
      </c>
      <c r="B90" s="7657" t="s">
        <v>14</v>
      </c>
      <c r="C90" s="7657" t="s">
        <v>2566</v>
      </c>
      <c r="D90" s="7657" t="s">
        <v>2567</v>
      </c>
      <c r="E90" s="7657" t="s">
        <v>2568</v>
      </c>
      <c r="F90" s="7657" t="s">
        <v>2569</v>
      </c>
      <c r="G90" s="7657" t="s">
        <v>2570</v>
      </c>
      <c r="H90" s="7657" t="s">
        <v>17</v>
      </c>
      <c r="I90" s="7657" t="s">
        <v>2571</v>
      </c>
      <c r="J90" s="0" t="s">
        <v>17</v>
      </c>
      <c r="K90" s="0" t="s">
        <v>878</v>
      </c>
      <c r="L90" s="0" t="s">
        <v>2201</v>
      </c>
      <c r="M90" s="0" t="s">
        <v>2202</v>
      </c>
      <c r="N90" s="0" t="s">
        <v>400</v>
      </c>
    </row>
    <row customHeight="1" ht="11.25">
      <c r="A91" s="7657" t="s">
        <v>2195</v>
      </c>
      <c r="B91" s="7657" t="s">
        <v>14</v>
      </c>
      <c r="C91" s="7657" t="s">
        <v>2572</v>
      </c>
      <c r="D91" s="7657" t="s">
        <v>2573</v>
      </c>
      <c r="E91" s="7657" t="s">
        <v>2574</v>
      </c>
      <c r="F91" s="7657" t="s">
        <v>2575</v>
      </c>
      <c r="G91" s="7657" t="s">
        <v>2576</v>
      </c>
      <c r="H91" s="7657" t="s">
        <v>17</v>
      </c>
      <c r="I91" s="7657" t="s">
        <v>2576</v>
      </c>
      <c r="J91" s="0" t="s">
        <v>17</v>
      </c>
      <c r="K91" s="0" t="s">
        <v>878</v>
      </c>
      <c r="L91" s="0" t="s">
        <v>2201</v>
      </c>
      <c r="M91" s="0" t="s">
        <v>2202</v>
      </c>
      <c r="N91" s="0" t="s">
        <v>400</v>
      </c>
    </row>
    <row customHeight="1" ht="11.25">
      <c r="A92" s="7657" t="s">
        <v>2195</v>
      </c>
      <c r="B92" s="7657" t="s">
        <v>14</v>
      </c>
      <c r="C92" s="7657" t="s">
        <v>2577</v>
      </c>
      <c r="D92" s="7657" t="s">
        <v>2578</v>
      </c>
      <c r="E92" s="7657" t="s">
        <v>2579</v>
      </c>
      <c r="F92" s="7657" t="s">
        <v>2425</v>
      </c>
      <c r="G92" s="7657" t="s">
        <v>17</v>
      </c>
      <c r="H92" s="7657" t="s">
        <v>17</v>
      </c>
      <c r="I92" s="7657" t="s">
        <v>2580</v>
      </c>
      <c r="J92" s="0" t="s">
        <v>17</v>
      </c>
      <c r="K92" s="0" t="s">
        <v>878</v>
      </c>
      <c r="L92" s="0" t="s">
        <v>2201</v>
      </c>
      <c r="M92" s="0" t="s">
        <v>2202</v>
      </c>
      <c r="N92" s="0" t="s">
        <v>400</v>
      </c>
    </row>
    <row customHeight="1" ht="11.25">
      <c r="A93" s="7657" t="s">
        <v>2195</v>
      </c>
      <c r="B93" s="7657" t="s">
        <v>14</v>
      </c>
      <c r="C93" s="7657" t="s">
        <v>2577</v>
      </c>
      <c r="D93" s="7657" t="s">
        <v>2578</v>
      </c>
      <c r="E93" s="7657" t="s">
        <v>2579</v>
      </c>
      <c r="F93" s="7657" t="s">
        <v>2425</v>
      </c>
      <c r="G93" s="7657" t="s">
        <v>17</v>
      </c>
      <c r="H93" s="7657" t="s">
        <v>17</v>
      </c>
      <c r="I93" s="7657" t="s">
        <v>2581</v>
      </c>
      <c r="J93" s="0" t="s">
        <v>17</v>
      </c>
      <c r="K93" s="0" t="s">
        <v>878</v>
      </c>
      <c r="L93" s="0" t="s">
        <v>2201</v>
      </c>
      <c r="M93" s="0" t="s">
        <v>2202</v>
      </c>
      <c r="N93" s="0" t="s">
        <v>400</v>
      </c>
    </row>
    <row customHeight="1" ht="11.25">
      <c r="A94" s="7657" t="s">
        <v>2195</v>
      </c>
      <c r="B94" s="7657" t="s">
        <v>14</v>
      </c>
      <c r="C94" s="7657" t="s">
        <v>2582</v>
      </c>
      <c r="D94" s="7657" t="s">
        <v>2583</v>
      </c>
      <c r="E94" s="7657" t="s">
        <v>2584</v>
      </c>
      <c r="F94" s="7657" t="s">
        <v>2478</v>
      </c>
      <c r="G94" s="7657" t="s">
        <v>2585</v>
      </c>
      <c r="H94" s="7657" t="s">
        <v>17</v>
      </c>
      <c r="I94" s="7657" t="s">
        <v>2586</v>
      </c>
      <c r="J94" s="0" t="s">
        <v>17</v>
      </c>
      <c r="K94" s="0" t="s">
        <v>878</v>
      </c>
      <c r="L94" s="0" t="s">
        <v>2201</v>
      </c>
      <c r="M94" s="0" t="s">
        <v>2202</v>
      </c>
      <c r="N94" s="0" t="s">
        <v>400</v>
      </c>
    </row>
    <row customHeight="1" ht="11.25">
      <c r="A95" s="7657" t="s">
        <v>2195</v>
      </c>
      <c r="B95" s="7657" t="s">
        <v>14</v>
      </c>
      <c r="C95" s="7657" t="s">
        <v>2587</v>
      </c>
      <c r="D95" s="7657" t="s">
        <v>2588</v>
      </c>
      <c r="E95" s="7657" t="s">
        <v>2589</v>
      </c>
      <c r="F95" s="7657" t="s">
        <v>2590</v>
      </c>
      <c r="G95" s="7657" t="s">
        <v>2591</v>
      </c>
      <c r="H95" s="7657" t="s">
        <v>17</v>
      </c>
      <c r="I95" s="7657" t="s">
        <v>2591</v>
      </c>
      <c r="J95" s="0" t="s">
        <v>17</v>
      </c>
      <c r="K95" s="0" t="s">
        <v>878</v>
      </c>
      <c r="L95" s="0" t="s">
        <v>2201</v>
      </c>
      <c r="M95" s="0" t="s">
        <v>2202</v>
      </c>
      <c r="N95" s="0" t="s">
        <v>400</v>
      </c>
    </row>
    <row customHeight="1" ht="11.25">
      <c r="A96" s="7657" t="s">
        <v>2195</v>
      </c>
      <c r="B96" s="7657" t="s">
        <v>14</v>
      </c>
      <c r="C96" s="7657" t="s">
        <v>2592</v>
      </c>
      <c r="D96" s="7657" t="s">
        <v>2593</v>
      </c>
      <c r="E96" s="7657" t="s">
        <v>2594</v>
      </c>
      <c r="F96" s="7657" t="s">
        <v>2595</v>
      </c>
      <c r="G96" s="7657" t="s">
        <v>17</v>
      </c>
      <c r="H96" s="7657" t="s">
        <v>17</v>
      </c>
      <c r="I96" s="7657" t="s">
        <v>2228</v>
      </c>
      <c r="J96" s="0" t="s">
        <v>17</v>
      </c>
      <c r="K96" s="0" t="s">
        <v>878</v>
      </c>
      <c r="L96" s="0" t="s">
        <v>2201</v>
      </c>
      <c r="M96" s="0" t="s">
        <v>2202</v>
      </c>
      <c r="N96" s="0" t="s">
        <v>400</v>
      </c>
    </row>
    <row customHeight="1" ht="11.25">
      <c r="A97" s="7657" t="s">
        <v>2195</v>
      </c>
      <c r="B97" s="7657" t="s">
        <v>14</v>
      </c>
      <c r="C97" s="7657" t="s">
        <v>2596</v>
      </c>
      <c r="D97" s="7657" t="s">
        <v>2597</v>
      </c>
      <c r="E97" s="7657" t="s">
        <v>2598</v>
      </c>
      <c r="F97" s="7657" t="s">
        <v>2599</v>
      </c>
      <c r="G97" s="7657" t="s">
        <v>2600</v>
      </c>
      <c r="H97" s="7657" t="s">
        <v>17</v>
      </c>
      <c r="I97" s="7657" t="s">
        <v>2552</v>
      </c>
      <c r="J97" s="0" t="s">
        <v>2601</v>
      </c>
      <c r="K97" s="0" t="s">
        <v>878</v>
      </c>
      <c r="L97" s="0" t="s">
        <v>2201</v>
      </c>
      <c r="M97" s="0" t="s">
        <v>2202</v>
      </c>
      <c r="N97" s="0" t="s">
        <v>400</v>
      </c>
    </row>
    <row customHeight="1" ht="11.25">
      <c r="A98" s="7657" t="s">
        <v>2195</v>
      </c>
      <c r="B98" s="7657" t="s">
        <v>14</v>
      </c>
      <c r="C98" s="7657" t="s">
        <v>2596</v>
      </c>
      <c r="D98" s="7657" t="s">
        <v>2597</v>
      </c>
      <c r="E98" s="7657" t="s">
        <v>2598</v>
      </c>
      <c r="F98" s="7657" t="s">
        <v>2599</v>
      </c>
      <c r="G98" s="7657" t="s">
        <v>2600</v>
      </c>
      <c r="H98" s="7657" t="s">
        <v>17</v>
      </c>
      <c r="I98" s="7657" t="s">
        <v>2602</v>
      </c>
      <c r="J98" s="0" t="s">
        <v>2601</v>
      </c>
      <c r="K98" s="0" t="s">
        <v>878</v>
      </c>
      <c r="L98" s="0" t="s">
        <v>2201</v>
      </c>
      <c r="M98" s="0" t="s">
        <v>2202</v>
      </c>
      <c r="N98" s="0" t="s">
        <v>400</v>
      </c>
    </row>
    <row customHeight="1" ht="11.25">
      <c r="A99" s="7657" t="s">
        <v>2195</v>
      </c>
      <c r="B99" s="7657" t="s">
        <v>14</v>
      </c>
      <c r="C99" s="7657" t="s">
        <v>2603</v>
      </c>
      <c r="D99" s="7657" t="s">
        <v>2604</v>
      </c>
      <c r="E99" s="7657" t="s">
        <v>2605</v>
      </c>
      <c r="F99" s="7657" t="s">
        <v>2606</v>
      </c>
      <c r="G99" s="7657" t="s">
        <v>17</v>
      </c>
      <c r="H99" s="7657" t="s">
        <v>17</v>
      </c>
      <c r="I99" s="7657" t="s">
        <v>2607</v>
      </c>
      <c r="J99" s="0" t="s">
        <v>17</v>
      </c>
      <c r="K99" s="0" t="s">
        <v>878</v>
      </c>
      <c r="L99" s="0" t="s">
        <v>2201</v>
      </c>
      <c r="M99" s="0" t="s">
        <v>2202</v>
      </c>
      <c r="N99" s="0" t="s">
        <v>400</v>
      </c>
    </row>
    <row customHeight="1" ht="11.25">
      <c r="A100" s="7657" t="s">
        <v>2195</v>
      </c>
      <c r="B100" s="7657" t="s">
        <v>14</v>
      </c>
      <c r="C100" s="7657" t="s">
        <v>2608</v>
      </c>
      <c r="D100" s="7657" t="s">
        <v>2609</v>
      </c>
      <c r="E100" s="7657" t="s">
        <v>2610</v>
      </c>
      <c r="F100" s="7657" t="s">
        <v>2388</v>
      </c>
      <c r="G100" s="7657" t="s">
        <v>2611</v>
      </c>
      <c r="H100" s="7657" t="s">
        <v>17</v>
      </c>
      <c r="I100" s="7657" t="s">
        <v>2612</v>
      </c>
      <c r="J100" s="0" t="s">
        <v>17</v>
      </c>
      <c r="K100" s="0" t="s">
        <v>878</v>
      </c>
      <c r="L100" s="0" t="s">
        <v>2201</v>
      </c>
      <c r="M100" s="0" t="s">
        <v>2202</v>
      </c>
      <c r="N100" s="0" t="s">
        <v>400</v>
      </c>
    </row>
    <row customHeight="1" ht="11.25">
      <c r="A101" s="7657" t="s">
        <v>2195</v>
      </c>
      <c r="B101" s="7657" t="s">
        <v>14</v>
      </c>
      <c r="C101" s="7657" t="s">
        <v>2613</v>
      </c>
      <c r="D101" s="7657" t="s">
        <v>2614</v>
      </c>
      <c r="E101" s="7657" t="s">
        <v>2615</v>
      </c>
      <c r="F101" s="7657" t="s">
        <v>2489</v>
      </c>
      <c r="G101" s="7657" t="s">
        <v>17</v>
      </c>
      <c r="H101" s="7657" t="s">
        <v>17</v>
      </c>
      <c r="I101" s="7657" t="s">
        <v>2208</v>
      </c>
      <c r="J101" s="0" t="s">
        <v>17</v>
      </c>
      <c r="K101" s="0" t="s">
        <v>878</v>
      </c>
      <c r="L101" s="0" t="s">
        <v>2201</v>
      </c>
      <c r="M101" s="0" t="s">
        <v>2202</v>
      </c>
      <c r="N101" s="0" t="s">
        <v>400</v>
      </c>
    </row>
    <row customHeight="1" ht="11.25">
      <c r="A102" s="7657" t="s">
        <v>2195</v>
      </c>
      <c r="B102" s="7657" t="s">
        <v>14</v>
      </c>
      <c r="C102" s="7657" t="s">
        <v>2616</v>
      </c>
      <c r="D102" s="7657" t="s">
        <v>2617</v>
      </c>
      <c r="E102" s="7657" t="s">
        <v>2618</v>
      </c>
      <c r="F102" s="7657" t="s">
        <v>2619</v>
      </c>
      <c r="G102" s="7657" t="s">
        <v>17</v>
      </c>
      <c r="H102" s="7657" t="s">
        <v>17</v>
      </c>
      <c r="I102" s="7657" t="s">
        <v>2620</v>
      </c>
      <c r="J102" s="0" t="s">
        <v>17</v>
      </c>
      <c r="K102" s="0" t="s">
        <v>878</v>
      </c>
      <c r="L102" s="0" t="s">
        <v>2201</v>
      </c>
      <c r="M102" s="0" t="s">
        <v>2202</v>
      </c>
      <c r="N102" s="0" t="s">
        <v>400</v>
      </c>
    </row>
    <row customHeight="1" ht="11.25">
      <c r="A103" s="7657" t="s">
        <v>2195</v>
      </c>
      <c r="B103" s="7657" t="s">
        <v>14</v>
      </c>
      <c r="C103" s="7657" t="s">
        <v>2616</v>
      </c>
      <c r="D103" s="7657" t="s">
        <v>2617</v>
      </c>
      <c r="E103" s="7657" t="s">
        <v>2618</v>
      </c>
      <c r="F103" s="7657" t="s">
        <v>2619</v>
      </c>
      <c r="G103" s="7657" t="s">
        <v>17</v>
      </c>
      <c r="H103" s="7657" t="s">
        <v>17</v>
      </c>
      <c r="I103" s="7657" t="s">
        <v>2240</v>
      </c>
      <c r="J103" s="0" t="s">
        <v>17</v>
      </c>
      <c r="K103" s="0" t="s">
        <v>878</v>
      </c>
      <c r="L103" s="0" t="s">
        <v>2201</v>
      </c>
      <c r="M103" s="0" t="s">
        <v>2202</v>
      </c>
      <c r="N103" s="0" t="s">
        <v>400</v>
      </c>
    </row>
    <row customHeight="1" ht="11.25">
      <c r="A104" s="7657" t="s">
        <v>2195</v>
      </c>
      <c r="B104" s="7657" t="s">
        <v>14</v>
      </c>
      <c r="C104" s="7657" t="s">
        <v>2621</v>
      </c>
      <c r="D104" s="7657" t="s">
        <v>2622</v>
      </c>
      <c r="E104" s="7657" t="s">
        <v>2623</v>
      </c>
      <c r="F104" s="7657" t="s">
        <v>2624</v>
      </c>
      <c r="G104" s="7657" t="s">
        <v>17</v>
      </c>
      <c r="H104" s="7657" t="s">
        <v>17</v>
      </c>
      <c r="I104" s="7657" t="s">
        <v>2625</v>
      </c>
      <c r="J104" s="0" t="s">
        <v>17</v>
      </c>
      <c r="K104" s="0" t="s">
        <v>878</v>
      </c>
      <c r="L104" s="0" t="s">
        <v>2201</v>
      </c>
      <c r="M104" s="0" t="s">
        <v>2202</v>
      </c>
      <c r="N104" s="0" t="s">
        <v>400</v>
      </c>
    </row>
    <row customHeight="1" ht="11.25">
      <c r="A105" s="7657" t="s">
        <v>2195</v>
      </c>
      <c r="B105" s="7657" t="s">
        <v>14</v>
      </c>
      <c r="C105" s="7657" t="s">
        <v>2626</v>
      </c>
      <c r="D105" s="7657" t="s">
        <v>2627</v>
      </c>
      <c r="E105" s="7657" t="s">
        <v>2628</v>
      </c>
      <c r="F105" s="7657" t="s">
        <v>2629</v>
      </c>
      <c r="G105" s="7657" t="s">
        <v>2630</v>
      </c>
      <c r="H105" s="7657" t="s">
        <v>17</v>
      </c>
      <c r="I105" s="7657" t="s">
        <v>2630</v>
      </c>
      <c r="J105" s="0" t="s">
        <v>17</v>
      </c>
      <c r="K105" s="0" t="s">
        <v>878</v>
      </c>
      <c r="L105" s="0" t="s">
        <v>2201</v>
      </c>
      <c r="M105" s="0" t="s">
        <v>2202</v>
      </c>
      <c r="N105" s="0" t="s">
        <v>400</v>
      </c>
    </row>
    <row customHeight="1" ht="11.25">
      <c r="A106" s="7657" t="s">
        <v>2195</v>
      </c>
      <c r="B106" s="7657" t="s">
        <v>14</v>
      </c>
      <c r="C106" s="7657" t="s">
        <v>2631</v>
      </c>
      <c r="D106" s="7657" t="s">
        <v>2632</v>
      </c>
      <c r="E106" s="7657" t="s">
        <v>2633</v>
      </c>
      <c r="F106" s="7657" t="s">
        <v>2489</v>
      </c>
      <c r="G106" s="7657" t="s">
        <v>17</v>
      </c>
      <c r="H106" s="7657" t="s">
        <v>17</v>
      </c>
      <c r="I106" s="7657" t="s">
        <v>2634</v>
      </c>
      <c r="J106" s="0" t="s">
        <v>17</v>
      </c>
      <c r="K106" s="0" t="s">
        <v>878</v>
      </c>
      <c r="L106" s="0" t="s">
        <v>2201</v>
      </c>
      <c r="M106" s="0" t="s">
        <v>2202</v>
      </c>
      <c r="N106" s="0" t="s">
        <v>400</v>
      </c>
    </row>
    <row customHeight="1" ht="11.25">
      <c r="A107" s="7657" t="s">
        <v>2195</v>
      </c>
      <c r="B107" s="7657" t="s">
        <v>14</v>
      </c>
      <c r="C107" s="7657" t="s">
        <v>2635</v>
      </c>
      <c r="D107" s="7657" t="s">
        <v>2636</v>
      </c>
      <c r="E107" s="7657" t="s">
        <v>2637</v>
      </c>
      <c r="F107" s="7657" t="s">
        <v>2212</v>
      </c>
      <c r="G107" s="7657" t="s">
        <v>17</v>
      </c>
      <c r="H107" s="7657" t="s">
        <v>17</v>
      </c>
      <c r="I107" s="7657" t="s">
        <v>2638</v>
      </c>
      <c r="J107" s="0" t="s">
        <v>17</v>
      </c>
      <c r="K107" s="0" t="s">
        <v>878</v>
      </c>
      <c r="L107" s="0" t="s">
        <v>2201</v>
      </c>
      <c r="M107" s="0" t="s">
        <v>2202</v>
      </c>
      <c r="N107" s="0" t="s">
        <v>400</v>
      </c>
    </row>
    <row customHeight="1" ht="11.25">
      <c r="A108" s="7657" t="s">
        <v>2195</v>
      </c>
      <c r="B108" s="7657" t="s">
        <v>14</v>
      </c>
      <c r="C108" s="7657" t="s">
        <v>2639</v>
      </c>
      <c r="D108" s="7657" t="s">
        <v>2640</v>
      </c>
      <c r="E108" s="7657" t="s">
        <v>2641</v>
      </c>
      <c r="F108" s="7657" t="s">
        <v>2483</v>
      </c>
      <c r="G108" s="7657" t="s">
        <v>2642</v>
      </c>
      <c r="H108" s="7657" t="s">
        <v>17</v>
      </c>
      <c r="I108" s="7657" t="s">
        <v>2643</v>
      </c>
      <c r="J108" s="0" t="s">
        <v>2644</v>
      </c>
      <c r="K108" s="0" t="s">
        <v>878</v>
      </c>
      <c r="L108" s="0" t="s">
        <v>2201</v>
      </c>
      <c r="M108" s="0" t="s">
        <v>2202</v>
      </c>
      <c r="N108" s="0" t="s">
        <v>400</v>
      </c>
    </row>
    <row customHeight="1" ht="11.25">
      <c r="A109" s="7657" t="s">
        <v>2195</v>
      </c>
      <c r="B109" s="7657" t="s">
        <v>14</v>
      </c>
      <c r="C109" s="7657" t="s">
        <v>2639</v>
      </c>
      <c r="D109" s="7657" t="s">
        <v>2640</v>
      </c>
      <c r="E109" s="7657" t="s">
        <v>2641</v>
      </c>
      <c r="F109" s="7657" t="s">
        <v>2483</v>
      </c>
      <c r="G109" s="7657" t="s">
        <v>2642</v>
      </c>
      <c r="H109" s="7657" t="s">
        <v>17</v>
      </c>
      <c r="I109" s="7657" t="s">
        <v>2645</v>
      </c>
      <c r="J109" s="0" t="s">
        <v>17</v>
      </c>
      <c r="K109" s="0" t="s">
        <v>878</v>
      </c>
      <c r="L109" s="0" t="s">
        <v>2201</v>
      </c>
      <c r="M109" s="0" t="s">
        <v>2202</v>
      </c>
      <c r="N109" s="0" t="s">
        <v>400</v>
      </c>
    </row>
    <row customHeight="1" ht="11.25">
      <c r="A110" s="7657" t="s">
        <v>2195</v>
      </c>
      <c r="B110" s="7657" t="s">
        <v>14</v>
      </c>
      <c r="C110" s="7657" t="s">
        <v>2646</v>
      </c>
      <c r="D110" s="7657" t="s">
        <v>2647</v>
      </c>
      <c r="E110" s="7657" t="s">
        <v>2648</v>
      </c>
      <c r="F110" s="7657" t="s">
        <v>2649</v>
      </c>
      <c r="G110" s="7657" t="s">
        <v>2650</v>
      </c>
      <c r="H110" s="7657" t="s">
        <v>17</v>
      </c>
      <c r="I110" s="7657" t="s">
        <v>2223</v>
      </c>
      <c r="J110" s="0" t="s">
        <v>17</v>
      </c>
      <c r="K110" s="0" t="s">
        <v>878</v>
      </c>
      <c r="L110" s="0" t="s">
        <v>2201</v>
      </c>
      <c r="M110" s="0" t="s">
        <v>2202</v>
      </c>
      <c r="N110" s="0" t="s">
        <v>400</v>
      </c>
    </row>
    <row customHeight="1" ht="11.25">
      <c r="A111" s="7657" t="s">
        <v>2195</v>
      </c>
      <c r="B111" s="7657" t="s">
        <v>14</v>
      </c>
      <c r="C111" s="7657" t="s">
        <v>2651</v>
      </c>
      <c r="D111" s="7657" t="s">
        <v>2652</v>
      </c>
      <c r="E111" s="7657" t="s">
        <v>2653</v>
      </c>
      <c r="F111" s="7657" t="s">
        <v>2306</v>
      </c>
      <c r="G111" s="7657" t="s">
        <v>17</v>
      </c>
      <c r="H111" s="7657" t="s">
        <v>17</v>
      </c>
      <c r="I111" s="7657" t="s">
        <v>2654</v>
      </c>
      <c r="J111" s="0" t="s">
        <v>17</v>
      </c>
      <c r="K111" s="0" t="s">
        <v>810</v>
      </c>
      <c r="L111" s="0" t="s">
        <v>810</v>
      </c>
      <c r="M111" s="0" t="s">
        <v>2291</v>
      </c>
      <c r="N111" s="0" t="s">
        <v>400</v>
      </c>
    </row>
    <row customHeight="1" ht="11.25">
      <c r="A112" s="7657" t="s">
        <v>2195</v>
      </c>
      <c r="B112" s="7657" t="s">
        <v>14</v>
      </c>
      <c r="C112" s="7657" t="s">
        <v>2655</v>
      </c>
      <c r="D112" s="7657" t="s">
        <v>2656</v>
      </c>
      <c r="E112" s="7657" t="s">
        <v>2657</v>
      </c>
      <c r="F112" s="7657" t="s">
        <v>2658</v>
      </c>
      <c r="G112" s="7657" t="s">
        <v>17</v>
      </c>
      <c r="H112" s="7657" t="s">
        <v>17</v>
      </c>
      <c r="I112" s="7657" t="s">
        <v>2659</v>
      </c>
      <c r="J112" s="0" t="s">
        <v>17</v>
      </c>
      <c r="K112" s="0" t="s">
        <v>878</v>
      </c>
      <c r="L112" s="0" t="s">
        <v>2201</v>
      </c>
      <c r="M112" s="0" t="s">
        <v>2202</v>
      </c>
      <c r="N112" s="0" t="s">
        <v>400</v>
      </c>
    </row>
    <row customHeight="1" ht="11.25">
      <c r="A113" s="7657" t="s">
        <v>2195</v>
      </c>
      <c r="B113" s="7657" t="s">
        <v>14</v>
      </c>
      <c r="C113" s="7657" t="s">
        <v>2660</v>
      </c>
      <c r="D113" s="7657" t="s">
        <v>2661</v>
      </c>
      <c r="E113" s="7657" t="s">
        <v>2662</v>
      </c>
      <c r="F113" s="7657" t="s">
        <v>2629</v>
      </c>
      <c r="G113" s="7657" t="s">
        <v>2663</v>
      </c>
      <c r="H113" s="7657" t="s">
        <v>17</v>
      </c>
      <c r="I113" s="7657" t="s">
        <v>2664</v>
      </c>
      <c r="J113" s="0" t="s">
        <v>17</v>
      </c>
      <c r="K113" s="0" t="s">
        <v>878</v>
      </c>
      <c r="L113" s="0" t="s">
        <v>2201</v>
      </c>
      <c r="M113" s="0" t="s">
        <v>2202</v>
      </c>
      <c r="N113" s="0" t="s">
        <v>400</v>
      </c>
    </row>
    <row customHeight="1" ht="11.25">
      <c r="A114" s="7657" t="s">
        <v>2195</v>
      </c>
      <c r="B114" s="7657" t="s">
        <v>14</v>
      </c>
      <c r="C114" s="7657" t="s">
        <v>2665</v>
      </c>
      <c r="D114" s="7657" t="s">
        <v>2666</v>
      </c>
      <c r="E114" s="7657" t="s">
        <v>2667</v>
      </c>
      <c r="F114" s="7657" t="s">
        <v>2575</v>
      </c>
      <c r="G114" s="7657" t="s">
        <v>2668</v>
      </c>
      <c r="H114" s="7657" t="s">
        <v>17</v>
      </c>
      <c r="I114" s="7657" t="s">
        <v>2668</v>
      </c>
      <c r="J114" s="0" t="s">
        <v>17</v>
      </c>
      <c r="K114" s="0" t="s">
        <v>878</v>
      </c>
      <c r="L114" s="0" t="s">
        <v>2201</v>
      </c>
      <c r="M114" s="0" t="s">
        <v>2202</v>
      </c>
      <c r="N114" s="0" t="s">
        <v>400</v>
      </c>
    </row>
    <row customHeight="1" ht="11.25">
      <c r="A115" s="7657" t="s">
        <v>2195</v>
      </c>
      <c r="B115" s="7657" t="s">
        <v>14</v>
      </c>
      <c r="C115" s="7657" t="s">
        <v>2669</v>
      </c>
      <c r="D115" s="7657" t="s">
        <v>2670</v>
      </c>
      <c r="E115" s="7657" t="s">
        <v>2671</v>
      </c>
      <c r="F115" s="7657" t="s">
        <v>2321</v>
      </c>
      <c r="G115" s="7657" t="s">
        <v>17</v>
      </c>
      <c r="H115" s="7657" t="s">
        <v>17</v>
      </c>
      <c r="I115" s="7657" t="s">
        <v>2672</v>
      </c>
      <c r="J115" s="0" t="s">
        <v>17</v>
      </c>
      <c r="K115" s="0" t="s">
        <v>878</v>
      </c>
      <c r="L115" s="0" t="s">
        <v>2201</v>
      </c>
      <c r="M115" s="0" t="s">
        <v>2202</v>
      </c>
      <c r="N115" s="0" t="s">
        <v>400</v>
      </c>
    </row>
    <row customHeight="1" ht="11.25">
      <c r="A116" s="7657" t="s">
        <v>2195</v>
      </c>
      <c r="B116" s="7657" t="s">
        <v>14</v>
      </c>
      <c r="C116" s="7657" t="s">
        <v>2673</v>
      </c>
      <c r="D116" s="7657" t="s">
        <v>2674</v>
      </c>
      <c r="E116" s="7657" t="s">
        <v>2675</v>
      </c>
      <c r="F116" s="7657" t="s">
        <v>2513</v>
      </c>
      <c r="G116" s="7657" t="s">
        <v>17</v>
      </c>
      <c r="H116" s="7657" t="s">
        <v>17</v>
      </c>
      <c r="I116" s="7657" t="s">
        <v>2223</v>
      </c>
      <c r="J116" s="0" t="s">
        <v>17</v>
      </c>
      <c r="K116" s="0" t="s">
        <v>878</v>
      </c>
      <c r="L116" s="0" t="s">
        <v>2201</v>
      </c>
      <c r="M116" s="0" t="s">
        <v>2202</v>
      </c>
      <c r="N116" s="0" t="s">
        <v>400</v>
      </c>
    </row>
    <row customHeight="1" ht="11.25">
      <c r="A117" s="7657" t="s">
        <v>2195</v>
      </c>
      <c r="B117" s="7657" t="s">
        <v>14</v>
      </c>
      <c r="C117" s="7657" t="s">
        <v>2673</v>
      </c>
      <c r="D117" s="7657" t="s">
        <v>2674</v>
      </c>
      <c r="E117" s="7657" t="s">
        <v>2675</v>
      </c>
      <c r="F117" s="7657" t="s">
        <v>2513</v>
      </c>
      <c r="G117" s="7657" t="s">
        <v>17</v>
      </c>
      <c r="H117" s="7657" t="s">
        <v>17</v>
      </c>
      <c r="I117" s="7657" t="s">
        <v>2240</v>
      </c>
      <c r="J117" s="0" t="s">
        <v>17</v>
      </c>
      <c r="K117" s="0" t="s">
        <v>878</v>
      </c>
      <c r="L117" s="0" t="s">
        <v>2201</v>
      </c>
      <c r="M117" s="0" t="s">
        <v>2202</v>
      </c>
      <c r="N117" s="0" t="s">
        <v>400</v>
      </c>
    </row>
    <row customHeight="1" ht="11.25">
      <c r="A118" s="7657" t="s">
        <v>2195</v>
      </c>
      <c r="B118" s="7657" t="s">
        <v>14</v>
      </c>
      <c r="C118" s="7657" t="s">
        <v>2676</v>
      </c>
      <c r="D118" s="7657" t="s">
        <v>2677</v>
      </c>
      <c r="E118" s="7657" t="s">
        <v>2678</v>
      </c>
      <c r="F118" s="7657" t="s">
        <v>2306</v>
      </c>
      <c r="G118" s="7657" t="s">
        <v>2679</v>
      </c>
      <c r="H118" s="7657" t="s">
        <v>17</v>
      </c>
      <c r="I118" s="7657" t="s">
        <v>2680</v>
      </c>
      <c r="J118" s="0" t="s">
        <v>17</v>
      </c>
      <c r="K118" s="0" t="s">
        <v>878</v>
      </c>
      <c r="L118" s="0" t="s">
        <v>2201</v>
      </c>
      <c r="M118" s="0" t="s">
        <v>2202</v>
      </c>
      <c r="N118" s="0" t="s">
        <v>400</v>
      </c>
    </row>
    <row customHeight="1" ht="11.25">
      <c r="A119" s="7657" t="s">
        <v>2195</v>
      </c>
      <c r="B119" s="7657" t="s">
        <v>14</v>
      </c>
      <c r="C119" s="7657" t="s">
        <v>2681</v>
      </c>
      <c r="D119" s="7657" t="s">
        <v>2682</v>
      </c>
      <c r="E119" s="7657" t="s">
        <v>2683</v>
      </c>
      <c r="F119" s="7657" t="s">
        <v>2206</v>
      </c>
      <c r="G119" s="7657" t="s">
        <v>17</v>
      </c>
      <c r="H119" s="7657" t="s">
        <v>17</v>
      </c>
      <c r="I119" s="7657" t="s">
        <v>2208</v>
      </c>
      <c r="J119" s="0" t="s">
        <v>17</v>
      </c>
      <c r="K119" s="0" t="s">
        <v>878</v>
      </c>
      <c r="L119" s="0" t="s">
        <v>2201</v>
      </c>
      <c r="M119" s="0" t="s">
        <v>2202</v>
      </c>
      <c r="N119" s="0" t="s">
        <v>400</v>
      </c>
    </row>
    <row customHeight="1" ht="11.25">
      <c r="A120" s="7657" t="s">
        <v>2195</v>
      </c>
      <c r="B120" s="7657" t="s">
        <v>14</v>
      </c>
      <c r="C120" s="7657" t="s">
        <v>2684</v>
      </c>
      <c r="D120" s="7657" t="s">
        <v>2685</v>
      </c>
      <c r="E120" s="7657" t="s">
        <v>2351</v>
      </c>
      <c r="F120" s="7657" t="s">
        <v>2686</v>
      </c>
      <c r="G120" s="7657" t="s">
        <v>2353</v>
      </c>
      <c r="H120" s="7657" t="s">
        <v>17</v>
      </c>
      <c r="I120" s="7657" t="s">
        <v>2687</v>
      </c>
      <c r="J120" s="0" t="s">
        <v>17</v>
      </c>
      <c r="K120" s="0" t="s">
        <v>878</v>
      </c>
      <c r="L120" s="0" t="s">
        <v>2201</v>
      </c>
      <c r="M120" s="0" t="s">
        <v>2202</v>
      </c>
      <c r="N120" s="0" t="s">
        <v>400</v>
      </c>
    </row>
    <row customHeight="1" ht="11.25">
      <c r="A121" s="7657" t="s">
        <v>2195</v>
      </c>
      <c r="B121" s="7657" t="s">
        <v>14</v>
      </c>
      <c r="C121" s="7657" t="s">
        <v>2684</v>
      </c>
      <c r="D121" s="7657" t="s">
        <v>2685</v>
      </c>
      <c r="E121" s="7657" t="s">
        <v>2351</v>
      </c>
      <c r="F121" s="7657" t="s">
        <v>2686</v>
      </c>
      <c r="G121" s="7657" t="s">
        <v>2353</v>
      </c>
      <c r="H121" s="7657" t="s">
        <v>17</v>
      </c>
      <c r="I121" s="7657" t="s">
        <v>2688</v>
      </c>
      <c r="J121" s="0" t="s">
        <v>17</v>
      </c>
      <c r="K121" s="0" t="s">
        <v>878</v>
      </c>
      <c r="L121" s="0" t="s">
        <v>2201</v>
      </c>
      <c r="M121" s="0" t="s">
        <v>2202</v>
      </c>
      <c r="N121" s="0" t="s">
        <v>400</v>
      </c>
    </row>
    <row customHeight="1" ht="11.25">
      <c r="A122" s="7657" t="s">
        <v>2195</v>
      </c>
      <c r="B122" s="7657" t="s">
        <v>14</v>
      </c>
      <c r="C122" s="7657" t="s">
        <v>2689</v>
      </c>
      <c r="D122" s="7657" t="s">
        <v>2690</v>
      </c>
      <c r="E122" s="7657" t="s">
        <v>2691</v>
      </c>
      <c r="F122" s="7657" t="s">
        <v>2317</v>
      </c>
      <c r="G122" s="7657" t="s">
        <v>17</v>
      </c>
      <c r="H122" s="7657" t="s">
        <v>17</v>
      </c>
      <c r="I122" s="7657" t="s">
        <v>2228</v>
      </c>
      <c r="J122" s="0" t="s">
        <v>17</v>
      </c>
      <c r="K122" s="0" t="s">
        <v>878</v>
      </c>
      <c r="L122" s="0" t="s">
        <v>2201</v>
      </c>
      <c r="M122" s="0" t="s">
        <v>2202</v>
      </c>
      <c r="N122" s="0" t="s">
        <v>400</v>
      </c>
    </row>
    <row customHeight="1" ht="11.25">
      <c r="A123" s="7657" t="s">
        <v>2195</v>
      </c>
      <c r="B123" s="7657" t="s">
        <v>14</v>
      </c>
      <c r="C123" s="7657" t="s">
        <v>2692</v>
      </c>
      <c r="D123" s="7657" t="s">
        <v>2693</v>
      </c>
      <c r="E123" s="7657" t="s">
        <v>2694</v>
      </c>
      <c r="F123" s="7657" t="s">
        <v>2695</v>
      </c>
      <c r="G123" s="7657" t="s">
        <v>17</v>
      </c>
      <c r="H123" s="7657" t="s">
        <v>17</v>
      </c>
      <c r="I123" s="7657" t="s">
        <v>2620</v>
      </c>
      <c r="J123" s="0" t="s">
        <v>17</v>
      </c>
      <c r="K123" s="0" t="s">
        <v>878</v>
      </c>
      <c r="L123" s="0" t="s">
        <v>2201</v>
      </c>
      <c r="M123" s="0" t="s">
        <v>2202</v>
      </c>
      <c r="N123" s="0" t="s">
        <v>400</v>
      </c>
    </row>
    <row customHeight="1" ht="11.25">
      <c r="A124" s="7657" t="s">
        <v>2195</v>
      </c>
      <c r="B124" s="7657" t="s">
        <v>14</v>
      </c>
      <c r="C124" s="7657" t="s">
        <v>2696</v>
      </c>
      <c r="D124" s="7657" t="s">
        <v>2697</v>
      </c>
      <c r="E124" s="7657" t="s">
        <v>2698</v>
      </c>
      <c r="F124" s="7657" t="s">
        <v>2699</v>
      </c>
      <c r="G124" s="7657" t="s">
        <v>2700</v>
      </c>
      <c r="H124" s="7657" t="s">
        <v>17</v>
      </c>
      <c r="I124" s="7657" t="s">
        <v>2228</v>
      </c>
      <c r="J124" s="0" t="s">
        <v>17</v>
      </c>
      <c r="K124" s="0" t="s">
        <v>782</v>
      </c>
      <c r="L124" s="0" t="s">
        <v>2301</v>
      </c>
      <c r="M124" s="0" t="s">
        <v>2302</v>
      </c>
      <c r="N124" s="0" t="s">
        <v>400</v>
      </c>
    </row>
    <row customHeight="1" ht="11.25">
      <c r="A125" s="7657" t="s">
        <v>2195</v>
      </c>
      <c r="B125" s="7657" t="s">
        <v>14</v>
      </c>
      <c r="C125" s="7657" t="s">
        <v>2696</v>
      </c>
      <c r="D125" s="7657" t="s">
        <v>2697</v>
      </c>
      <c r="E125" s="7657" t="s">
        <v>2698</v>
      </c>
      <c r="F125" s="7657" t="s">
        <v>2699</v>
      </c>
      <c r="G125" s="7657" t="s">
        <v>2700</v>
      </c>
      <c r="H125" s="7657" t="s">
        <v>17</v>
      </c>
      <c r="I125" s="7657" t="s">
        <v>2228</v>
      </c>
      <c r="J125" s="0" t="s">
        <v>17</v>
      </c>
      <c r="K125" s="0" t="s">
        <v>845</v>
      </c>
      <c r="L125" s="0" t="s">
        <v>2301</v>
      </c>
      <c r="M125" s="0" t="s">
        <v>2302</v>
      </c>
      <c r="N125" s="0" t="s">
        <v>400</v>
      </c>
    </row>
    <row customHeight="1" ht="11.25">
      <c r="A126" s="7657" t="s">
        <v>2195</v>
      </c>
      <c r="B126" s="7657" t="s">
        <v>14</v>
      </c>
      <c r="C126" s="7657" t="s">
        <v>2701</v>
      </c>
      <c r="D126" s="7657" t="s">
        <v>2702</v>
      </c>
      <c r="E126" s="7657" t="s">
        <v>2703</v>
      </c>
      <c r="F126" s="7657" t="s">
        <v>2425</v>
      </c>
      <c r="G126" s="7657" t="s">
        <v>17</v>
      </c>
      <c r="H126" s="7657" t="s">
        <v>17</v>
      </c>
      <c r="I126" s="7657" t="s">
        <v>2228</v>
      </c>
      <c r="J126" s="0" t="s">
        <v>17</v>
      </c>
      <c r="K126" s="0" t="s">
        <v>782</v>
      </c>
      <c r="L126" s="0" t="s">
        <v>2301</v>
      </c>
      <c r="M126" s="0" t="s">
        <v>2302</v>
      </c>
      <c r="N126" s="0" t="s">
        <v>400</v>
      </c>
    </row>
    <row customHeight="1" ht="11.25">
      <c r="A127" s="7657" t="s">
        <v>2195</v>
      </c>
      <c r="B127" s="7657" t="s">
        <v>14</v>
      </c>
      <c r="C127" s="7657" t="s">
        <v>2701</v>
      </c>
      <c r="D127" s="7657" t="s">
        <v>2702</v>
      </c>
      <c r="E127" s="7657" t="s">
        <v>2703</v>
      </c>
      <c r="F127" s="7657" t="s">
        <v>2425</v>
      </c>
      <c r="G127" s="7657" t="s">
        <v>17</v>
      </c>
      <c r="H127" s="7657" t="s">
        <v>17</v>
      </c>
      <c r="I127" s="7657" t="s">
        <v>2228</v>
      </c>
      <c r="J127" s="0" t="s">
        <v>17</v>
      </c>
      <c r="K127" s="0" t="s">
        <v>845</v>
      </c>
      <c r="L127" s="0" t="s">
        <v>2301</v>
      </c>
      <c r="M127" s="0" t="s">
        <v>2302</v>
      </c>
      <c r="N127" s="0" t="s">
        <v>400</v>
      </c>
    </row>
    <row customHeight="1" ht="11.25">
      <c r="A128" s="7657" t="s">
        <v>2195</v>
      </c>
      <c r="B128" s="7657" t="s">
        <v>14</v>
      </c>
      <c r="C128" s="7657" t="s">
        <v>2704</v>
      </c>
      <c r="D128" s="7657" t="s">
        <v>2705</v>
      </c>
      <c r="E128" s="7657" t="s">
        <v>2706</v>
      </c>
      <c r="F128" s="7657" t="s">
        <v>2227</v>
      </c>
      <c r="G128" s="7657" t="s">
        <v>2707</v>
      </c>
      <c r="H128" s="7657" t="s">
        <v>17</v>
      </c>
      <c r="I128" s="7657" t="s">
        <v>2654</v>
      </c>
      <c r="J128" s="0" t="s">
        <v>17</v>
      </c>
      <c r="K128" s="0" t="s">
        <v>782</v>
      </c>
      <c r="L128" s="0" t="s">
        <v>2288</v>
      </c>
      <c r="M128" s="0" t="s">
        <v>2289</v>
      </c>
      <c r="N128" s="0" t="s">
        <v>400</v>
      </c>
    </row>
    <row customHeight="1" ht="11.25">
      <c r="A129" s="7657" t="s">
        <v>2195</v>
      </c>
      <c r="B129" s="7657" t="s">
        <v>14</v>
      </c>
      <c r="C129" s="7657" t="s">
        <v>2704</v>
      </c>
      <c r="D129" s="7657" t="s">
        <v>2705</v>
      </c>
      <c r="E129" s="7657" t="s">
        <v>2706</v>
      </c>
      <c r="F129" s="7657" t="s">
        <v>2227</v>
      </c>
      <c r="G129" s="7657" t="s">
        <v>2707</v>
      </c>
      <c r="H129" s="7657" t="s">
        <v>17</v>
      </c>
      <c r="I129" s="7657" t="s">
        <v>2654</v>
      </c>
      <c r="J129" s="0" t="s">
        <v>17</v>
      </c>
      <c r="K129" s="0" t="s">
        <v>845</v>
      </c>
      <c r="L129" s="0" t="s">
        <v>2288</v>
      </c>
      <c r="M129" s="0" t="s">
        <v>2289</v>
      </c>
      <c r="N129" s="0" t="s">
        <v>400</v>
      </c>
    </row>
    <row customHeight="1" ht="11.25">
      <c r="A130" s="7657" t="s">
        <v>2195</v>
      </c>
      <c r="B130" s="7657" t="s">
        <v>14</v>
      </c>
      <c r="C130" s="7657" t="s">
        <v>2708</v>
      </c>
      <c r="D130" s="7657" t="s">
        <v>2709</v>
      </c>
      <c r="E130" s="7657" t="s">
        <v>2710</v>
      </c>
      <c r="F130" s="7657" t="s">
        <v>2711</v>
      </c>
      <c r="G130" s="7657" t="s">
        <v>17</v>
      </c>
      <c r="H130" s="7657" t="s">
        <v>17</v>
      </c>
      <c r="I130" s="7657" t="s">
        <v>2712</v>
      </c>
      <c r="J130" s="0" t="s">
        <v>17</v>
      </c>
      <c r="K130" s="0" t="s">
        <v>938</v>
      </c>
      <c r="L130" s="0" t="s">
        <v>2234</v>
      </c>
      <c r="M130" s="0" t="s">
        <v>2235</v>
      </c>
      <c r="N130" s="0" t="s">
        <v>400</v>
      </c>
    </row>
    <row customHeight="1" ht="11.25">
      <c r="A131" s="7657" t="s">
        <v>2195</v>
      </c>
      <c r="B131" s="7657" t="s">
        <v>14</v>
      </c>
      <c r="C131" s="7657" t="s">
        <v>2713</v>
      </c>
      <c r="D131" s="7657" t="s">
        <v>2714</v>
      </c>
      <c r="E131" s="7657" t="s">
        <v>2715</v>
      </c>
      <c r="F131" s="7657" t="s">
        <v>2232</v>
      </c>
      <c r="G131" s="7657" t="s">
        <v>17</v>
      </c>
      <c r="H131" s="7657" t="s">
        <v>17</v>
      </c>
      <c r="I131" s="7657" t="s">
        <v>2228</v>
      </c>
      <c r="J131" s="0" t="s">
        <v>17</v>
      </c>
      <c r="K131" s="0" t="s">
        <v>878</v>
      </c>
      <c r="L131" s="0" t="s">
        <v>2201</v>
      </c>
      <c r="M131" s="0" t="s">
        <v>2202</v>
      </c>
      <c r="N131" s="0" t="s">
        <v>400</v>
      </c>
    </row>
    <row customHeight="1" ht="11.25">
      <c r="A132" s="7657" t="s">
        <v>2195</v>
      </c>
      <c r="B132" s="7657" t="s">
        <v>14</v>
      </c>
      <c r="C132" s="7657" t="s">
        <v>2716</v>
      </c>
      <c r="D132" s="7657" t="s">
        <v>2717</v>
      </c>
      <c r="E132" s="7657" t="s">
        <v>2718</v>
      </c>
      <c r="F132" s="7657" t="s">
        <v>2719</v>
      </c>
      <c r="G132" s="7657" t="s">
        <v>2720</v>
      </c>
      <c r="H132" s="7657" t="s">
        <v>17</v>
      </c>
      <c r="I132" s="7657" t="s">
        <v>2228</v>
      </c>
      <c r="J132" s="0" t="s">
        <v>17</v>
      </c>
      <c r="K132" s="0" t="s">
        <v>782</v>
      </c>
      <c r="L132" s="0" t="s">
        <v>2301</v>
      </c>
      <c r="M132" s="0" t="s">
        <v>2302</v>
      </c>
      <c r="N132" s="0" t="s">
        <v>400</v>
      </c>
    </row>
    <row customHeight="1" ht="11.25">
      <c r="A133" s="7657" t="s">
        <v>2195</v>
      </c>
      <c r="B133" s="7657" t="s">
        <v>14</v>
      </c>
      <c r="C133" s="7657" t="s">
        <v>2716</v>
      </c>
      <c r="D133" s="7657" t="s">
        <v>2717</v>
      </c>
      <c r="E133" s="7657" t="s">
        <v>2718</v>
      </c>
      <c r="F133" s="7657" t="s">
        <v>2719</v>
      </c>
      <c r="G133" s="7657" t="s">
        <v>2720</v>
      </c>
      <c r="H133" s="7657" t="s">
        <v>17</v>
      </c>
      <c r="I133" s="7657" t="s">
        <v>2228</v>
      </c>
      <c r="J133" s="0" t="s">
        <v>17</v>
      </c>
      <c r="K133" s="0" t="s">
        <v>845</v>
      </c>
      <c r="L133" s="0" t="s">
        <v>2301</v>
      </c>
      <c r="M133" s="0" t="s">
        <v>2302</v>
      </c>
      <c r="N133" s="0" t="s">
        <v>400</v>
      </c>
    </row>
    <row customHeight="1" ht="11.25">
      <c r="A134" s="7657" t="s">
        <v>2195</v>
      </c>
      <c r="B134" s="7657" t="s">
        <v>14</v>
      </c>
      <c r="C134" s="7657" t="s">
        <v>2721</v>
      </c>
      <c r="D134" s="7657" t="s">
        <v>2722</v>
      </c>
      <c r="E134" s="7657" t="s">
        <v>2723</v>
      </c>
      <c r="F134" s="7657" t="s">
        <v>2483</v>
      </c>
      <c r="G134" s="7657" t="s">
        <v>2724</v>
      </c>
      <c r="H134" s="7657" t="s">
        <v>17</v>
      </c>
      <c r="I134" s="7657" t="s">
        <v>2724</v>
      </c>
      <c r="J134" s="0" t="s">
        <v>2725</v>
      </c>
      <c r="K134" s="0" t="s">
        <v>878</v>
      </c>
      <c r="L134" s="0" t="s">
        <v>2201</v>
      </c>
      <c r="M134" s="0" t="s">
        <v>2202</v>
      </c>
      <c r="N134" s="0" t="s">
        <v>400</v>
      </c>
    </row>
    <row customHeight="1" ht="11.25">
      <c r="A135" s="7657" t="s">
        <v>2195</v>
      </c>
      <c r="B135" s="7657" t="s">
        <v>14</v>
      </c>
      <c r="C135" s="7657" t="s">
        <v>2721</v>
      </c>
      <c r="D135" s="7657" t="s">
        <v>2722</v>
      </c>
      <c r="E135" s="7657" t="s">
        <v>2723</v>
      </c>
      <c r="F135" s="7657" t="s">
        <v>2483</v>
      </c>
      <c r="G135" s="7657" t="s">
        <v>2724</v>
      </c>
      <c r="H135" s="7657" t="s">
        <v>17</v>
      </c>
      <c r="I135" s="7657" t="s">
        <v>2724</v>
      </c>
      <c r="J135" s="0" t="s">
        <v>17</v>
      </c>
      <c r="K135" s="0" t="s">
        <v>878</v>
      </c>
      <c r="L135" s="0" t="s">
        <v>2201</v>
      </c>
      <c r="M135" s="0" t="s">
        <v>2202</v>
      </c>
      <c r="N135" s="0" t="s">
        <v>400</v>
      </c>
    </row>
    <row customHeight="1" ht="11.25">
      <c r="A136" s="7657" t="s">
        <v>2195</v>
      </c>
      <c r="B136" s="7657" t="s">
        <v>14</v>
      </c>
      <c r="C136" s="7657" t="s">
        <v>2726</v>
      </c>
      <c r="D136" s="7657" t="s">
        <v>2727</v>
      </c>
      <c r="E136" s="7657" t="s">
        <v>2728</v>
      </c>
      <c r="F136" s="7657" t="s">
        <v>2222</v>
      </c>
      <c r="G136" s="7657" t="s">
        <v>17</v>
      </c>
      <c r="H136" s="7657" t="s">
        <v>17</v>
      </c>
      <c r="I136" s="7657" t="s">
        <v>2534</v>
      </c>
      <c r="J136" s="0" t="s">
        <v>17</v>
      </c>
      <c r="K136" s="0" t="s">
        <v>878</v>
      </c>
      <c r="L136" s="0" t="s">
        <v>2201</v>
      </c>
      <c r="M136" s="0" t="s">
        <v>2202</v>
      </c>
      <c r="N136" s="0" t="s">
        <v>400</v>
      </c>
    </row>
    <row customHeight="1" ht="11.25">
      <c r="A137" s="7657" t="s">
        <v>2195</v>
      </c>
      <c r="B137" s="7657" t="s">
        <v>14</v>
      </c>
      <c r="C137" s="7657" t="s">
        <v>2729</v>
      </c>
      <c r="D137" s="7657" t="s">
        <v>2730</v>
      </c>
      <c r="E137" s="7657" t="s">
        <v>2731</v>
      </c>
      <c r="F137" s="7657" t="s">
        <v>2244</v>
      </c>
      <c r="G137" s="7657" t="s">
        <v>2732</v>
      </c>
      <c r="H137" s="7657" t="s">
        <v>17</v>
      </c>
      <c r="I137" s="7657" t="s">
        <v>2733</v>
      </c>
      <c r="J137" s="0" t="s">
        <v>17</v>
      </c>
      <c r="K137" s="0" t="s">
        <v>878</v>
      </c>
      <c r="L137" s="0" t="s">
        <v>2201</v>
      </c>
      <c r="M137" s="0" t="s">
        <v>2202</v>
      </c>
      <c r="N137" s="0" t="s">
        <v>400</v>
      </c>
    </row>
    <row customHeight="1" ht="11.25">
      <c r="A138" s="7657" t="s">
        <v>2195</v>
      </c>
      <c r="B138" s="7657" t="s">
        <v>14</v>
      </c>
      <c r="C138" s="7657" t="s">
        <v>2734</v>
      </c>
      <c r="D138" s="7657" t="s">
        <v>2735</v>
      </c>
      <c r="E138" s="7657" t="s">
        <v>2736</v>
      </c>
      <c r="F138" s="7657" t="s">
        <v>2317</v>
      </c>
      <c r="G138" s="7657" t="s">
        <v>2737</v>
      </c>
      <c r="H138" s="7657" t="s">
        <v>17</v>
      </c>
      <c r="I138" s="7657" t="s">
        <v>2738</v>
      </c>
      <c r="J138" s="0" t="s">
        <v>17</v>
      </c>
      <c r="K138" s="0" t="s">
        <v>878</v>
      </c>
      <c r="L138" s="0" t="s">
        <v>2201</v>
      </c>
      <c r="M138" s="0" t="s">
        <v>2202</v>
      </c>
      <c r="N138" s="0" t="s">
        <v>400</v>
      </c>
    </row>
    <row customHeight="1" ht="11.25">
      <c r="A139" s="7657" t="s">
        <v>2195</v>
      </c>
      <c r="B139" s="7657" t="s">
        <v>14</v>
      </c>
      <c r="C139" s="7657" t="s">
        <v>2739</v>
      </c>
      <c r="D139" s="7657" t="s">
        <v>2740</v>
      </c>
      <c r="E139" s="7657" t="s">
        <v>2741</v>
      </c>
      <c r="F139" s="7657" t="s">
        <v>2695</v>
      </c>
      <c r="G139" s="7657" t="s">
        <v>17</v>
      </c>
      <c r="H139" s="7657" t="s">
        <v>17</v>
      </c>
      <c r="I139" s="7657" t="s">
        <v>2240</v>
      </c>
      <c r="J139" s="0" t="s">
        <v>17</v>
      </c>
      <c r="K139" s="0" t="s">
        <v>878</v>
      </c>
      <c r="L139" s="0" t="s">
        <v>2201</v>
      </c>
      <c r="M139" s="0" t="s">
        <v>2202</v>
      </c>
      <c r="N139" s="0" t="s">
        <v>400</v>
      </c>
    </row>
    <row customHeight="1" ht="11.25">
      <c r="A140" s="7657" t="s">
        <v>2195</v>
      </c>
      <c r="B140" s="7657" t="s">
        <v>14</v>
      </c>
      <c r="C140" s="7657" t="s">
        <v>2742</v>
      </c>
      <c r="D140" s="7657" t="s">
        <v>2743</v>
      </c>
      <c r="E140" s="7657" t="s">
        <v>2744</v>
      </c>
      <c r="F140" s="7657" t="s">
        <v>2556</v>
      </c>
      <c r="G140" s="7657" t="s">
        <v>2745</v>
      </c>
      <c r="H140" s="7657" t="s">
        <v>17</v>
      </c>
      <c r="I140" s="7657" t="s">
        <v>2746</v>
      </c>
      <c r="J140" s="0" t="s">
        <v>17</v>
      </c>
      <c r="K140" s="0" t="s">
        <v>878</v>
      </c>
      <c r="L140" s="0" t="s">
        <v>2201</v>
      </c>
      <c r="M140" s="0" t="s">
        <v>2202</v>
      </c>
      <c r="N140" s="0" t="s">
        <v>400</v>
      </c>
    </row>
    <row customHeight="1" ht="11.25">
      <c r="A141" s="7657" t="s">
        <v>2195</v>
      </c>
      <c r="B141" s="7657" t="s">
        <v>14</v>
      </c>
      <c r="C141" s="7657" t="s">
        <v>2742</v>
      </c>
      <c r="D141" s="7657" t="s">
        <v>2743</v>
      </c>
      <c r="E141" s="7657" t="s">
        <v>2744</v>
      </c>
      <c r="F141" s="7657" t="s">
        <v>2556</v>
      </c>
      <c r="G141" s="7657" t="s">
        <v>2745</v>
      </c>
      <c r="H141" s="7657" t="s">
        <v>17</v>
      </c>
      <c r="I141" s="7657" t="s">
        <v>2747</v>
      </c>
      <c r="J141" s="0" t="s">
        <v>17</v>
      </c>
      <c r="K141" s="0" t="s">
        <v>878</v>
      </c>
      <c r="L141" s="0" t="s">
        <v>2201</v>
      </c>
      <c r="M141" s="0" t="s">
        <v>2202</v>
      </c>
      <c r="N141" s="0" t="s">
        <v>400</v>
      </c>
    </row>
    <row customHeight="1" ht="11.25">
      <c r="A142" s="7657" t="s">
        <v>2195</v>
      </c>
      <c r="B142" s="7657" t="s">
        <v>14</v>
      </c>
      <c r="C142" s="7657" t="s">
        <v>2748</v>
      </c>
      <c r="D142" s="7657" t="s">
        <v>2749</v>
      </c>
      <c r="E142" s="7657" t="s">
        <v>2750</v>
      </c>
      <c r="F142" s="7657" t="s">
        <v>2254</v>
      </c>
      <c r="G142" s="7657" t="s">
        <v>2751</v>
      </c>
      <c r="H142" s="7657" t="s">
        <v>17</v>
      </c>
      <c r="I142" s="7657" t="s">
        <v>2752</v>
      </c>
      <c r="J142" s="0" t="s">
        <v>17</v>
      </c>
      <c r="K142" s="0" t="s">
        <v>878</v>
      </c>
      <c r="L142" s="0" t="s">
        <v>2201</v>
      </c>
      <c r="M142" s="0" t="s">
        <v>2202</v>
      </c>
      <c r="N142" s="0" t="s">
        <v>400</v>
      </c>
    </row>
    <row customHeight="1" ht="11.25">
      <c r="A143" s="7657" t="s">
        <v>2195</v>
      </c>
      <c r="B143" s="7657" t="s">
        <v>14</v>
      </c>
      <c r="C143" s="7657" t="s">
        <v>2748</v>
      </c>
      <c r="D143" s="7657" t="s">
        <v>2749</v>
      </c>
      <c r="E143" s="7657" t="s">
        <v>2750</v>
      </c>
      <c r="F143" s="7657" t="s">
        <v>2254</v>
      </c>
      <c r="G143" s="7657" t="s">
        <v>2751</v>
      </c>
      <c r="H143" s="7657" t="s">
        <v>17</v>
      </c>
      <c r="I143" s="7657" t="s">
        <v>2753</v>
      </c>
      <c r="J143" s="0" t="s">
        <v>17</v>
      </c>
      <c r="K143" s="0" t="s">
        <v>782</v>
      </c>
      <c r="L143" s="0" t="s">
        <v>2508</v>
      </c>
      <c r="M143" s="0" t="s">
        <v>2509</v>
      </c>
      <c r="N143" s="0" t="s">
        <v>400</v>
      </c>
    </row>
    <row customHeight="1" ht="11.25">
      <c r="A144" s="7657" t="s">
        <v>2195</v>
      </c>
      <c r="B144" s="7657" t="s">
        <v>14</v>
      </c>
      <c r="C144" s="7657" t="s">
        <v>2748</v>
      </c>
      <c r="D144" s="7657" t="s">
        <v>2749</v>
      </c>
      <c r="E144" s="7657" t="s">
        <v>2750</v>
      </c>
      <c r="F144" s="7657" t="s">
        <v>2254</v>
      </c>
      <c r="G144" s="7657" t="s">
        <v>2751</v>
      </c>
      <c r="H144" s="7657" t="s">
        <v>17</v>
      </c>
      <c r="I144" s="7657" t="s">
        <v>2754</v>
      </c>
      <c r="J144" s="0" t="s">
        <v>17</v>
      </c>
      <c r="K144" s="0" t="s">
        <v>938</v>
      </c>
      <c r="L144" s="0" t="s">
        <v>2234</v>
      </c>
      <c r="M144" s="0" t="s">
        <v>2235</v>
      </c>
      <c r="N144" s="0" t="s">
        <v>400</v>
      </c>
    </row>
    <row customHeight="1" ht="11.25">
      <c r="A145" s="7657" t="s">
        <v>2195</v>
      </c>
      <c r="B145" s="7657" t="s">
        <v>14</v>
      </c>
      <c r="C145" s="7657" t="s">
        <v>2755</v>
      </c>
      <c r="D145" s="7657" t="s">
        <v>2756</v>
      </c>
      <c r="E145" s="7657" t="s">
        <v>2757</v>
      </c>
      <c r="F145" s="7657" t="s">
        <v>2378</v>
      </c>
      <c r="G145" s="7657" t="s">
        <v>17</v>
      </c>
      <c r="H145" s="7657" t="s">
        <v>17</v>
      </c>
      <c r="I145" s="7657" t="s">
        <v>2228</v>
      </c>
      <c r="J145" s="0" t="s">
        <v>17</v>
      </c>
      <c r="K145" s="0" t="s">
        <v>878</v>
      </c>
      <c r="L145" s="0" t="s">
        <v>2201</v>
      </c>
      <c r="M145" s="0" t="s">
        <v>2202</v>
      </c>
      <c r="N145" s="0" t="s">
        <v>400</v>
      </c>
    </row>
    <row customHeight="1" ht="11.25">
      <c r="A146" s="7657" t="s">
        <v>2195</v>
      </c>
      <c r="B146" s="7657" t="s">
        <v>14</v>
      </c>
      <c r="C146" s="7657" t="s">
        <v>2755</v>
      </c>
      <c r="D146" s="7657" t="s">
        <v>2756</v>
      </c>
      <c r="E146" s="7657" t="s">
        <v>2757</v>
      </c>
      <c r="F146" s="7657" t="s">
        <v>2378</v>
      </c>
      <c r="G146" s="7657" t="s">
        <v>17</v>
      </c>
      <c r="H146" s="7657" t="s">
        <v>17</v>
      </c>
      <c r="I146" s="7657" t="s">
        <v>2390</v>
      </c>
      <c r="J146" s="0" t="s">
        <v>17</v>
      </c>
      <c r="K146" s="0" t="s">
        <v>878</v>
      </c>
      <c r="L146" s="0" t="s">
        <v>2201</v>
      </c>
      <c r="M146" s="0" t="s">
        <v>2202</v>
      </c>
      <c r="N146" s="0" t="s">
        <v>400</v>
      </c>
    </row>
    <row customHeight="1" ht="11.25">
      <c r="A147" s="7657" t="s">
        <v>2195</v>
      </c>
      <c r="B147" s="7657" t="s">
        <v>14</v>
      </c>
      <c r="C147" s="7657" t="s">
        <v>2758</v>
      </c>
      <c r="D147" s="7657" t="s">
        <v>2759</v>
      </c>
      <c r="E147" s="7657" t="s">
        <v>2760</v>
      </c>
      <c r="F147" s="7657" t="s">
        <v>2227</v>
      </c>
      <c r="G147" s="7657" t="s">
        <v>2761</v>
      </c>
      <c r="H147" s="7657" t="s">
        <v>17</v>
      </c>
      <c r="I147" s="7657" t="s">
        <v>2761</v>
      </c>
      <c r="J147" s="0" t="s">
        <v>17</v>
      </c>
      <c r="K147" s="0" t="s">
        <v>878</v>
      </c>
      <c r="L147" s="0" t="s">
        <v>2201</v>
      </c>
      <c r="M147" s="0" t="s">
        <v>2202</v>
      </c>
      <c r="N147" s="0" t="s">
        <v>400</v>
      </c>
    </row>
    <row customHeight="1" ht="11.25">
      <c r="A148" s="7657" t="s">
        <v>2195</v>
      </c>
      <c r="B148" s="7657" t="s">
        <v>14</v>
      </c>
      <c r="C148" s="7657" t="s">
        <v>2762</v>
      </c>
      <c r="D148" s="7657" t="s">
        <v>2763</v>
      </c>
      <c r="E148" s="7657" t="s">
        <v>2764</v>
      </c>
      <c r="F148" s="7657" t="s">
        <v>2321</v>
      </c>
      <c r="G148" s="7657" t="s">
        <v>2765</v>
      </c>
      <c r="H148" s="7657" t="s">
        <v>17</v>
      </c>
      <c r="I148" s="7657" t="s">
        <v>2581</v>
      </c>
      <c r="J148" s="0" t="s">
        <v>17</v>
      </c>
      <c r="K148" s="0" t="s">
        <v>878</v>
      </c>
      <c r="L148" s="0" t="s">
        <v>2201</v>
      </c>
      <c r="M148" s="0" t="s">
        <v>2202</v>
      </c>
      <c r="N148" s="0" t="s">
        <v>400</v>
      </c>
    </row>
    <row customHeight="1" ht="11.25">
      <c r="A149" s="7657" t="s">
        <v>2195</v>
      </c>
      <c r="B149" s="7657" t="s">
        <v>14</v>
      </c>
      <c r="C149" s="7657" t="s">
        <v>2766</v>
      </c>
      <c r="D149" s="7657" t="s">
        <v>2767</v>
      </c>
      <c r="E149" s="7657" t="s">
        <v>2466</v>
      </c>
      <c r="F149" s="7657" t="s">
        <v>2768</v>
      </c>
      <c r="G149" s="7657" t="s">
        <v>17</v>
      </c>
      <c r="H149" s="7657" t="s">
        <v>17</v>
      </c>
      <c r="I149" s="7657" t="s">
        <v>2769</v>
      </c>
      <c r="J149" s="0" t="s">
        <v>17</v>
      </c>
      <c r="K149" s="0" t="s">
        <v>878</v>
      </c>
      <c r="L149" s="0" t="s">
        <v>2201</v>
      </c>
      <c r="M149" s="0" t="s">
        <v>2202</v>
      </c>
      <c r="N149" s="0" t="s">
        <v>400</v>
      </c>
    </row>
    <row customHeight="1" ht="11.25">
      <c r="A150" s="7657" t="s">
        <v>2195</v>
      </c>
      <c r="B150" s="7657" t="s">
        <v>14</v>
      </c>
      <c r="C150" s="7657" t="s">
        <v>2770</v>
      </c>
      <c r="D150" s="7657" t="s">
        <v>2771</v>
      </c>
      <c r="E150" s="7657" t="s">
        <v>2772</v>
      </c>
      <c r="F150" s="7657" t="s">
        <v>2306</v>
      </c>
      <c r="G150" s="7657" t="s">
        <v>2773</v>
      </c>
      <c r="H150" s="7657" t="s">
        <v>17</v>
      </c>
      <c r="I150" s="7657" t="s">
        <v>2773</v>
      </c>
      <c r="J150" s="0" t="s">
        <v>17</v>
      </c>
      <c r="K150" s="0" t="s">
        <v>810</v>
      </c>
      <c r="L150" s="0" t="s">
        <v>810</v>
      </c>
      <c r="M150" s="0" t="s">
        <v>2291</v>
      </c>
      <c r="N150" s="0" t="s">
        <v>400</v>
      </c>
    </row>
    <row customHeight="1" ht="11.25">
      <c r="A151" s="7657" t="s">
        <v>2195</v>
      </c>
      <c r="B151" s="7657" t="s">
        <v>14</v>
      </c>
      <c r="C151" s="7657" t="s">
        <v>2770</v>
      </c>
      <c r="D151" s="7657" t="s">
        <v>2771</v>
      </c>
      <c r="E151" s="7657" t="s">
        <v>2772</v>
      </c>
      <c r="F151" s="7657" t="s">
        <v>2306</v>
      </c>
      <c r="G151" s="7657" t="s">
        <v>2773</v>
      </c>
      <c r="H151" s="7657" t="s">
        <v>17</v>
      </c>
      <c r="I151" s="7657" t="s">
        <v>2774</v>
      </c>
      <c r="J151" s="0" t="s">
        <v>17</v>
      </c>
      <c r="K151" s="0" t="s">
        <v>782</v>
      </c>
      <c r="L151" s="0" t="s">
        <v>2288</v>
      </c>
      <c r="M151" s="0" t="s">
        <v>2289</v>
      </c>
      <c r="N151" s="0" t="s">
        <v>400</v>
      </c>
    </row>
    <row customHeight="1" ht="11.25">
      <c r="A152" s="7657" t="s">
        <v>2195</v>
      </c>
      <c r="B152" s="7657" t="s">
        <v>14</v>
      </c>
      <c r="C152" s="7657" t="s">
        <v>2770</v>
      </c>
      <c r="D152" s="7657" t="s">
        <v>2771</v>
      </c>
      <c r="E152" s="7657" t="s">
        <v>2772</v>
      </c>
      <c r="F152" s="7657" t="s">
        <v>2306</v>
      </c>
      <c r="G152" s="7657" t="s">
        <v>2773</v>
      </c>
      <c r="H152" s="7657" t="s">
        <v>17</v>
      </c>
      <c r="I152" s="7657" t="s">
        <v>2774</v>
      </c>
      <c r="J152" s="0" t="s">
        <v>17</v>
      </c>
      <c r="K152" s="0" t="s">
        <v>845</v>
      </c>
      <c r="L152" s="0" t="s">
        <v>2288</v>
      </c>
      <c r="M152" s="0" t="s">
        <v>2289</v>
      </c>
      <c r="N152" s="0" t="s">
        <v>400</v>
      </c>
    </row>
    <row customHeight="1" ht="11.25">
      <c r="A153" s="7657" t="s">
        <v>2195</v>
      </c>
      <c r="B153" s="7657" t="s">
        <v>14</v>
      </c>
      <c r="C153" s="7657" t="s">
        <v>2775</v>
      </c>
      <c r="D153" s="7657" t="s">
        <v>2776</v>
      </c>
      <c r="E153" s="7657" t="s">
        <v>2777</v>
      </c>
      <c r="F153" s="7657" t="s">
        <v>2244</v>
      </c>
      <c r="G153" s="7657" t="s">
        <v>17</v>
      </c>
      <c r="H153" s="7657" t="s">
        <v>17</v>
      </c>
      <c r="I153" s="7657" t="s">
        <v>2638</v>
      </c>
      <c r="J153" s="0" t="s">
        <v>17</v>
      </c>
      <c r="K153" s="0" t="s">
        <v>878</v>
      </c>
      <c r="L153" s="0" t="s">
        <v>2201</v>
      </c>
      <c r="M153" s="0" t="s">
        <v>2202</v>
      </c>
      <c r="N153" s="0" t="s">
        <v>400</v>
      </c>
    </row>
    <row customHeight="1" ht="11.25">
      <c r="A154" s="7657" t="s">
        <v>2195</v>
      </c>
      <c r="B154" s="7657" t="s">
        <v>14</v>
      </c>
      <c r="C154" s="7657" t="s">
        <v>2778</v>
      </c>
      <c r="D154" s="7657" t="s">
        <v>2779</v>
      </c>
      <c r="E154" s="7657" t="s">
        <v>2780</v>
      </c>
      <c r="F154" s="7657" t="s">
        <v>2267</v>
      </c>
      <c r="G154" s="7657" t="s">
        <v>2781</v>
      </c>
      <c r="H154" s="7657" t="s">
        <v>17</v>
      </c>
      <c r="I154" s="7657" t="s">
        <v>2782</v>
      </c>
      <c r="J154" s="0" t="s">
        <v>2783</v>
      </c>
      <c r="K154" s="0" t="s">
        <v>878</v>
      </c>
      <c r="L154" s="0" t="s">
        <v>2201</v>
      </c>
      <c r="M154" s="0" t="s">
        <v>2202</v>
      </c>
      <c r="N154" s="0" t="s">
        <v>400</v>
      </c>
    </row>
    <row customHeight="1" ht="11.25">
      <c r="A155" s="7657" t="s">
        <v>2195</v>
      </c>
      <c r="B155" s="7657" t="s">
        <v>14</v>
      </c>
      <c r="C155" s="7657" t="s">
        <v>2778</v>
      </c>
      <c r="D155" s="7657" t="s">
        <v>2779</v>
      </c>
      <c r="E155" s="7657" t="s">
        <v>2780</v>
      </c>
      <c r="F155" s="7657" t="s">
        <v>2267</v>
      </c>
      <c r="G155" s="7657" t="s">
        <v>2781</v>
      </c>
      <c r="H155" s="7657" t="s">
        <v>17</v>
      </c>
      <c r="I155" s="7657" t="s">
        <v>2784</v>
      </c>
      <c r="J155" s="0" t="s">
        <v>17</v>
      </c>
      <c r="K155" s="0" t="s">
        <v>878</v>
      </c>
      <c r="L155" s="0" t="s">
        <v>2201</v>
      </c>
      <c r="M155" s="0" t="s">
        <v>2202</v>
      </c>
      <c r="N155" s="0" t="s">
        <v>400</v>
      </c>
    </row>
    <row customHeight="1" ht="11.25">
      <c r="A156" s="7657" t="s">
        <v>2195</v>
      </c>
      <c r="B156" s="7657" t="s">
        <v>14</v>
      </c>
      <c r="C156" s="7657" t="s">
        <v>2785</v>
      </c>
      <c r="D156" s="7657" t="s">
        <v>2786</v>
      </c>
      <c r="E156" s="7657" t="s">
        <v>2787</v>
      </c>
      <c r="F156" s="7657" t="s">
        <v>2254</v>
      </c>
      <c r="G156" s="7657" t="s">
        <v>2788</v>
      </c>
      <c r="H156" s="7657" t="s">
        <v>17</v>
      </c>
      <c r="I156" s="7657" t="s">
        <v>2789</v>
      </c>
      <c r="J156" s="0" t="s">
        <v>17</v>
      </c>
      <c r="K156" s="0" t="s">
        <v>878</v>
      </c>
      <c r="L156" s="0" t="s">
        <v>2201</v>
      </c>
      <c r="M156" s="0" t="s">
        <v>2202</v>
      </c>
      <c r="N156" s="0" t="s">
        <v>400</v>
      </c>
    </row>
    <row customHeight="1" ht="11.25">
      <c r="A157" s="7657" t="s">
        <v>2195</v>
      </c>
      <c r="B157" s="7657" t="s">
        <v>14</v>
      </c>
      <c r="C157" s="7657" t="s">
        <v>2790</v>
      </c>
      <c r="D157" s="7657" t="s">
        <v>2791</v>
      </c>
      <c r="E157" s="7657" t="s">
        <v>2792</v>
      </c>
      <c r="F157" s="7657" t="s">
        <v>2595</v>
      </c>
      <c r="G157" s="7657" t="s">
        <v>17</v>
      </c>
      <c r="H157" s="7657" t="s">
        <v>17</v>
      </c>
      <c r="I157" s="7657" t="s">
        <v>2793</v>
      </c>
      <c r="J157" s="0" t="s">
        <v>17</v>
      </c>
      <c r="K157" s="0" t="s">
        <v>782</v>
      </c>
      <c r="L157" s="0" t="s">
        <v>2301</v>
      </c>
      <c r="M157" s="0" t="s">
        <v>2302</v>
      </c>
      <c r="N157" s="0" t="s">
        <v>400</v>
      </c>
    </row>
    <row customHeight="1" ht="11.25">
      <c r="A158" s="7657" t="s">
        <v>2195</v>
      </c>
      <c r="B158" s="7657" t="s">
        <v>14</v>
      </c>
      <c r="C158" s="7657" t="s">
        <v>2790</v>
      </c>
      <c r="D158" s="7657" t="s">
        <v>2791</v>
      </c>
      <c r="E158" s="7657" t="s">
        <v>2792</v>
      </c>
      <c r="F158" s="7657" t="s">
        <v>2595</v>
      </c>
      <c r="G158" s="7657" t="s">
        <v>17</v>
      </c>
      <c r="H158" s="7657" t="s">
        <v>17</v>
      </c>
      <c r="I158" s="7657" t="s">
        <v>2793</v>
      </c>
      <c r="J158" s="0" t="s">
        <v>17</v>
      </c>
      <c r="K158" s="0" t="s">
        <v>845</v>
      </c>
      <c r="L158" s="0" t="s">
        <v>2301</v>
      </c>
      <c r="M158" s="0" t="s">
        <v>2302</v>
      </c>
      <c r="N158" s="0" t="s">
        <v>400</v>
      </c>
    </row>
    <row customHeight="1" ht="11.25">
      <c r="A159" s="7657" t="s">
        <v>2195</v>
      </c>
      <c r="B159" s="7657" t="s">
        <v>14</v>
      </c>
      <c r="C159" s="7657" t="s">
        <v>2794</v>
      </c>
      <c r="D159" s="7657" t="s">
        <v>2795</v>
      </c>
      <c r="E159" s="7657" t="s">
        <v>2796</v>
      </c>
      <c r="F159" s="7657" t="s">
        <v>2254</v>
      </c>
      <c r="G159" s="7657" t="s">
        <v>2797</v>
      </c>
      <c r="H159" s="7657" t="s">
        <v>17</v>
      </c>
      <c r="I159" s="7657" t="s">
        <v>2798</v>
      </c>
      <c r="J159" s="0" t="s">
        <v>17</v>
      </c>
      <c r="K159" s="0" t="s">
        <v>878</v>
      </c>
      <c r="L159" s="0" t="s">
        <v>2201</v>
      </c>
      <c r="M159" s="0" t="s">
        <v>2202</v>
      </c>
      <c r="N159" s="0" t="s">
        <v>400</v>
      </c>
    </row>
    <row customHeight="1" ht="11.25">
      <c r="A160" s="7657" t="s">
        <v>2195</v>
      </c>
      <c r="B160" s="7657" t="s">
        <v>14</v>
      </c>
      <c r="C160" s="7657" t="s">
        <v>2799</v>
      </c>
      <c r="D160" s="7657" t="s">
        <v>2800</v>
      </c>
      <c r="E160" s="7657" t="s">
        <v>2801</v>
      </c>
      <c r="F160" s="7657" t="s">
        <v>2244</v>
      </c>
      <c r="G160" s="7657" t="s">
        <v>2802</v>
      </c>
      <c r="H160" s="7657" t="s">
        <v>17</v>
      </c>
      <c r="I160" s="7657" t="s">
        <v>2803</v>
      </c>
      <c r="J160" s="0" t="s">
        <v>17</v>
      </c>
      <c r="K160" s="0" t="s">
        <v>878</v>
      </c>
      <c r="L160" s="0" t="s">
        <v>2201</v>
      </c>
      <c r="M160" s="0" t="s">
        <v>2202</v>
      </c>
      <c r="N160" s="0" t="s">
        <v>400</v>
      </c>
    </row>
    <row customHeight="1" ht="11.25">
      <c r="A161" s="7657" t="s">
        <v>2195</v>
      </c>
      <c r="B161" s="7657" t="s">
        <v>14</v>
      </c>
      <c r="C161" s="7657" t="s">
        <v>2804</v>
      </c>
      <c r="D161" s="7657" t="s">
        <v>2805</v>
      </c>
      <c r="E161" s="7657" t="s">
        <v>2806</v>
      </c>
      <c r="F161" s="7657" t="s">
        <v>2239</v>
      </c>
      <c r="G161" s="7657" t="s">
        <v>2807</v>
      </c>
      <c r="H161" s="7657" t="s">
        <v>17</v>
      </c>
      <c r="I161" s="7657" t="s">
        <v>2808</v>
      </c>
      <c r="J161" s="0" t="s">
        <v>17</v>
      </c>
      <c r="K161" s="0" t="s">
        <v>878</v>
      </c>
      <c r="L161" s="0" t="s">
        <v>2201</v>
      </c>
      <c r="M161" s="0" t="s">
        <v>2202</v>
      </c>
      <c r="N161" s="0" t="s">
        <v>400</v>
      </c>
    </row>
    <row customHeight="1" ht="11.25">
      <c r="A162" s="7657" t="s">
        <v>2195</v>
      </c>
      <c r="B162" s="7657" t="s">
        <v>14</v>
      </c>
      <c r="C162" s="7657" t="s">
        <v>2809</v>
      </c>
      <c r="D162" s="7657" t="s">
        <v>2810</v>
      </c>
      <c r="E162" s="7657" t="s">
        <v>2811</v>
      </c>
      <c r="F162" s="7657" t="s">
        <v>2199</v>
      </c>
      <c r="G162" s="7657" t="s">
        <v>2812</v>
      </c>
      <c r="H162" s="7657" t="s">
        <v>17</v>
      </c>
      <c r="I162" s="7657" t="s">
        <v>2813</v>
      </c>
      <c r="J162" s="0" t="s">
        <v>17</v>
      </c>
      <c r="K162" s="0" t="s">
        <v>878</v>
      </c>
      <c r="L162" s="0" t="s">
        <v>2201</v>
      </c>
      <c r="M162" s="0" t="s">
        <v>2202</v>
      </c>
      <c r="N162" s="0" t="s">
        <v>400</v>
      </c>
    </row>
    <row customHeight="1" ht="11.25">
      <c r="A163" s="7657" t="s">
        <v>2195</v>
      </c>
      <c r="B163" s="7657" t="s">
        <v>14</v>
      </c>
      <c r="C163" s="7657" t="s">
        <v>2809</v>
      </c>
      <c r="D163" s="7657" t="s">
        <v>2810</v>
      </c>
      <c r="E163" s="7657" t="s">
        <v>2811</v>
      </c>
      <c r="F163" s="7657" t="s">
        <v>2199</v>
      </c>
      <c r="G163" s="7657" t="s">
        <v>2812</v>
      </c>
      <c r="H163" s="7657" t="s">
        <v>17</v>
      </c>
      <c r="I163" s="7657" t="s">
        <v>2313</v>
      </c>
      <c r="J163" s="0" t="s">
        <v>17</v>
      </c>
      <c r="K163" s="0" t="s">
        <v>878</v>
      </c>
      <c r="L163" s="0" t="s">
        <v>2201</v>
      </c>
      <c r="M163" s="0" t="s">
        <v>2202</v>
      </c>
      <c r="N163" s="0" t="s">
        <v>400</v>
      </c>
    </row>
    <row customHeight="1" ht="11.25">
      <c r="A164" s="7657" t="s">
        <v>2195</v>
      </c>
      <c r="B164" s="7657" t="s">
        <v>14</v>
      </c>
      <c r="C164" s="7657" t="s">
        <v>2814</v>
      </c>
      <c r="D164" s="7657" t="s">
        <v>2815</v>
      </c>
      <c r="E164" s="7657" t="s">
        <v>2816</v>
      </c>
      <c r="F164" s="7657" t="s">
        <v>2239</v>
      </c>
      <c r="G164" s="7657" t="s">
        <v>2570</v>
      </c>
      <c r="H164" s="7657" t="s">
        <v>17</v>
      </c>
      <c r="I164" s="7657" t="s">
        <v>2313</v>
      </c>
      <c r="J164" s="0" t="s">
        <v>17</v>
      </c>
      <c r="K164" s="0" t="s">
        <v>878</v>
      </c>
      <c r="L164" s="0" t="s">
        <v>2201</v>
      </c>
      <c r="M164" s="0" t="s">
        <v>2202</v>
      </c>
      <c r="N164" s="0" t="s">
        <v>400</v>
      </c>
    </row>
    <row customHeight="1" ht="11.25">
      <c r="A165" s="7657" t="s">
        <v>2195</v>
      </c>
      <c r="B165" s="7657" t="s">
        <v>14</v>
      </c>
      <c r="C165" s="7657" t="s">
        <v>2817</v>
      </c>
      <c r="D165" s="7657" t="s">
        <v>2818</v>
      </c>
      <c r="E165" s="7657" t="s">
        <v>2819</v>
      </c>
      <c r="F165" s="7657" t="s">
        <v>2239</v>
      </c>
      <c r="G165" s="7657" t="s">
        <v>17</v>
      </c>
      <c r="H165" s="7657" t="s">
        <v>17</v>
      </c>
      <c r="I165" s="7657" t="s">
        <v>2820</v>
      </c>
      <c r="J165" s="0" t="s">
        <v>2821</v>
      </c>
      <c r="K165" s="0" t="s">
        <v>878</v>
      </c>
      <c r="L165" s="0" t="s">
        <v>2201</v>
      </c>
      <c r="M165" s="0" t="s">
        <v>2202</v>
      </c>
      <c r="N165" s="0" t="s">
        <v>400</v>
      </c>
    </row>
    <row customHeight="1" ht="11.25">
      <c r="A166" s="7657" t="s">
        <v>2195</v>
      </c>
      <c r="B166" s="7657" t="s">
        <v>14</v>
      </c>
      <c r="C166" s="7657" t="s">
        <v>2817</v>
      </c>
      <c r="D166" s="7657" t="s">
        <v>2818</v>
      </c>
      <c r="E166" s="7657" t="s">
        <v>2819</v>
      </c>
      <c r="F166" s="7657" t="s">
        <v>2239</v>
      </c>
      <c r="G166" s="7657" t="s">
        <v>17</v>
      </c>
      <c r="H166" s="7657" t="s">
        <v>17</v>
      </c>
      <c r="I166" s="7657" t="s">
        <v>2822</v>
      </c>
      <c r="J166" s="0" t="s">
        <v>17</v>
      </c>
      <c r="K166" s="0" t="s">
        <v>878</v>
      </c>
      <c r="L166" s="0" t="s">
        <v>2201</v>
      </c>
      <c r="M166" s="0" t="s">
        <v>2202</v>
      </c>
      <c r="N166" s="0" t="s">
        <v>400</v>
      </c>
    </row>
    <row customHeight="1" ht="11.25">
      <c r="A167" s="7657" t="s">
        <v>2195</v>
      </c>
      <c r="B167" s="7657" t="s">
        <v>14</v>
      </c>
      <c r="C167" s="7657" t="s">
        <v>2823</v>
      </c>
      <c r="D167" s="7657" t="s">
        <v>2824</v>
      </c>
      <c r="E167" s="7657" t="s">
        <v>2825</v>
      </c>
      <c r="F167" s="7657" t="s">
        <v>2199</v>
      </c>
      <c r="G167" s="7657" t="s">
        <v>17</v>
      </c>
      <c r="H167" s="7657" t="s">
        <v>17</v>
      </c>
      <c r="I167" s="7657" t="s">
        <v>2826</v>
      </c>
      <c r="J167" s="0" t="s">
        <v>17</v>
      </c>
      <c r="K167" s="0" t="s">
        <v>782</v>
      </c>
      <c r="L167" s="0" t="s">
        <v>2508</v>
      </c>
      <c r="M167" s="0" t="s">
        <v>2509</v>
      </c>
      <c r="N167" s="0" t="s">
        <v>400</v>
      </c>
    </row>
    <row customHeight="1" ht="11.25">
      <c r="A168" s="7657" t="s">
        <v>2195</v>
      </c>
      <c r="B168" s="7657" t="s">
        <v>14</v>
      </c>
      <c r="C168" s="7657" t="s">
        <v>2827</v>
      </c>
      <c r="D168" s="7657" t="s">
        <v>2828</v>
      </c>
      <c r="E168" s="7657" t="s">
        <v>2829</v>
      </c>
      <c r="F168" s="7657" t="s">
        <v>2267</v>
      </c>
      <c r="G168" s="7657" t="s">
        <v>2830</v>
      </c>
      <c r="H168" s="7657" t="s">
        <v>17</v>
      </c>
      <c r="I168" s="7657" t="s">
        <v>2830</v>
      </c>
      <c r="J168" s="0" t="s">
        <v>17</v>
      </c>
      <c r="K168" s="0" t="s">
        <v>782</v>
      </c>
      <c r="L168" s="0" t="s">
        <v>2301</v>
      </c>
      <c r="M168" s="0" t="s">
        <v>2302</v>
      </c>
      <c r="N168" s="0" t="s">
        <v>400</v>
      </c>
    </row>
    <row customHeight="1" ht="11.25">
      <c r="A169" s="7657" t="s">
        <v>2195</v>
      </c>
      <c r="B169" s="7657" t="s">
        <v>14</v>
      </c>
      <c r="C169" s="7657" t="s">
        <v>2827</v>
      </c>
      <c r="D169" s="7657" t="s">
        <v>2828</v>
      </c>
      <c r="E169" s="7657" t="s">
        <v>2829</v>
      </c>
      <c r="F169" s="7657" t="s">
        <v>2267</v>
      </c>
      <c r="G169" s="7657" t="s">
        <v>2830</v>
      </c>
      <c r="H169" s="7657" t="s">
        <v>17</v>
      </c>
      <c r="I169" s="7657" t="s">
        <v>2830</v>
      </c>
      <c r="J169" s="0" t="s">
        <v>17</v>
      </c>
      <c r="K169" s="0" t="s">
        <v>845</v>
      </c>
      <c r="L169" s="0" t="s">
        <v>2301</v>
      </c>
      <c r="M169" s="0" t="s">
        <v>2302</v>
      </c>
      <c r="N169" s="0" t="s">
        <v>400</v>
      </c>
    </row>
    <row customHeight="1" ht="11.25">
      <c r="A170" s="7657" t="s">
        <v>2195</v>
      </c>
      <c r="B170" s="7657" t="s">
        <v>14</v>
      </c>
      <c r="C170" s="7657" t="s">
        <v>2831</v>
      </c>
      <c r="D170" s="7657" t="s">
        <v>2832</v>
      </c>
      <c r="E170" s="7657" t="s">
        <v>2833</v>
      </c>
      <c r="F170" s="7657" t="s">
        <v>2239</v>
      </c>
      <c r="G170" s="7657" t="s">
        <v>2834</v>
      </c>
      <c r="H170" s="7657" t="s">
        <v>17</v>
      </c>
      <c r="I170" s="7657" t="s">
        <v>2240</v>
      </c>
      <c r="J170" s="0" t="s">
        <v>17</v>
      </c>
      <c r="K170" s="0" t="s">
        <v>878</v>
      </c>
      <c r="L170" s="0" t="s">
        <v>2201</v>
      </c>
      <c r="M170" s="0" t="s">
        <v>2202</v>
      </c>
      <c r="N170" s="0" t="s">
        <v>400</v>
      </c>
    </row>
    <row customHeight="1" ht="11.25">
      <c r="A171" s="7657" t="s">
        <v>2195</v>
      </c>
      <c r="B171" s="7657" t="s">
        <v>14</v>
      </c>
      <c r="C171" s="7657" t="s">
        <v>2835</v>
      </c>
      <c r="D171" s="7657" t="s">
        <v>2836</v>
      </c>
      <c r="E171" s="7657" t="s">
        <v>2837</v>
      </c>
      <c r="F171" s="7657" t="s">
        <v>2542</v>
      </c>
      <c r="G171" s="7657" t="s">
        <v>17</v>
      </c>
      <c r="H171" s="7657" t="s">
        <v>17</v>
      </c>
      <c r="I171" s="7657" t="s">
        <v>2688</v>
      </c>
      <c r="J171" s="0" t="s">
        <v>17</v>
      </c>
      <c r="K171" s="0" t="s">
        <v>878</v>
      </c>
      <c r="L171" s="0" t="s">
        <v>2201</v>
      </c>
      <c r="M171" s="0" t="s">
        <v>2202</v>
      </c>
      <c r="N171" s="0" t="s">
        <v>400</v>
      </c>
    </row>
    <row customHeight="1" ht="11.25">
      <c r="A172" s="7657" t="s">
        <v>2195</v>
      </c>
      <c r="B172" s="7657" t="s">
        <v>14</v>
      </c>
      <c r="C172" s="7657" t="s">
        <v>2838</v>
      </c>
      <c r="D172" s="7657" t="s">
        <v>2839</v>
      </c>
      <c r="E172" s="7657" t="s">
        <v>2840</v>
      </c>
      <c r="F172" s="7657" t="s">
        <v>2199</v>
      </c>
      <c r="G172" s="7657" t="s">
        <v>2841</v>
      </c>
      <c r="H172" s="7657" t="s">
        <v>17</v>
      </c>
      <c r="I172" s="7657" t="s">
        <v>2842</v>
      </c>
      <c r="J172" s="0" t="s">
        <v>17</v>
      </c>
      <c r="K172" s="0" t="s">
        <v>810</v>
      </c>
      <c r="L172" s="0" t="s">
        <v>810</v>
      </c>
      <c r="M172" s="0" t="s">
        <v>2291</v>
      </c>
      <c r="N172" s="0" t="s">
        <v>400</v>
      </c>
    </row>
    <row customHeight="1" ht="11.25">
      <c r="A173" s="7657" t="s">
        <v>2195</v>
      </c>
      <c r="B173" s="7657" t="s">
        <v>14</v>
      </c>
      <c r="C173" s="7657" t="s">
        <v>2843</v>
      </c>
      <c r="D173" s="7657" t="s">
        <v>2844</v>
      </c>
      <c r="E173" s="7657" t="s">
        <v>2845</v>
      </c>
      <c r="F173" s="7657" t="s">
        <v>2254</v>
      </c>
      <c r="G173" s="7657" t="s">
        <v>2846</v>
      </c>
      <c r="H173" s="7657" t="s">
        <v>17</v>
      </c>
      <c r="I173" s="7657" t="s">
        <v>2847</v>
      </c>
      <c r="J173" s="0" t="s">
        <v>17</v>
      </c>
      <c r="K173" s="0" t="s">
        <v>782</v>
      </c>
      <c r="L173" s="0" t="s">
        <v>2301</v>
      </c>
      <c r="M173" s="0" t="s">
        <v>2302</v>
      </c>
      <c r="N173" s="0" t="s">
        <v>400</v>
      </c>
    </row>
    <row customHeight="1" ht="11.25">
      <c r="A174" s="7657" t="s">
        <v>2195</v>
      </c>
      <c r="B174" s="7657" t="s">
        <v>14</v>
      </c>
      <c r="C174" s="7657" t="s">
        <v>2843</v>
      </c>
      <c r="D174" s="7657" t="s">
        <v>2844</v>
      </c>
      <c r="E174" s="7657" t="s">
        <v>2845</v>
      </c>
      <c r="F174" s="7657" t="s">
        <v>2254</v>
      </c>
      <c r="G174" s="7657" t="s">
        <v>2846</v>
      </c>
      <c r="H174" s="7657" t="s">
        <v>17</v>
      </c>
      <c r="I174" s="7657" t="s">
        <v>2847</v>
      </c>
      <c r="J174" s="0" t="s">
        <v>17</v>
      </c>
      <c r="K174" s="0" t="s">
        <v>845</v>
      </c>
      <c r="L174" s="0" t="s">
        <v>2301</v>
      </c>
      <c r="M174" s="0" t="s">
        <v>2302</v>
      </c>
      <c r="N174" s="0" t="s">
        <v>400</v>
      </c>
    </row>
    <row customHeight="1" ht="11.25">
      <c r="A175" s="7657" t="s">
        <v>2195</v>
      </c>
      <c r="B175" s="7657" t="s">
        <v>14</v>
      </c>
      <c r="C175" s="7657" t="s">
        <v>2848</v>
      </c>
      <c r="D175" s="7657" t="s">
        <v>2849</v>
      </c>
      <c r="E175" s="7657" t="s">
        <v>2850</v>
      </c>
      <c r="F175" s="7657" t="s">
        <v>2254</v>
      </c>
      <c r="G175" s="7657" t="s">
        <v>2851</v>
      </c>
      <c r="H175" s="7657" t="s">
        <v>17</v>
      </c>
      <c r="I175" s="7657" t="s">
        <v>2852</v>
      </c>
      <c r="J175" s="0" t="s">
        <v>17</v>
      </c>
      <c r="K175" s="0" t="s">
        <v>878</v>
      </c>
      <c r="L175" s="0" t="s">
        <v>2201</v>
      </c>
      <c r="M175" s="0" t="s">
        <v>2202</v>
      </c>
      <c r="N175" s="0" t="s">
        <v>400</v>
      </c>
    </row>
    <row customHeight="1" ht="11.25">
      <c r="A176" s="7657" t="s">
        <v>2195</v>
      </c>
      <c r="B176" s="7657" t="s">
        <v>14</v>
      </c>
      <c r="C176" s="7657" t="s">
        <v>2848</v>
      </c>
      <c r="D176" s="7657" t="s">
        <v>2849</v>
      </c>
      <c r="E176" s="7657" t="s">
        <v>2850</v>
      </c>
      <c r="F176" s="7657" t="s">
        <v>2254</v>
      </c>
      <c r="G176" s="7657" t="s">
        <v>2851</v>
      </c>
      <c r="H176" s="7657" t="s">
        <v>17</v>
      </c>
      <c r="I176" s="7657" t="s">
        <v>2852</v>
      </c>
      <c r="J176" s="0" t="s">
        <v>17</v>
      </c>
      <c r="K176" s="0" t="s">
        <v>2429</v>
      </c>
      <c r="L176" s="0" t="s">
        <v>2430</v>
      </c>
      <c r="M176" s="0" t="s">
        <v>2431</v>
      </c>
      <c r="N176" s="0" t="s">
        <v>400</v>
      </c>
    </row>
    <row customHeight="1" ht="11.25">
      <c r="A177" s="7657" t="s">
        <v>2195</v>
      </c>
      <c r="B177" s="7657" t="s">
        <v>14</v>
      </c>
      <c r="C177" s="7657" t="s">
        <v>2853</v>
      </c>
      <c r="D177" s="7657" t="s">
        <v>2854</v>
      </c>
      <c r="E177" s="7657" t="s">
        <v>2855</v>
      </c>
      <c r="F177" s="7657" t="s">
        <v>2856</v>
      </c>
      <c r="G177" s="7657" t="s">
        <v>2857</v>
      </c>
      <c r="H177" s="7657" t="s">
        <v>17</v>
      </c>
      <c r="I177" s="7657" t="s">
        <v>2858</v>
      </c>
      <c r="J177" s="0" t="s">
        <v>17</v>
      </c>
      <c r="K177" s="0" t="s">
        <v>878</v>
      </c>
      <c r="L177" s="0" t="s">
        <v>2201</v>
      </c>
      <c r="M177" s="0" t="s">
        <v>2202</v>
      </c>
      <c r="N177" s="0" t="s">
        <v>400</v>
      </c>
    </row>
    <row customHeight="1" ht="11.25">
      <c r="A178" s="7657" t="s">
        <v>2195</v>
      </c>
      <c r="B178" s="7657" t="s">
        <v>14</v>
      </c>
      <c r="C178" s="7657" t="s">
        <v>2859</v>
      </c>
      <c r="D178" s="7657" t="s">
        <v>2860</v>
      </c>
      <c r="E178" s="7657" t="s">
        <v>2861</v>
      </c>
      <c r="F178" s="7657" t="s">
        <v>2856</v>
      </c>
      <c r="G178" s="7657" t="s">
        <v>2862</v>
      </c>
      <c r="H178" s="7657" t="s">
        <v>17</v>
      </c>
      <c r="I178" s="7657" t="s">
        <v>2340</v>
      </c>
      <c r="J178" s="0" t="s">
        <v>17</v>
      </c>
      <c r="K178" s="0" t="s">
        <v>782</v>
      </c>
      <c r="L178" s="0" t="s">
        <v>2508</v>
      </c>
      <c r="M178" s="0" t="s">
        <v>2509</v>
      </c>
      <c r="N178" s="0" t="s">
        <v>400</v>
      </c>
    </row>
    <row customHeight="1" ht="11.25">
      <c r="A179" s="7657" t="s">
        <v>2195</v>
      </c>
      <c r="B179" s="7657" t="s">
        <v>14</v>
      </c>
      <c r="C179" s="7657" t="s">
        <v>2863</v>
      </c>
      <c r="D179" s="7657" t="s">
        <v>2864</v>
      </c>
      <c r="E179" s="7657" t="s">
        <v>2865</v>
      </c>
      <c r="F179" s="7657" t="s">
        <v>2866</v>
      </c>
      <c r="G179" s="7657" t="s">
        <v>2867</v>
      </c>
      <c r="H179" s="7657" t="s">
        <v>17</v>
      </c>
      <c r="I179" s="7657" t="s">
        <v>2868</v>
      </c>
      <c r="J179" s="0" t="s">
        <v>17</v>
      </c>
      <c r="K179" s="0" t="s">
        <v>878</v>
      </c>
      <c r="L179" s="0" t="s">
        <v>2201</v>
      </c>
      <c r="M179" s="0" t="s">
        <v>2202</v>
      </c>
      <c r="N179" s="0" t="s">
        <v>400</v>
      </c>
    </row>
    <row customHeight="1" ht="11.25">
      <c r="A180" s="7657" t="s">
        <v>2195</v>
      </c>
      <c r="B180" s="7657" t="s">
        <v>14</v>
      </c>
      <c r="C180" s="7657" t="s">
        <v>2869</v>
      </c>
      <c r="D180" s="7657" t="s">
        <v>2870</v>
      </c>
      <c r="E180" s="7657" t="s">
        <v>2871</v>
      </c>
      <c r="F180" s="7657" t="s">
        <v>2239</v>
      </c>
      <c r="G180" s="7657" t="s">
        <v>2872</v>
      </c>
      <c r="H180" s="7657" t="s">
        <v>17</v>
      </c>
      <c r="I180" s="7657" t="s">
        <v>2873</v>
      </c>
      <c r="J180" s="0" t="s">
        <v>17</v>
      </c>
      <c r="K180" s="0" t="s">
        <v>782</v>
      </c>
      <c r="L180" s="0" t="s">
        <v>2508</v>
      </c>
      <c r="M180" s="0" t="s">
        <v>2509</v>
      </c>
      <c r="N180" s="0" t="s">
        <v>400</v>
      </c>
    </row>
    <row customHeight="1" ht="11.25">
      <c r="A181" s="7657" t="s">
        <v>2195</v>
      </c>
      <c r="B181" s="7657" t="s">
        <v>14</v>
      </c>
      <c r="C181" s="7657" t="s">
        <v>2874</v>
      </c>
      <c r="D181" s="7657" t="s">
        <v>2875</v>
      </c>
      <c r="E181" s="7657" t="s">
        <v>2876</v>
      </c>
      <c r="F181" s="7657" t="s">
        <v>2239</v>
      </c>
      <c r="G181" s="7657" t="s">
        <v>2327</v>
      </c>
      <c r="H181" s="7657" t="s">
        <v>17</v>
      </c>
      <c r="I181" s="7657" t="s">
        <v>2877</v>
      </c>
      <c r="J181" s="0" t="s">
        <v>17</v>
      </c>
      <c r="K181" s="0" t="s">
        <v>878</v>
      </c>
      <c r="L181" s="0" t="s">
        <v>2201</v>
      </c>
      <c r="M181" s="0" t="s">
        <v>2202</v>
      </c>
      <c r="N181" s="0" t="s">
        <v>400</v>
      </c>
    </row>
    <row customHeight="1" ht="11.25">
      <c r="A182" s="7657" t="s">
        <v>2195</v>
      </c>
      <c r="B182" s="7657" t="s">
        <v>14</v>
      </c>
      <c r="C182" s="7657" t="s">
        <v>2878</v>
      </c>
      <c r="D182" s="7657" t="s">
        <v>2879</v>
      </c>
      <c r="E182" s="7657" t="s">
        <v>2880</v>
      </c>
      <c r="F182" s="7657" t="s">
        <v>2425</v>
      </c>
      <c r="G182" s="7657" t="s">
        <v>17</v>
      </c>
      <c r="H182" s="7657" t="s">
        <v>17</v>
      </c>
      <c r="I182" s="7657" t="s">
        <v>2881</v>
      </c>
      <c r="J182" s="0" t="s">
        <v>17</v>
      </c>
      <c r="K182" s="0" t="s">
        <v>878</v>
      </c>
      <c r="L182" s="0" t="s">
        <v>2201</v>
      </c>
      <c r="M182" s="0" t="s">
        <v>2202</v>
      </c>
      <c r="N182" s="0" t="s">
        <v>400</v>
      </c>
    </row>
    <row customHeight="1" ht="11.25">
      <c r="A183" s="7657" t="s">
        <v>2195</v>
      </c>
      <c r="B183" s="7657" t="s">
        <v>14</v>
      </c>
      <c r="C183" s="7657" t="s">
        <v>2882</v>
      </c>
      <c r="D183" s="7657" t="s">
        <v>2883</v>
      </c>
      <c r="E183" s="7657" t="s">
        <v>2884</v>
      </c>
      <c r="F183" s="7657" t="s">
        <v>2267</v>
      </c>
      <c r="G183" s="7657" t="s">
        <v>2885</v>
      </c>
      <c r="H183" s="7657" t="s">
        <v>17</v>
      </c>
      <c r="I183" s="7657" t="s">
        <v>2886</v>
      </c>
      <c r="J183" s="0" t="s">
        <v>17</v>
      </c>
      <c r="K183" s="0" t="s">
        <v>878</v>
      </c>
      <c r="L183" s="0" t="s">
        <v>2201</v>
      </c>
      <c r="M183" s="0" t="s">
        <v>2202</v>
      </c>
      <c r="N183" s="0" t="s">
        <v>400</v>
      </c>
    </row>
    <row customHeight="1" ht="11.25">
      <c r="A184" s="7657" t="s">
        <v>2195</v>
      </c>
      <c r="B184" s="7657" t="s">
        <v>14</v>
      </c>
      <c r="C184" s="7657" t="s">
        <v>2887</v>
      </c>
      <c r="D184" s="7657" t="s">
        <v>2888</v>
      </c>
      <c r="E184" s="7657" t="s">
        <v>2889</v>
      </c>
      <c r="F184" s="7657" t="s">
        <v>2239</v>
      </c>
      <c r="G184" s="7657" t="s">
        <v>17</v>
      </c>
      <c r="H184" s="7657" t="s">
        <v>17</v>
      </c>
      <c r="I184" s="7657" t="s">
        <v>2223</v>
      </c>
      <c r="J184" s="0" t="s">
        <v>17</v>
      </c>
      <c r="K184" s="0" t="s">
        <v>878</v>
      </c>
      <c r="L184" s="0" t="s">
        <v>2201</v>
      </c>
      <c r="M184" s="0" t="s">
        <v>2202</v>
      </c>
      <c r="N184" s="0" t="s">
        <v>400</v>
      </c>
    </row>
    <row customHeight="1" ht="11.25">
      <c r="A185" s="7657" t="s">
        <v>2195</v>
      </c>
      <c r="B185" s="7657" t="s">
        <v>14</v>
      </c>
      <c r="C185" s="7657" t="s">
        <v>2890</v>
      </c>
      <c r="D185" s="7657" t="s">
        <v>2891</v>
      </c>
      <c r="E185" s="7657" t="s">
        <v>2892</v>
      </c>
      <c r="F185" s="7657" t="s">
        <v>2699</v>
      </c>
      <c r="G185" s="7657" t="s">
        <v>17</v>
      </c>
      <c r="H185" s="7657" t="s">
        <v>17</v>
      </c>
      <c r="I185" s="7657" t="s">
        <v>2893</v>
      </c>
      <c r="J185" s="0" t="s">
        <v>17</v>
      </c>
      <c r="K185" s="0" t="s">
        <v>878</v>
      </c>
      <c r="L185" s="0" t="s">
        <v>2201</v>
      </c>
      <c r="M185" s="0" t="s">
        <v>2202</v>
      </c>
      <c r="N185" s="0" t="s">
        <v>400</v>
      </c>
    </row>
    <row customHeight="1" ht="11.25">
      <c r="A186" s="7657" t="s">
        <v>2195</v>
      </c>
      <c r="B186" s="7657" t="s">
        <v>14</v>
      </c>
      <c r="C186" s="7657" t="s">
        <v>2894</v>
      </c>
      <c r="D186" s="7657" t="s">
        <v>2895</v>
      </c>
      <c r="E186" s="7657" t="s">
        <v>2896</v>
      </c>
      <c r="F186" s="7657" t="s">
        <v>2897</v>
      </c>
      <c r="G186" s="7657" t="s">
        <v>2898</v>
      </c>
      <c r="H186" s="7657" t="s">
        <v>17</v>
      </c>
      <c r="I186" s="7657" t="s">
        <v>2898</v>
      </c>
      <c r="J186" s="0" t="s">
        <v>17</v>
      </c>
      <c r="K186" s="0" t="s">
        <v>878</v>
      </c>
      <c r="L186" s="0" t="s">
        <v>2201</v>
      </c>
      <c r="M186" s="0" t="s">
        <v>2202</v>
      </c>
      <c r="N186" s="0" t="s">
        <v>400</v>
      </c>
    </row>
    <row customHeight="1" ht="11.25">
      <c r="A187" s="7657" t="s">
        <v>2195</v>
      </c>
      <c r="B187" s="7657" t="s">
        <v>14</v>
      </c>
      <c r="C187" s="7657" t="s">
        <v>2899</v>
      </c>
      <c r="D187" s="7657" t="s">
        <v>2900</v>
      </c>
      <c r="E187" s="7657" t="s">
        <v>2901</v>
      </c>
      <c r="F187" s="7657" t="s">
        <v>2227</v>
      </c>
      <c r="G187" s="7657" t="s">
        <v>2902</v>
      </c>
      <c r="H187" s="7657" t="s">
        <v>17</v>
      </c>
      <c r="I187" s="7657" t="s">
        <v>2903</v>
      </c>
      <c r="J187" s="0" t="s">
        <v>17</v>
      </c>
      <c r="K187" s="0" t="s">
        <v>782</v>
      </c>
      <c r="L187" s="0" t="s">
        <v>2508</v>
      </c>
      <c r="M187" s="0" t="s">
        <v>2509</v>
      </c>
      <c r="N187" s="0" t="s">
        <v>400</v>
      </c>
    </row>
    <row customHeight="1" ht="11.25">
      <c r="A188" s="7657" t="s">
        <v>2195</v>
      </c>
      <c r="B188" s="7657" t="s">
        <v>14</v>
      </c>
      <c r="C188" s="7657" t="s">
        <v>2904</v>
      </c>
      <c r="D188" s="7657" t="s">
        <v>2905</v>
      </c>
      <c r="E188" s="7657" t="s">
        <v>2906</v>
      </c>
      <c r="F188" s="7657" t="s">
        <v>2907</v>
      </c>
      <c r="G188" s="7657" t="s">
        <v>2908</v>
      </c>
      <c r="H188" s="7657" t="s">
        <v>17</v>
      </c>
      <c r="I188" s="7657" t="s">
        <v>2909</v>
      </c>
      <c r="J188" s="0" t="s">
        <v>17</v>
      </c>
      <c r="K188" s="0" t="s">
        <v>810</v>
      </c>
      <c r="L188" s="0" t="s">
        <v>2910</v>
      </c>
      <c r="M188" s="0" t="s">
        <v>2911</v>
      </c>
      <c r="N188" s="0" t="s">
        <v>400</v>
      </c>
    </row>
    <row customHeight="1" ht="11.25">
      <c r="A189" s="7657" t="s">
        <v>2195</v>
      </c>
      <c r="B189" s="7657" t="s">
        <v>14</v>
      </c>
      <c r="C189" s="7657" t="s">
        <v>2904</v>
      </c>
      <c r="D189" s="7657" t="s">
        <v>2905</v>
      </c>
      <c r="E189" s="7657" t="s">
        <v>2906</v>
      </c>
      <c r="F189" s="7657" t="s">
        <v>2907</v>
      </c>
      <c r="G189" s="7657" t="s">
        <v>2908</v>
      </c>
      <c r="H189" s="7657" t="s">
        <v>17</v>
      </c>
      <c r="I189" s="7657" t="s">
        <v>2909</v>
      </c>
      <c r="J189" s="0" t="s">
        <v>17</v>
      </c>
      <c r="K189" s="0" t="s">
        <v>845</v>
      </c>
      <c r="L189" s="0" t="s">
        <v>2910</v>
      </c>
      <c r="M189" s="0" t="s">
        <v>2911</v>
      </c>
      <c r="N189" s="0" t="s">
        <v>400</v>
      </c>
    </row>
    <row customHeight="1" ht="11.25">
      <c r="A190" s="7657" t="s">
        <v>2195</v>
      </c>
      <c r="B190" s="7657" t="s">
        <v>14</v>
      </c>
      <c r="C190" s="7657" t="s">
        <v>2912</v>
      </c>
      <c r="D190" s="7657" t="s">
        <v>2913</v>
      </c>
      <c r="E190" s="7657" t="s">
        <v>2914</v>
      </c>
      <c r="F190" s="7657" t="s">
        <v>2267</v>
      </c>
      <c r="G190" s="7657" t="s">
        <v>2915</v>
      </c>
      <c r="H190" s="7657" t="s">
        <v>17</v>
      </c>
      <c r="I190" s="7657" t="s">
        <v>2916</v>
      </c>
      <c r="J190" s="0" t="s">
        <v>17</v>
      </c>
      <c r="K190" s="0" t="s">
        <v>878</v>
      </c>
      <c r="L190" s="0" t="s">
        <v>2201</v>
      </c>
      <c r="M190" s="0" t="s">
        <v>2202</v>
      </c>
      <c r="N190" s="0" t="s">
        <v>400</v>
      </c>
    </row>
    <row customHeight="1" ht="11.25">
      <c r="A191" s="7657" t="s">
        <v>2195</v>
      </c>
      <c r="B191" s="7657" t="s">
        <v>14</v>
      </c>
      <c r="C191" s="7657" t="s">
        <v>2917</v>
      </c>
      <c r="D191" s="7657" t="s">
        <v>2918</v>
      </c>
      <c r="E191" s="7657" t="s">
        <v>2919</v>
      </c>
      <c r="F191" s="7657" t="s">
        <v>2321</v>
      </c>
      <c r="G191" s="7657" t="s">
        <v>2920</v>
      </c>
      <c r="H191" s="7657" t="s">
        <v>17</v>
      </c>
      <c r="I191" s="7657" t="s">
        <v>2340</v>
      </c>
      <c r="J191" s="0" t="s">
        <v>17</v>
      </c>
      <c r="K191" s="0" t="s">
        <v>810</v>
      </c>
      <c r="L191" s="0" t="s">
        <v>2910</v>
      </c>
      <c r="M191" s="0" t="s">
        <v>2911</v>
      </c>
      <c r="N191" s="0" t="s">
        <v>400</v>
      </c>
    </row>
    <row customHeight="1" ht="11.25">
      <c r="A192" s="7657" t="s">
        <v>2195</v>
      </c>
      <c r="B192" s="7657" t="s">
        <v>14</v>
      </c>
      <c r="C192" s="7657" t="s">
        <v>2917</v>
      </c>
      <c r="D192" s="7657" t="s">
        <v>2918</v>
      </c>
      <c r="E192" s="7657" t="s">
        <v>2919</v>
      </c>
      <c r="F192" s="7657" t="s">
        <v>2321</v>
      </c>
      <c r="G192" s="7657" t="s">
        <v>2920</v>
      </c>
      <c r="H192" s="7657" t="s">
        <v>17</v>
      </c>
      <c r="I192" s="7657" t="s">
        <v>2340</v>
      </c>
      <c r="J192" s="0" t="s">
        <v>17</v>
      </c>
      <c r="K192" s="0" t="s">
        <v>845</v>
      </c>
      <c r="L192" s="0" t="s">
        <v>2910</v>
      </c>
      <c r="M192" s="0" t="s">
        <v>2911</v>
      </c>
      <c r="N192" s="0" t="s">
        <v>400</v>
      </c>
    </row>
    <row customHeight="1" ht="11.25">
      <c r="A193" s="7657" t="s">
        <v>2195</v>
      </c>
      <c r="B193" s="7657" t="s">
        <v>14</v>
      </c>
      <c r="C193" s="7657" t="s">
        <v>2921</v>
      </c>
      <c r="D193" s="7657" t="s">
        <v>2922</v>
      </c>
      <c r="E193" s="7657" t="s">
        <v>2923</v>
      </c>
      <c r="F193" s="7657" t="s">
        <v>2239</v>
      </c>
      <c r="G193" s="7657" t="s">
        <v>2924</v>
      </c>
      <c r="H193" s="7657" t="s">
        <v>17</v>
      </c>
      <c r="I193" s="7657" t="s">
        <v>2925</v>
      </c>
      <c r="J193" s="0" t="s">
        <v>17</v>
      </c>
      <c r="K193" s="0" t="s">
        <v>878</v>
      </c>
      <c r="L193" s="0" t="s">
        <v>2201</v>
      </c>
      <c r="M193" s="0" t="s">
        <v>2202</v>
      </c>
      <c r="N193" s="0" t="s">
        <v>400</v>
      </c>
    </row>
    <row customHeight="1" ht="11.25">
      <c r="A194" s="7657" t="s">
        <v>2195</v>
      </c>
      <c r="B194" s="7657" t="s">
        <v>14</v>
      </c>
      <c r="C194" s="7657" t="s">
        <v>2926</v>
      </c>
      <c r="D194" s="7657" t="s">
        <v>2927</v>
      </c>
      <c r="E194" s="7657" t="s">
        <v>2928</v>
      </c>
      <c r="F194" s="7657" t="s">
        <v>2929</v>
      </c>
      <c r="G194" s="7657" t="s">
        <v>2930</v>
      </c>
      <c r="H194" s="7657" t="s">
        <v>17</v>
      </c>
      <c r="I194" s="7657" t="s">
        <v>2808</v>
      </c>
      <c r="J194" s="0" t="s">
        <v>17</v>
      </c>
      <c r="K194" s="0" t="s">
        <v>878</v>
      </c>
      <c r="L194" s="0" t="s">
        <v>2201</v>
      </c>
      <c r="M194" s="0" t="s">
        <v>2202</v>
      </c>
      <c r="N194" s="0" t="s">
        <v>400</v>
      </c>
    </row>
    <row customHeight="1" ht="11.25">
      <c r="A195" s="7657" t="s">
        <v>2195</v>
      </c>
      <c r="B195" s="7657" t="s">
        <v>14</v>
      </c>
      <c r="C195" s="7657" t="s">
        <v>2931</v>
      </c>
      <c r="D195" s="7657" t="s">
        <v>2932</v>
      </c>
      <c r="E195" s="7657" t="s">
        <v>2933</v>
      </c>
      <c r="F195" s="7657" t="s">
        <v>2254</v>
      </c>
      <c r="G195" s="7657" t="s">
        <v>2934</v>
      </c>
      <c r="H195" s="7657" t="s">
        <v>17</v>
      </c>
      <c r="I195" s="7657" t="s">
        <v>2680</v>
      </c>
      <c r="J195" s="0" t="s">
        <v>17</v>
      </c>
      <c r="K195" s="0" t="s">
        <v>878</v>
      </c>
      <c r="L195" s="0" t="s">
        <v>2201</v>
      </c>
      <c r="M195" s="0" t="s">
        <v>2202</v>
      </c>
      <c r="N195" s="0" t="s">
        <v>400</v>
      </c>
    </row>
    <row customHeight="1" ht="11.25">
      <c r="A196" s="7657" t="s">
        <v>2195</v>
      </c>
      <c r="B196" s="7657" t="s">
        <v>14</v>
      </c>
      <c r="C196" s="7657" t="s">
        <v>2935</v>
      </c>
      <c r="D196" s="7657" t="s">
        <v>2936</v>
      </c>
      <c r="E196" s="7657" t="s">
        <v>2937</v>
      </c>
      <c r="F196" s="7657" t="s">
        <v>2227</v>
      </c>
      <c r="G196" s="7657" t="s">
        <v>17</v>
      </c>
      <c r="H196" s="7657" t="s">
        <v>17</v>
      </c>
      <c r="I196" s="7657" t="s">
        <v>2228</v>
      </c>
      <c r="J196" s="0" t="s">
        <v>17</v>
      </c>
      <c r="K196" s="0" t="s">
        <v>903</v>
      </c>
      <c r="L196" s="0" t="s">
        <v>2938</v>
      </c>
      <c r="M196" s="0" t="s">
        <v>2939</v>
      </c>
      <c r="N196" s="0" t="s">
        <v>400</v>
      </c>
    </row>
    <row customHeight="1" ht="11.25">
      <c r="A197" s="7657" t="s">
        <v>2195</v>
      </c>
      <c r="B197" s="7657" t="s">
        <v>14</v>
      </c>
      <c r="C197" s="7657" t="s">
        <v>2940</v>
      </c>
      <c r="D197" s="7657" t="s">
        <v>2941</v>
      </c>
      <c r="E197" s="7657" t="s">
        <v>2942</v>
      </c>
      <c r="F197" s="7657" t="s">
        <v>2943</v>
      </c>
      <c r="G197" s="7657" t="s">
        <v>2944</v>
      </c>
      <c r="H197" s="7657" t="s">
        <v>17</v>
      </c>
      <c r="I197" s="7657" t="s">
        <v>2945</v>
      </c>
      <c r="J197" s="0" t="s">
        <v>17</v>
      </c>
      <c r="K197" s="0" t="s">
        <v>878</v>
      </c>
      <c r="L197" s="0" t="s">
        <v>2201</v>
      </c>
      <c r="M197" s="0" t="s">
        <v>2202</v>
      </c>
      <c r="N197" s="0" t="s">
        <v>400</v>
      </c>
    </row>
    <row customHeight="1" ht="11.25">
      <c r="A198" s="7657" t="s">
        <v>2195</v>
      </c>
      <c r="B198" s="7657" t="s">
        <v>14</v>
      </c>
      <c r="C198" s="7657" t="s">
        <v>2946</v>
      </c>
      <c r="D198" s="7657" t="s">
        <v>2947</v>
      </c>
      <c r="E198" s="7657" t="s">
        <v>2948</v>
      </c>
      <c r="F198" s="7657" t="s">
        <v>2239</v>
      </c>
      <c r="G198" s="7657" t="s">
        <v>2949</v>
      </c>
      <c r="H198" s="7657" t="s">
        <v>17</v>
      </c>
      <c r="I198" s="7657" t="s">
        <v>2949</v>
      </c>
      <c r="J198" s="0" t="s">
        <v>17</v>
      </c>
      <c r="K198" s="0" t="s">
        <v>878</v>
      </c>
      <c r="L198" s="0" t="s">
        <v>2201</v>
      </c>
      <c r="M198" s="0" t="s">
        <v>2202</v>
      </c>
      <c r="N198" s="0" t="s">
        <v>400</v>
      </c>
    </row>
    <row customHeight="1" ht="11.25">
      <c r="A199" s="7657" t="s">
        <v>2195</v>
      </c>
      <c r="B199" s="7657" t="s">
        <v>14</v>
      </c>
      <c r="C199" s="7657" t="s">
        <v>2950</v>
      </c>
      <c r="D199" s="7657" t="s">
        <v>2951</v>
      </c>
      <c r="E199" s="7657" t="s">
        <v>2952</v>
      </c>
      <c r="F199" s="7657" t="s">
        <v>2599</v>
      </c>
      <c r="G199" s="7657" t="s">
        <v>2953</v>
      </c>
      <c r="H199" s="7657" t="s">
        <v>17</v>
      </c>
      <c r="I199" s="7657" t="s">
        <v>2820</v>
      </c>
      <c r="J199" s="0" t="s">
        <v>2954</v>
      </c>
      <c r="K199" s="0" t="s">
        <v>878</v>
      </c>
      <c r="L199" s="0" t="s">
        <v>2201</v>
      </c>
      <c r="M199" s="0" t="s">
        <v>2202</v>
      </c>
      <c r="N199" s="0" t="s">
        <v>400</v>
      </c>
    </row>
    <row customHeight="1" ht="11.25">
      <c r="A200" s="7657" t="s">
        <v>2195</v>
      </c>
      <c r="B200" s="7657" t="s">
        <v>14</v>
      </c>
      <c r="C200" s="7657" t="s">
        <v>2950</v>
      </c>
      <c r="D200" s="7657" t="s">
        <v>2951</v>
      </c>
      <c r="E200" s="7657" t="s">
        <v>2952</v>
      </c>
      <c r="F200" s="7657" t="s">
        <v>2599</v>
      </c>
      <c r="G200" s="7657" t="s">
        <v>2953</v>
      </c>
      <c r="H200" s="7657" t="s">
        <v>17</v>
      </c>
      <c r="I200" s="7657" t="s">
        <v>2955</v>
      </c>
      <c r="J200" s="0" t="s">
        <v>17</v>
      </c>
      <c r="K200" s="0" t="s">
        <v>878</v>
      </c>
      <c r="L200" s="0" t="s">
        <v>2201</v>
      </c>
      <c r="M200" s="0" t="s">
        <v>2202</v>
      </c>
      <c r="N200" s="0" t="s">
        <v>400</v>
      </c>
    </row>
    <row customHeight="1" ht="11.25">
      <c r="A201" s="7657" t="s">
        <v>2195</v>
      </c>
      <c r="B201" s="7657" t="s">
        <v>14</v>
      </c>
      <c r="C201" s="7657" t="s">
        <v>2956</v>
      </c>
      <c r="D201" s="7657" t="s">
        <v>2957</v>
      </c>
      <c r="E201" s="7657" t="s">
        <v>2958</v>
      </c>
      <c r="F201" s="7657" t="s">
        <v>2227</v>
      </c>
      <c r="G201" s="7657" t="s">
        <v>17</v>
      </c>
      <c r="H201" s="7657" t="s">
        <v>17</v>
      </c>
      <c r="I201" s="7657" t="s">
        <v>2959</v>
      </c>
      <c r="J201" s="0" t="s">
        <v>17</v>
      </c>
      <c r="K201" s="0" t="s">
        <v>878</v>
      </c>
      <c r="L201" s="0" t="s">
        <v>2201</v>
      </c>
      <c r="M201" s="0" t="s">
        <v>2202</v>
      </c>
      <c r="N201" s="0" t="s">
        <v>400</v>
      </c>
    </row>
    <row customHeight="1" ht="11.25">
      <c r="A202" s="7657" t="s">
        <v>2195</v>
      </c>
      <c r="B202" s="7657" t="s">
        <v>14</v>
      </c>
      <c r="C202" s="7657" t="s">
        <v>2960</v>
      </c>
      <c r="D202" s="7657" t="s">
        <v>2961</v>
      </c>
      <c r="E202" s="7657" t="s">
        <v>2962</v>
      </c>
      <c r="F202" s="7657" t="s">
        <v>2317</v>
      </c>
      <c r="G202" s="7657" t="s">
        <v>2963</v>
      </c>
      <c r="H202" s="7657" t="s">
        <v>17</v>
      </c>
      <c r="I202" s="7657" t="s">
        <v>2964</v>
      </c>
      <c r="J202" s="0" t="s">
        <v>17</v>
      </c>
      <c r="K202" s="0" t="s">
        <v>878</v>
      </c>
      <c r="L202" s="0" t="s">
        <v>2201</v>
      </c>
      <c r="M202" s="0" t="s">
        <v>2202</v>
      </c>
      <c r="N202" s="0" t="s">
        <v>400</v>
      </c>
    </row>
    <row customHeight="1" ht="11.25">
      <c r="A203" s="7657" t="s">
        <v>2195</v>
      </c>
      <c r="B203" s="7657" t="s">
        <v>14</v>
      </c>
      <c r="C203" s="7657" t="s">
        <v>2965</v>
      </c>
      <c r="D203" s="7657" t="s">
        <v>2966</v>
      </c>
      <c r="E203" s="7657" t="s">
        <v>2967</v>
      </c>
      <c r="F203" s="7657" t="s">
        <v>2199</v>
      </c>
      <c r="G203" s="7657" t="s">
        <v>2968</v>
      </c>
      <c r="H203" s="7657" t="s">
        <v>17</v>
      </c>
      <c r="I203" s="7657" t="s">
        <v>2969</v>
      </c>
      <c r="J203" s="0" t="s">
        <v>17</v>
      </c>
      <c r="K203" s="0" t="s">
        <v>878</v>
      </c>
      <c r="L203" s="0" t="s">
        <v>2201</v>
      </c>
      <c r="M203" s="0" t="s">
        <v>2202</v>
      </c>
      <c r="N203" s="0" t="s">
        <v>400</v>
      </c>
    </row>
    <row customHeight="1" ht="11.25">
      <c r="A204" s="7657" t="s">
        <v>2195</v>
      </c>
      <c r="B204" s="7657" t="s">
        <v>14</v>
      </c>
      <c r="C204" s="7657" t="s">
        <v>2970</v>
      </c>
      <c r="D204" s="7657" t="s">
        <v>2971</v>
      </c>
      <c r="E204" s="7657" t="s">
        <v>2972</v>
      </c>
      <c r="F204" s="7657" t="s">
        <v>2227</v>
      </c>
      <c r="G204" s="7657" t="s">
        <v>2973</v>
      </c>
      <c r="H204" s="7657" t="s">
        <v>17</v>
      </c>
      <c r="I204" s="7657" t="s">
        <v>2974</v>
      </c>
      <c r="J204" s="0" t="s">
        <v>17</v>
      </c>
      <c r="K204" s="0" t="s">
        <v>878</v>
      </c>
      <c r="L204" s="0" t="s">
        <v>2201</v>
      </c>
      <c r="M204" s="0" t="s">
        <v>2202</v>
      </c>
      <c r="N204" s="0" t="s">
        <v>400</v>
      </c>
    </row>
    <row customHeight="1" ht="11.25">
      <c r="A205" s="7657" t="s">
        <v>2195</v>
      </c>
      <c r="B205" s="7657" t="s">
        <v>14</v>
      </c>
      <c r="C205" s="7657" t="s">
        <v>2975</v>
      </c>
      <c r="D205" s="7657" t="s">
        <v>2976</v>
      </c>
      <c r="E205" s="7657" t="s">
        <v>2977</v>
      </c>
      <c r="F205" s="7657" t="s">
        <v>2239</v>
      </c>
      <c r="G205" s="7657" t="s">
        <v>2978</v>
      </c>
      <c r="H205" s="7657" t="s">
        <v>17</v>
      </c>
      <c r="I205" s="7657" t="s">
        <v>2979</v>
      </c>
      <c r="J205" s="0" t="s">
        <v>17</v>
      </c>
      <c r="K205" s="0" t="s">
        <v>878</v>
      </c>
      <c r="L205" s="0" t="s">
        <v>2201</v>
      </c>
      <c r="M205" s="0" t="s">
        <v>2202</v>
      </c>
      <c r="N205" s="0" t="s">
        <v>400</v>
      </c>
    </row>
    <row customHeight="1" ht="11.25">
      <c r="A206" s="7657" t="s">
        <v>2195</v>
      </c>
      <c r="B206" s="7657" t="s">
        <v>14</v>
      </c>
      <c r="C206" s="7657" t="s">
        <v>2980</v>
      </c>
      <c r="D206" s="7657" t="s">
        <v>2981</v>
      </c>
      <c r="E206" s="7657" t="s">
        <v>2982</v>
      </c>
      <c r="F206" s="7657" t="s">
        <v>2254</v>
      </c>
      <c r="G206" s="7657" t="s">
        <v>2983</v>
      </c>
      <c r="H206" s="7657" t="s">
        <v>17</v>
      </c>
      <c r="I206" s="7657" t="s">
        <v>2984</v>
      </c>
      <c r="J206" s="0" t="s">
        <v>17</v>
      </c>
      <c r="K206" s="0" t="s">
        <v>810</v>
      </c>
      <c r="L206" s="0" t="s">
        <v>810</v>
      </c>
      <c r="M206" s="0" t="s">
        <v>2291</v>
      </c>
      <c r="N206" s="0" t="s">
        <v>400</v>
      </c>
    </row>
    <row customHeight="1" ht="11.25">
      <c r="A207" s="7657" t="s">
        <v>2195</v>
      </c>
      <c r="B207" s="7657" t="s">
        <v>14</v>
      </c>
      <c r="C207" s="7657" t="s">
        <v>2985</v>
      </c>
      <c r="D207" s="7657" t="s">
        <v>2986</v>
      </c>
      <c r="E207" s="7657" t="s">
        <v>2987</v>
      </c>
      <c r="F207" s="7657" t="s">
        <v>2254</v>
      </c>
      <c r="G207" s="7657" t="s">
        <v>2988</v>
      </c>
      <c r="H207" s="7657" t="s">
        <v>17</v>
      </c>
      <c r="I207" s="7657" t="s">
        <v>2753</v>
      </c>
      <c r="J207" s="0" t="s">
        <v>17</v>
      </c>
      <c r="K207" s="0" t="s">
        <v>878</v>
      </c>
      <c r="L207" s="0" t="s">
        <v>2201</v>
      </c>
      <c r="M207" s="0" t="s">
        <v>2202</v>
      </c>
      <c r="N207" s="0" t="s">
        <v>400</v>
      </c>
    </row>
    <row customHeight="1" ht="11.25">
      <c r="A208" s="7657" t="s">
        <v>2195</v>
      </c>
      <c r="B208" s="7657" t="s">
        <v>14</v>
      </c>
      <c r="C208" s="7657" t="s">
        <v>2989</v>
      </c>
      <c r="D208" s="7657" t="s">
        <v>2990</v>
      </c>
      <c r="E208" s="7657" t="s">
        <v>2991</v>
      </c>
      <c r="F208" s="7657" t="s">
        <v>2227</v>
      </c>
      <c r="G208" s="7657" t="s">
        <v>2992</v>
      </c>
      <c r="H208" s="7657" t="s">
        <v>17</v>
      </c>
      <c r="I208" s="7657" t="s">
        <v>2873</v>
      </c>
      <c r="J208" s="0" t="s">
        <v>17</v>
      </c>
      <c r="K208" s="0" t="s">
        <v>782</v>
      </c>
      <c r="L208" s="0" t="s">
        <v>2508</v>
      </c>
      <c r="M208" s="0" t="s">
        <v>2509</v>
      </c>
      <c r="N208" s="0" t="s">
        <v>400</v>
      </c>
    </row>
    <row customHeight="1" ht="11.25">
      <c r="A209" s="7657" t="s">
        <v>2195</v>
      </c>
      <c r="B209" s="7657" t="s">
        <v>14</v>
      </c>
      <c r="C209" s="7657" t="s">
        <v>2993</v>
      </c>
      <c r="D209" s="7657" t="s">
        <v>2994</v>
      </c>
      <c r="E209" s="7657" t="s">
        <v>2995</v>
      </c>
      <c r="F209" s="7657" t="s">
        <v>2267</v>
      </c>
      <c r="G209" s="7657" t="s">
        <v>2996</v>
      </c>
      <c r="H209" s="7657" t="s">
        <v>17</v>
      </c>
      <c r="I209" s="7657" t="s">
        <v>2997</v>
      </c>
      <c r="J209" s="0" t="s">
        <v>17</v>
      </c>
      <c r="K209" s="0" t="s">
        <v>878</v>
      </c>
      <c r="L209" s="0" t="s">
        <v>2201</v>
      </c>
      <c r="M209" s="0" t="s">
        <v>2202</v>
      </c>
      <c r="N209" s="0" t="s">
        <v>400</v>
      </c>
    </row>
    <row customHeight="1" ht="11.25">
      <c r="A210" s="7657" t="s">
        <v>2195</v>
      </c>
      <c r="B210" s="7657" t="s">
        <v>14</v>
      </c>
      <c r="C210" s="7657" t="s">
        <v>2998</v>
      </c>
      <c r="D210" s="7657" t="s">
        <v>2999</v>
      </c>
      <c r="E210" s="7657" t="s">
        <v>3000</v>
      </c>
      <c r="F210" s="7657" t="s">
        <v>2317</v>
      </c>
      <c r="G210" s="7657" t="s">
        <v>17</v>
      </c>
      <c r="H210" s="7657" t="s">
        <v>17</v>
      </c>
      <c r="I210" s="7657" t="s">
        <v>2228</v>
      </c>
      <c r="J210" s="0" t="s">
        <v>17</v>
      </c>
      <c r="K210" s="0" t="s">
        <v>878</v>
      </c>
      <c r="L210" s="0" t="s">
        <v>2201</v>
      </c>
      <c r="M210" s="0" t="s">
        <v>2202</v>
      </c>
      <c r="N210" s="0" t="s">
        <v>400</v>
      </c>
    </row>
    <row customHeight="1" ht="11.25">
      <c r="A211" s="7657" t="s">
        <v>2195</v>
      </c>
      <c r="B211" s="7657" t="s">
        <v>14</v>
      </c>
      <c r="C211" s="7657" t="s">
        <v>3001</v>
      </c>
      <c r="D211" s="7657" t="s">
        <v>3002</v>
      </c>
      <c r="E211" s="7657" t="s">
        <v>3003</v>
      </c>
      <c r="F211" s="7657" t="s">
        <v>3004</v>
      </c>
      <c r="G211" s="7657" t="s">
        <v>17</v>
      </c>
      <c r="H211" s="7657" t="s">
        <v>17</v>
      </c>
      <c r="I211" s="7657" t="s">
        <v>2638</v>
      </c>
      <c r="J211" s="0" t="s">
        <v>17</v>
      </c>
      <c r="K211" s="0" t="s">
        <v>878</v>
      </c>
      <c r="L211" s="0" t="s">
        <v>2201</v>
      </c>
      <c r="M211" s="0" t="s">
        <v>2202</v>
      </c>
      <c r="N211" s="0" t="s">
        <v>400</v>
      </c>
    </row>
    <row customHeight="1" ht="11.25">
      <c r="A212" s="7657" t="s">
        <v>2195</v>
      </c>
      <c r="B212" s="7657" t="s">
        <v>14</v>
      </c>
      <c r="C212" s="7657" t="s">
        <v>3001</v>
      </c>
      <c r="D212" s="7657" t="s">
        <v>3002</v>
      </c>
      <c r="E212" s="7657" t="s">
        <v>3003</v>
      </c>
      <c r="F212" s="7657" t="s">
        <v>3004</v>
      </c>
      <c r="G212" s="7657" t="s">
        <v>17</v>
      </c>
      <c r="H212" s="7657" t="s">
        <v>17</v>
      </c>
      <c r="I212" s="7657" t="s">
        <v>3005</v>
      </c>
      <c r="J212" s="0" t="s">
        <v>17</v>
      </c>
      <c r="K212" s="0" t="s">
        <v>878</v>
      </c>
      <c r="L212" s="0" t="s">
        <v>2201</v>
      </c>
      <c r="M212" s="0" t="s">
        <v>2202</v>
      </c>
      <c r="N212" s="0" t="s">
        <v>400</v>
      </c>
    </row>
    <row customHeight="1" ht="11.25">
      <c r="A213" s="7657" t="s">
        <v>2195</v>
      </c>
      <c r="B213" s="7657" t="s">
        <v>14</v>
      </c>
      <c r="C213" s="7657" t="s">
        <v>3006</v>
      </c>
      <c r="D213" s="7657" t="s">
        <v>3007</v>
      </c>
      <c r="E213" s="7657" t="s">
        <v>3008</v>
      </c>
      <c r="F213" s="7657" t="s">
        <v>2254</v>
      </c>
      <c r="G213" s="7657" t="s">
        <v>2988</v>
      </c>
      <c r="H213" s="7657" t="s">
        <v>17</v>
      </c>
      <c r="I213" s="7657" t="s">
        <v>2753</v>
      </c>
      <c r="J213" s="0" t="s">
        <v>17</v>
      </c>
      <c r="K213" s="0" t="s">
        <v>878</v>
      </c>
      <c r="L213" s="0" t="s">
        <v>2201</v>
      </c>
      <c r="M213" s="0" t="s">
        <v>2202</v>
      </c>
      <c r="N213" s="0" t="s">
        <v>400</v>
      </c>
    </row>
    <row customHeight="1" ht="11.25">
      <c r="A214" s="7657" t="s">
        <v>2195</v>
      </c>
      <c r="B214" s="7657" t="s">
        <v>14</v>
      </c>
      <c r="C214" s="7657" t="s">
        <v>3009</v>
      </c>
      <c r="D214" s="7657" t="s">
        <v>3010</v>
      </c>
      <c r="E214" s="7657" t="s">
        <v>3011</v>
      </c>
      <c r="F214" s="7657" t="s">
        <v>2199</v>
      </c>
      <c r="G214" s="7657" t="s">
        <v>17</v>
      </c>
      <c r="H214" s="7657" t="s">
        <v>17</v>
      </c>
      <c r="I214" s="7657" t="s">
        <v>3012</v>
      </c>
      <c r="J214" s="0" t="s">
        <v>17</v>
      </c>
      <c r="K214" s="0" t="s">
        <v>878</v>
      </c>
      <c r="L214" s="0" t="s">
        <v>2201</v>
      </c>
      <c r="M214" s="0" t="s">
        <v>2202</v>
      </c>
      <c r="N214" s="0" t="s">
        <v>400</v>
      </c>
    </row>
    <row customHeight="1" ht="11.25">
      <c r="A215" s="7657" t="s">
        <v>2195</v>
      </c>
      <c r="B215" s="7657" t="s">
        <v>14</v>
      </c>
      <c r="C215" s="7657" t="s">
        <v>3013</v>
      </c>
      <c r="D215" s="7657" t="s">
        <v>3014</v>
      </c>
      <c r="E215" s="7657" t="s">
        <v>3015</v>
      </c>
      <c r="F215" s="7657" t="s">
        <v>3016</v>
      </c>
      <c r="G215" s="7657" t="s">
        <v>17</v>
      </c>
      <c r="H215" s="7657" t="s">
        <v>17</v>
      </c>
      <c r="I215" s="7657" t="s">
        <v>2620</v>
      </c>
      <c r="J215" s="0" t="s">
        <v>17</v>
      </c>
      <c r="K215" s="0" t="s">
        <v>878</v>
      </c>
      <c r="L215" s="0" t="s">
        <v>2201</v>
      </c>
      <c r="M215" s="0" t="s">
        <v>2202</v>
      </c>
      <c r="N215" s="0" t="s">
        <v>400</v>
      </c>
    </row>
    <row customHeight="1" ht="11.25">
      <c r="A216" s="7657" t="s">
        <v>2195</v>
      </c>
      <c r="B216" s="7657" t="s">
        <v>14</v>
      </c>
      <c r="C216" s="7657" t="s">
        <v>3017</v>
      </c>
      <c r="D216" s="7657" t="s">
        <v>3018</v>
      </c>
      <c r="E216" s="7657" t="s">
        <v>3019</v>
      </c>
      <c r="F216" s="7657" t="s">
        <v>2239</v>
      </c>
      <c r="G216" s="7657" t="s">
        <v>3020</v>
      </c>
      <c r="H216" s="7657" t="s">
        <v>17</v>
      </c>
      <c r="I216" s="7657" t="s">
        <v>3020</v>
      </c>
      <c r="J216" s="0" t="s">
        <v>17</v>
      </c>
      <c r="K216" s="0" t="s">
        <v>938</v>
      </c>
      <c r="L216" s="0" t="s">
        <v>2234</v>
      </c>
      <c r="M216" s="0" t="s">
        <v>2235</v>
      </c>
      <c r="N216" s="0" t="s">
        <v>400</v>
      </c>
    </row>
    <row customHeight="1" ht="11.25">
      <c r="A217" s="7657" t="s">
        <v>2195</v>
      </c>
      <c r="B217" s="7657" t="s">
        <v>14</v>
      </c>
      <c r="C217" s="7657" t="s">
        <v>3021</v>
      </c>
      <c r="D217" s="7657" t="s">
        <v>3022</v>
      </c>
      <c r="E217" s="7657" t="s">
        <v>3023</v>
      </c>
      <c r="F217" s="7657" t="s">
        <v>2267</v>
      </c>
      <c r="G217" s="7657" t="s">
        <v>17</v>
      </c>
      <c r="H217" s="7657" t="s">
        <v>17</v>
      </c>
      <c r="I217" s="7657" t="s">
        <v>3024</v>
      </c>
      <c r="J217" s="0" t="s">
        <v>17</v>
      </c>
      <c r="K217" s="0" t="s">
        <v>782</v>
      </c>
      <c r="L217" s="0" t="s">
        <v>2301</v>
      </c>
      <c r="M217" s="0" t="s">
        <v>2302</v>
      </c>
      <c r="N217" s="0" t="s">
        <v>400</v>
      </c>
    </row>
    <row customHeight="1" ht="11.25">
      <c r="A218" s="7657" t="s">
        <v>2195</v>
      </c>
      <c r="B218" s="7657" t="s">
        <v>14</v>
      </c>
      <c r="C218" s="7657" t="s">
        <v>3021</v>
      </c>
      <c r="D218" s="7657" t="s">
        <v>3022</v>
      </c>
      <c r="E218" s="7657" t="s">
        <v>3023</v>
      </c>
      <c r="F218" s="7657" t="s">
        <v>2267</v>
      </c>
      <c r="G218" s="7657" t="s">
        <v>17</v>
      </c>
      <c r="H218" s="7657" t="s">
        <v>17</v>
      </c>
      <c r="I218" s="7657" t="s">
        <v>3024</v>
      </c>
      <c r="J218" s="0" t="s">
        <v>17</v>
      </c>
      <c r="K218" s="0" t="s">
        <v>845</v>
      </c>
      <c r="L218" s="0" t="s">
        <v>2301</v>
      </c>
      <c r="M218" s="0" t="s">
        <v>2302</v>
      </c>
      <c r="N218" s="0" t="s">
        <v>400</v>
      </c>
    </row>
    <row customHeight="1" ht="11.25">
      <c r="A219" s="7657" t="s">
        <v>2195</v>
      </c>
      <c r="B219" s="7657" t="s">
        <v>14</v>
      </c>
      <c r="C219" s="7657" t="s">
        <v>3025</v>
      </c>
      <c r="D219" s="7657" t="s">
        <v>3026</v>
      </c>
      <c r="E219" s="7657" t="s">
        <v>3027</v>
      </c>
      <c r="F219" s="7657" t="s">
        <v>2267</v>
      </c>
      <c r="G219" s="7657" t="s">
        <v>3028</v>
      </c>
      <c r="H219" s="7657" t="s">
        <v>17</v>
      </c>
      <c r="I219" s="7657" t="s">
        <v>2313</v>
      </c>
      <c r="J219" s="0" t="s">
        <v>17</v>
      </c>
      <c r="K219" s="0" t="s">
        <v>878</v>
      </c>
      <c r="L219" s="0" t="s">
        <v>2201</v>
      </c>
      <c r="M219" s="0" t="s">
        <v>2202</v>
      </c>
      <c r="N219" s="0" t="s">
        <v>400</v>
      </c>
    </row>
    <row customHeight="1" ht="11.25">
      <c r="A220" s="7657" t="s">
        <v>2195</v>
      </c>
      <c r="B220" s="7657" t="s">
        <v>14</v>
      </c>
      <c r="C220" s="7657" t="s">
        <v>3029</v>
      </c>
      <c r="D220" s="7657" t="s">
        <v>3030</v>
      </c>
      <c r="E220" s="7657" t="s">
        <v>3031</v>
      </c>
      <c r="F220" s="7657" t="s">
        <v>3032</v>
      </c>
      <c r="G220" s="7657" t="s">
        <v>3033</v>
      </c>
      <c r="H220" s="7657" t="s">
        <v>17</v>
      </c>
      <c r="I220" s="7657" t="s">
        <v>3034</v>
      </c>
      <c r="J220" s="0" t="s">
        <v>17</v>
      </c>
      <c r="K220" s="0" t="s">
        <v>878</v>
      </c>
      <c r="L220" s="0" t="s">
        <v>2201</v>
      </c>
      <c r="M220" s="0" t="s">
        <v>2202</v>
      </c>
      <c r="N220" s="0" t="s">
        <v>400</v>
      </c>
    </row>
    <row customHeight="1" ht="11.25">
      <c r="A221" s="7657" t="s">
        <v>2195</v>
      </c>
      <c r="B221" s="7657" t="s">
        <v>14</v>
      </c>
      <c r="C221" s="7657" t="s">
        <v>3035</v>
      </c>
      <c r="D221" s="7657" t="s">
        <v>3036</v>
      </c>
      <c r="E221" s="7657" t="s">
        <v>3037</v>
      </c>
      <c r="F221" s="7657" t="s">
        <v>2254</v>
      </c>
      <c r="G221" s="7657" t="s">
        <v>3038</v>
      </c>
      <c r="H221" s="7657" t="s">
        <v>17</v>
      </c>
      <c r="I221" s="7657" t="s">
        <v>2340</v>
      </c>
      <c r="J221" s="0" t="s">
        <v>17</v>
      </c>
      <c r="K221" s="0" t="s">
        <v>782</v>
      </c>
      <c r="L221" s="0" t="s">
        <v>2508</v>
      </c>
      <c r="M221" s="0" t="s">
        <v>2509</v>
      </c>
      <c r="N221" s="0" t="s">
        <v>400</v>
      </c>
    </row>
    <row customHeight="1" ht="11.25">
      <c r="A222" s="7657" t="s">
        <v>2195</v>
      </c>
      <c r="B222" s="7657" t="s">
        <v>14</v>
      </c>
      <c r="C222" s="7657" t="s">
        <v>3039</v>
      </c>
      <c r="D222" s="7657" t="s">
        <v>3040</v>
      </c>
      <c r="E222" s="7657" t="s">
        <v>3041</v>
      </c>
      <c r="F222" s="7657" t="s">
        <v>2254</v>
      </c>
      <c r="G222" s="7657" t="s">
        <v>3042</v>
      </c>
      <c r="H222" s="7657" t="s">
        <v>17</v>
      </c>
      <c r="I222" s="7657" t="s">
        <v>3043</v>
      </c>
      <c r="J222" s="0" t="s">
        <v>17</v>
      </c>
      <c r="K222" s="0" t="s">
        <v>878</v>
      </c>
      <c r="L222" s="0" t="s">
        <v>2201</v>
      </c>
      <c r="M222" s="0" t="s">
        <v>2202</v>
      </c>
      <c r="N222" s="0" t="s">
        <v>400</v>
      </c>
    </row>
    <row customHeight="1" ht="11.25">
      <c r="A223" s="7657" t="s">
        <v>2195</v>
      </c>
      <c r="B223" s="7657" t="s">
        <v>14</v>
      </c>
      <c r="C223" s="7657" t="s">
        <v>3044</v>
      </c>
      <c r="D223" s="7657" t="s">
        <v>3045</v>
      </c>
      <c r="E223" s="7657" t="s">
        <v>3046</v>
      </c>
      <c r="F223" s="7657" t="s">
        <v>2542</v>
      </c>
      <c r="G223" s="7657" t="s">
        <v>17</v>
      </c>
      <c r="H223" s="7657" t="s">
        <v>17</v>
      </c>
      <c r="I223" s="7657" t="s">
        <v>2395</v>
      </c>
      <c r="J223" s="0" t="s">
        <v>17</v>
      </c>
      <c r="K223" s="0" t="s">
        <v>878</v>
      </c>
      <c r="L223" s="0" t="s">
        <v>2201</v>
      </c>
      <c r="M223" s="0" t="s">
        <v>2202</v>
      </c>
      <c r="N223" s="0" t="s">
        <v>400</v>
      </c>
    </row>
    <row customHeight="1" ht="11.25">
      <c r="A224" s="7657" t="s">
        <v>2195</v>
      </c>
      <c r="B224" s="7657" t="s">
        <v>14</v>
      </c>
      <c r="C224" s="7657" t="s">
        <v>3047</v>
      </c>
      <c r="D224" s="7657" t="s">
        <v>3048</v>
      </c>
      <c r="E224" s="7657" t="s">
        <v>3049</v>
      </c>
      <c r="F224" s="7657" t="s">
        <v>3050</v>
      </c>
      <c r="G224" s="7657" t="s">
        <v>3051</v>
      </c>
      <c r="H224" s="7657" t="s">
        <v>17</v>
      </c>
      <c r="I224" s="7657" t="s">
        <v>3052</v>
      </c>
      <c r="J224" s="0" t="s">
        <v>17</v>
      </c>
      <c r="K224" s="0" t="s">
        <v>878</v>
      </c>
      <c r="L224" s="0" t="s">
        <v>2201</v>
      </c>
      <c r="M224" s="0" t="s">
        <v>2202</v>
      </c>
      <c r="N224" s="0" t="s">
        <v>400</v>
      </c>
    </row>
    <row customHeight="1" ht="11.25">
      <c r="A225" s="7657" t="s">
        <v>2195</v>
      </c>
      <c r="B225" s="7657" t="s">
        <v>14</v>
      </c>
      <c r="C225" s="7657" t="s">
        <v>3053</v>
      </c>
      <c r="D225" s="7657" t="s">
        <v>3054</v>
      </c>
      <c r="E225" s="7657" t="s">
        <v>3055</v>
      </c>
      <c r="F225" s="7657" t="s">
        <v>2199</v>
      </c>
      <c r="G225" s="7657" t="s">
        <v>3056</v>
      </c>
      <c r="H225" s="7657" t="s">
        <v>17</v>
      </c>
      <c r="I225" s="7657" t="s">
        <v>2228</v>
      </c>
      <c r="J225" s="0" t="s">
        <v>17</v>
      </c>
      <c r="K225" s="0" t="s">
        <v>878</v>
      </c>
      <c r="L225" s="0" t="s">
        <v>2201</v>
      </c>
      <c r="M225" s="0" t="s">
        <v>2202</v>
      </c>
      <c r="N225" s="0" t="s">
        <v>400</v>
      </c>
    </row>
    <row customHeight="1" ht="11.25">
      <c r="A226" s="7657" t="s">
        <v>2195</v>
      </c>
      <c r="B226" s="7657" t="s">
        <v>14</v>
      </c>
      <c r="C226" s="7657" t="s">
        <v>3057</v>
      </c>
      <c r="D226" s="7657" t="s">
        <v>3058</v>
      </c>
      <c r="E226" s="7657" t="s">
        <v>3059</v>
      </c>
      <c r="F226" s="7657" t="s">
        <v>2239</v>
      </c>
      <c r="G226" s="7657" t="s">
        <v>3060</v>
      </c>
      <c r="H226" s="7657" t="s">
        <v>17</v>
      </c>
      <c r="I226" s="7657" t="s">
        <v>3061</v>
      </c>
      <c r="J226" s="0" t="s">
        <v>17</v>
      </c>
      <c r="K226" s="0" t="s">
        <v>782</v>
      </c>
      <c r="L226" s="0" t="s">
        <v>2301</v>
      </c>
      <c r="M226" s="0" t="s">
        <v>2302</v>
      </c>
      <c r="N226" s="0" t="s">
        <v>400</v>
      </c>
    </row>
    <row customHeight="1" ht="11.25">
      <c r="A227" s="7657" t="s">
        <v>2195</v>
      </c>
      <c r="B227" s="7657" t="s">
        <v>14</v>
      </c>
      <c r="C227" s="7657" t="s">
        <v>3057</v>
      </c>
      <c r="D227" s="7657" t="s">
        <v>3058</v>
      </c>
      <c r="E227" s="7657" t="s">
        <v>3059</v>
      </c>
      <c r="F227" s="7657" t="s">
        <v>2239</v>
      </c>
      <c r="G227" s="7657" t="s">
        <v>3060</v>
      </c>
      <c r="H227" s="7657" t="s">
        <v>17</v>
      </c>
      <c r="I227" s="7657" t="s">
        <v>3061</v>
      </c>
      <c r="J227" s="0" t="s">
        <v>17</v>
      </c>
      <c r="K227" s="0" t="s">
        <v>845</v>
      </c>
      <c r="L227" s="0" t="s">
        <v>2301</v>
      </c>
      <c r="M227" s="0" t="s">
        <v>2302</v>
      </c>
      <c r="N227" s="0" t="s">
        <v>400</v>
      </c>
    </row>
    <row customHeight="1" ht="11.25">
      <c r="A228" s="7657" t="s">
        <v>2195</v>
      </c>
      <c r="B228" s="7657" t="s">
        <v>14</v>
      </c>
      <c r="C228" s="7657" t="s">
        <v>3062</v>
      </c>
      <c r="D228" s="7657" t="s">
        <v>3063</v>
      </c>
      <c r="E228" s="7657" t="s">
        <v>3064</v>
      </c>
      <c r="F228" s="7657" t="s">
        <v>2279</v>
      </c>
      <c r="G228" s="7657" t="s">
        <v>17</v>
      </c>
      <c r="H228" s="7657" t="s">
        <v>17</v>
      </c>
      <c r="I228" s="7657" t="s">
        <v>2336</v>
      </c>
      <c r="J228" s="0" t="s">
        <v>17</v>
      </c>
      <c r="K228" s="0" t="s">
        <v>878</v>
      </c>
      <c r="L228" s="0" t="s">
        <v>2201</v>
      </c>
      <c r="M228" s="0" t="s">
        <v>2202</v>
      </c>
      <c r="N228" s="0" t="s">
        <v>400</v>
      </c>
    </row>
    <row customHeight="1" ht="11.25">
      <c r="A229" s="7657" t="s">
        <v>2195</v>
      </c>
      <c r="B229" s="7657" t="s">
        <v>14</v>
      </c>
      <c r="C229" s="7657" t="s">
        <v>3062</v>
      </c>
      <c r="D229" s="7657" t="s">
        <v>3063</v>
      </c>
      <c r="E229" s="7657" t="s">
        <v>3064</v>
      </c>
      <c r="F229" s="7657" t="s">
        <v>2279</v>
      </c>
      <c r="G229" s="7657" t="s">
        <v>17</v>
      </c>
      <c r="H229" s="7657" t="s">
        <v>17</v>
      </c>
      <c r="I229" s="7657" t="s">
        <v>3065</v>
      </c>
      <c r="J229" s="0" t="s">
        <v>17</v>
      </c>
      <c r="K229" s="0" t="s">
        <v>878</v>
      </c>
      <c r="L229" s="0" t="s">
        <v>2201</v>
      </c>
      <c r="M229" s="0" t="s">
        <v>2202</v>
      </c>
      <c r="N229" s="0" t="s">
        <v>400</v>
      </c>
    </row>
    <row customHeight="1" ht="11.25">
      <c r="A230" s="7657" t="s">
        <v>2195</v>
      </c>
      <c r="B230" s="7657" t="s">
        <v>14</v>
      </c>
      <c r="C230" s="7657" t="s">
        <v>3066</v>
      </c>
      <c r="D230" s="7657" t="s">
        <v>3067</v>
      </c>
      <c r="E230" s="7657" t="s">
        <v>3068</v>
      </c>
      <c r="F230" s="7657" t="s">
        <v>2321</v>
      </c>
      <c r="G230" s="7657" t="s">
        <v>3069</v>
      </c>
      <c r="H230" s="7657" t="s">
        <v>17</v>
      </c>
      <c r="I230" s="7657" t="s">
        <v>3070</v>
      </c>
      <c r="J230" s="0" t="s">
        <v>17</v>
      </c>
      <c r="K230" s="0" t="s">
        <v>878</v>
      </c>
      <c r="L230" s="0" t="s">
        <v>2201</v>
      </c>
      <c r="M230" s="0" t="s">
        <v>2202</v>
      </c>
      <c r="N230" s="0" t="s">
        <v>400</v>
      </c>
    </row>
    <row customHeight="1" ht="11.25">
      <c r="A231" s="7657" t="s">
        <v>2195</v>
      </c>
      <c r="B231" s="7657" t="s">
        <v>14</v>
      </c>
      <c r="C231" s="7657" t="s">
        <v>3066</v>
      </c>
      <c r="D231" s="7657" t="s">
        <v>3067</v>
      </c>
      <c r="E231" s="7657" t="s">
        <v>3068</v>
      </c>
      <c r="F231" s="7657" t="s">
        <v>2321</v>
      </c>
      <c r="G231" s="7657" t="s">
        <v>3069</v>
      </c>
      <c r="H231" s="7657" t="s">
        <v>17</v>
      </c>
      <c r="I231" s="7657" t="s">
        <v>2753</v>
      </c>
      <c r="J231" s="0" t="s">
        <v>17</v>
      </c>
      <c r="K231" s="0" t="s">
        <v>878</v>
      </c>
      <c r="L231" s="0" t="s">
        <v>2201</v>
      </c>
      <c r="M231" s="0" t="s">
        <v>2202</v>
      </c>
      <c r="N231" s="0" t="s">
        <v>400</v>
      </c>
    </row>
    <row customHeight="1" ht="11.25">
      <c r="A232" s="7657" t="s">
        <v>2195</v>
      </c>
      <c r="B232" s="7657" t="s">
        <v>14</v>
      </c>
      <c r="C232" s="7657" t="s">
        <v>3071</v>
      </c>
      <c r="D232" s="7657" t="s">
        <v>3072</v>
      </c>
      <c r="E232" s="7657" t="s">
        <v>3073</v>
      </c>
      <c r="F232" s="7657" t="s">
        <v>2295</v>
      </c>
      <c r="G232" s="7657" t="s">
        <v>17</v>
      </c>
      <c r="H232" s="7657" t="s">
        <v>17</v>
      </c>
      <c r="I232" s="7657" t="s">
        <v>2287</v>
      </c>
      <c r="J232" s="0" t="s">
        <v>17</v>
      </c>
      <c r="K232" s="0" t="s">
        <v>782</v>
      </c>
      <c r="L232" s="0" t="s">
        <v>3074</v>
      </c>
      <c r="M232" s="0" t="s">
        <v>3075</v>
      </c>
      <c r="N232" s="0" t="s">
        <v>400</v>
      </c>
    </row>
    <row customHeight="1" ht="11.25">
      <c r="A233" s="7657" t="s">
        <v>2195</v>
      </c>
      <c r="B233" s="7657" t="s">
        <v>14</v>
      </c>
      <c r="C233" s="7657" t="s">
        <v>3071</v>
      </c>
      <c r="D233" s="7657" t="s">
        <v>3072</v>
      </c>
      <c r="E233" s="7657" t="s">
        <v>3073</v>
      </c>
      <c r="F233" s="7657" t="s">
        <v>2295</v>
      </c>
      <c r="G233" s="7657" t="s">
        <v>17</v>
      </c>
      <c r="H233" s="7657" t="s">
        <v>17</v>
      </c>
      <c r="I233" s="7657" t="s">
        <v>2287</v>
      </c>
      <c r="J233" s="0" t="s">
        <v>17</v>
      </c>
      <c r="K233" s="0" t="s">
        <v>878</v>
      </c>
      <c r="L233" s="0" t="s">
        <v>3074</v>
      </c>
      <c r="M233" s="0" t="s">
        <v>3075</v>
      </c>
      <c r="N233" s="0" t="s">
        <v>400</v>
      </c>
    </row>
    <row customHeight="1" ht="11.25">
      <c r="A234" s="7657" t="s">
        <v>2195</v>
      </c>
      <c r="B234" s="7657" t="s">
        <v>14</v>
      </c>
      <c r="C234" s="7657" t="s">
        <v>3071</v>
      </c>
      <c r="D234" s="7657" t="s">
        <v>3072</v>
      </c>
      <c r="E234" s="7657" t="s">
        <v>3073</v>
      </c>
      <c r="F234" s="7657" t="s">
        <v>2295</v>
      </c>
      <c r="G234" s="7657" t="s">
        <v>17</v>
      </c>
      <c r="H234" s="7657" t="s">
        <v>17</v>
      </c>
      <c r="I234" s="7657" t="s">
        <v>2287</v>
      </c>
      <c r="J234" s="0" t="s">
        <v>17</v>
      </c>
      <c r="K234" s="0" t="s">
        <v>845</v>
      </c>
      <c r="L234" s="0" t="s">
        <v>3074</v>
      </c>
      <c r="M234" s="0" t="s">
        <v>3075</v>
      </c>
      <c r="N234" s="0" t="s">
        <v>400</v>
      </c>
    </row>
    <row customHeight="1" ht="11.25">
      <c r="A235" s="7657" t="s">
        <v>2195</v>
      </c>
      <c r="B235" s="7657" t="s">
        <v>14</v>
      </c>
      <c r="C235" s="7657" t="s">
        <v>3076</v>
      </c>
      <c r="D235" s="7657" t="s">
        <v>3077</v>
      </c>
      <c r="E235" s="7657" t="s">
        <v>3078</v>
      </c>
      <c r="F235" s="7657" t="s">
        <v>2267</v>
      </c>
      <c r="G235" s="7657" t="s">
        <v>17</v>
      </c>
      <c r="H235" s="7657" t="s">
        <v>17</v>
      </c>
      <c r="I235" s="7657" t="s">
        <v>2228</v>
      </c>
      <c r="J235" s="0" t="s">
        <v>17</v>
      </c>
      <c r="K235" s="0" t="s">
        <v>878</v>
      </c>
      <c r="L235" s="0" t="s">
        <v>2201</v>
      </c>
      <c r="M235" s="0" t="s">
        <v>2202</v>
      </c>
      <c r="N235" s="0" t="s">
        <v>400</v>
      </c>
    </row>
    <row customHeight="1" ht="11.25">
      <c r="A236" s="7657" t="s">
        <v>2195</v>
      </c>
      <c r="B236" s="7657" t="s">
        <v>14</v>
      </c>
      <c r="C236" s="7657" t="s">
        <v>3079</v>
      </c>
      <c r="D236" s="7657" t="s">
        <v>3080</v>
      </c>
      <c r="E236" s="7657" t="s">
        <v>3081</v>
      </c>
      <c r="F236" s="7657" t="s">
        <v>2239</v>
      </c>
      <c r="G236" s="7657" t="s">
        <v>3082</v>
      </c>
      <c r="H236" s="7657" t="s">
        <v>17</v>
      </c>
      <c r="I236" s="7657" t="s">
        <v>3083</v>
      </c>
      <c r="J236" s="0" t="s">
        <v>17</v>
      </c>
      <c r="K236" s="0" t="s">
        <v>878</v>
      </c>
      <c r="L236" s="0" t="s">
        <v>2201</v>
      </c>
      <c r="M236" s="0" t="s">
        <v>2202</v>
      </c>
      <c r="N236" s="0" t="s">
        <v>400</v>
      </c>
    </row>
    <row customHeight="1" ht="11.25">
      <c r="A237" s="7657" t="s">
        <v>2195</v>
      </c>
      <c r="B237" s="7657" t="s">
        <v>14</v>
      </c>
      <c r="C237" s="7657" t="s">
        <v>3084</v>
      </c>
      <c r="D237" s="7657" t="s">
        <v>3085</v>
      </c>
      <c r="E237" s="7657" t="s">
        <v>3086</v>
      </c>
      <c r="F237" s="7657" t="s">
        <v>2239</v>
      </c>
      <c r="G237" s="7657" t="s">
        <v>3087</v>
      </c>
      <c r="H237" s="7657" t="s">
        <v>17</v>
      </c>
      <c r="I237" s="7657" t="s">
        <v>3087</v>
      </c>
      <c r="J237" s="0" t="s">
        <v>17</v>
      </c>
      <c r="K237" s="0" t="s">
        <v>878</v>
      </c>
      <c r="L237" s="0" t="s">
        <v>2201</v>
      </c>
      <c r="M237" s="0" t="s">
        <v>2202</v>
      </c>
      <c r="N237" s="0" t="s">
        <v>400</v>
      </c>
    </row>
    <row customHeight="1" ht="11.25">
      <c r="A238" s="7657" t="s">
        <v>2195</v>
      </c>
      <c r="B238" s="7657" t="s">
        <v>14</v>
      </c>
      <c r="C238" s="7657" t="s">
        <v>3088</v>
      </c>
      <c r="D238" s="7657" t="s">
        <v>3089</v>
      </c>
      <c r="E238" s="7657" t="s">
        <v>3090</v>
      </c>
      <c r="F238" s="7657" t="s">
        <v>2556</v>
      </c>
      <c r="G238" s="7657" t="s">
        <v>17</v>
      </c>
      <c r="H238" s="7657" t="s">
        <v>17</v>
      </c>
      <c r="I238" s="7657" t="s">
        <v>3091</v>
      </c>
      <c r="J238" s="0" t="s">
        <v>17</v>
      </c>
      <c r="K238" s="0" t="s">
        <v>878</v>
      </c>
      <c r="L238" s="0" t="s">
        <v>2201</v>
      </c>
      <c r="M238" s="0" t="s">
        <v>2202</v>
      </c>
      <c r="N238" s="0" t="s">
        <v>400</v>
      </c>
    </row>
    <row customHeight="1" ht="11.25">
      <c r="A239" s="7657" t="s">
        <v>2195</v>
      </c>
      <c r="B239" s="7657" t="s">
        <v>14</v>
      </c>
      <c r="C239" s="7657" t="s">
        <v>3092</v>
      </c>
      <c r="D239" s="7657" t="s">
        <v>3093</v>
      </c>
      <c r="E239" s="7657" t="s">
        <v>3094</v>
      </c>
      <c r="F239" s="7657" t="s">
        <v>2254</v>
      </c>
      <c r="G239" s="7657" t="s">
        <v>3095</v>
      </c>
      <c r="H239" s="7657" t="s">
        <v>17</v>
      </c>
      <c r="I239" s="7657" t="s">
        <v>2390</v>
      </c>
      <c r="J239" s="0" t="s">
        <v>17</v>
      </c>
      <c r="K239" s="0" t="s">
        <v>903</v>
      </c>
      <c r="L239" s="0" t="s">
        <v>2938</v>
      </c>
      <c r="M239" s="0" t="s">
        <v>2939</v>
      </c>
      <c r="N239" s="0" t="s">
        <v>400</v>
      </c>
    </row>
    <row customHeight="1" ht="11.25">
      <c r="A240" s="7657" t="s">
        <v>2195</v>
      </c>
      <c r="B240" s="7657" t="s">
        <v>14</v>
      </c>
      <c r="C240" s="7657" t="s">
        <v>3092</v>
      </c>
      <c r="D240" s="7657" t="s">
        <v>3093</v>
      </c>
      <c r="E240" s="7657" t="s">
        <v>3094</v>
      </c>
      <c r="F240" s="7657" t="s">
        <v>2254</v>
      </c>
      <c r="G240" s="7657" t="s">
        <v>3095</v>
      </c>
      <c r="H240" s="7657" t="s">
        <v>17</v>
      </c>
      <c r="I240" s="7657" t="s">
        <v>2390</v>
      </c>
      <c r="J240" s="0" t="s">
        <v>17</v>
      </c>
      <c r="K240" s="0" t="s">
        <v>3096</v>
      </c>
      <c r="L240" s="0" t="s">
        <v>3097</v>
      </c>
      <c r="M240" s="0" t="s">
        <v>3098</v>
      </c>
      <c r="N240" s="0" t="s">
        <v>400</v>
      </c>
    </row>
    <row customHeight="1" ht="11.25">
      <c r="A241" s="7657" t="s">
        <v>2195</v>
      </c>
      <c r="B241" s="7657" t="s">
        <v>14</v>
      </c>
      <c r="C241" s="7657" t="s">
        <v>3099</v>
      </c>
      <c r="D241" s="7657" t="s">
        <v>3100</v>
      </c>
      <c r="E241" s="7657" t="s">
        <v>3101</v>
      </c>
      <c r="F241" s="7657" t="s">
        <v>2254</v>
      </c>
      <c r="G241" s="7657" t="s">
        <v>3102</v>
      </c>
      <c r="H241" s="7657" t="s">
        <v>17</v>
      </c>
      <c r="I241" s="7657" t="s">
        <v>3103</v>
      </c>
      <c r="J241" s="0" t="s">
        <v>17</v>
      </c>
      <c r="K241" s="0" t="s">
        <v>938</v>
      </c>
      <c r="L241" s="0" t="s">
        <v>2234</v>
      </c>
      <c r="M241" s="0" t="s">
        <v>2235</v>
      </c>
      <c r="N241" s="0" t="s">
        <v>400</v>
      </c>
    </row>
    <row customHeight="1" ht="11.25">
      <c r="A242" s="7657" t="s">
        <v>2195</v>
      </c>
      <c r="B242" s="7657" t="s">
        <v>14</v>
      </c>
      <c r="C242" s="7657" t="s">
        <v>3104</v>
      </c>
      <c r="D242" s="7657" t="s">
        <v>3105</v>
      </c>
      <c r="E242" s="7657" t="s">
        <v>3106</v>
      </c>
      <c r="F242" s="7657" t="s">
        <v>2254</v>
      </c>
      <c r="G242" s="7657" t="s">
        <v>3107</v>
      </c>
      <c r="H242" s="7657" t="s">
        <v>17</v>
      </c>
      <c r="I242" s="7657" t="s">
        <v>3108</v>
      </c>
      <c r="J242" s="0" t="s">
        <v>17</v>
      </c>
      <c r="K242" s="0" t="s">
        <v>878</v>
      </c>
      <c r="L242" s="0" t="s">
        <v>2201</v>
      </c>
      <c r="M242" s="0" t="s">
        <v>2202</v>
      </c>
      <c r="N242" s="0" t="s">
        <v>400</v>
      </c>
    </row>
    <row customHeight="1" ht="11.25">
      <c r="A243" s="7657" t="s">
        <v>2195</v>
      </c>
      <c r="B243" s="7657" t="s">
        <v>14</v>
      </c>
      <c r="C243" s="7657" t="s">
        <v>3104</v>
      </c>
      <c r="D243" s="7657" t="s">
        <v>3105</v>
      </c>
      <c r="E243" s="7657" t="s">
        <v>3106</v>
      </c>
      <c r="F243" s="7657" t="s">
        <v>2254</v>
      </c>
      <c r="G243" s="7657" t="s">
        <v>3107</v>
      </c>
      <c r="H243" s="7657" t="s">
        <v>17</v>
      </c>
      <c r="I243" s="7657" t="s">
        <v>2581</v>
      </c>
      <c r="J243" s="0" t="s">
        <v>17</v>
      </c>
      <c r="K243" s="0" t="s">
        <v>878</v>
      </c>
      <c r="L243" s="0" t="s">
        <v>2201</v>
      </c>
      <c r="M243" s="0" t="s">
        <v>2202</v>
      </c>
      <c r="N243" s="0" t="s">
        <v>400</v>
      </c>
    </row>
    <row customHeight="1" ht="11.25">
      <c r="A244" s="7657" t="s">
        <v>2195</v>
      </c>
      <c r="B244" s="7657" t="s">
        <v>14</v>
      </c>
      <c r="C244" s="7657" t="s">
        <v>3109</v>
      </c>
      <c r="D244" s="7657" t="s">
        <v>3110</v>
      </c>
      <c r="E244" s="7657" t="s">
        <v>3111</v>
      </c>
      <c r="F244" s="7657" t="s">
        <v>2212</v>
      </c>
      <c r="G244" s="7657" t="s">
        <v>17</v>
      </c>
      <c r="H244" s="7657" t="s">
        <v>17</v>
      </c>
      <c r="I244" s="7657" t="s">
        <v>2228</v>
      </c>
      <c r="J244" s="0" t="s">
        <v>17</v>
      </c>
      <c r="K244" s="0" t="s">
        <v>903</v>
      </c>
      <c r="L244" s="0" t="s">
        <v>2938</v>
      </c>
      <c r="M244" s="0" t="s">
        <v>2939</v>
      </c>
      <c r="N244" s="0" t="s">
        <v>400</v>
      </c>
    </row>
    <row customHeight="1" ht="11.25">
      <c r="A245" s="7657" t="s">
        <v>2195</v>
      </c>
      <c r="B245" s="7657" t="s">
        <v>14</v>
      </c>
      <c r="C245" s="7657" t="s">
        <v>3112</v>
      </c>
      <c r="D245" s="7657" t="s">
        <v>3113</v>
      </c>
      <c r="E245" s="7657" t="s">
        <v>3114</v>
      </c>
      <c r="F245" s="7657" t="s">
        <v>2239</v>
      </c>
      <c r="G245" s="7657" t="s">
        <v>3115</v>
      </c>
      <c r="H245" s="7657" t="s">
        <v>17</v>
      </c>
      <c r="I245" s="7657" t="s">
        <v>3116</v>
      </c>
      <c r="J245" s="0" t="s">
        <v>17</v>
      </c>
      <c r="K245" s="0" t="s">
        <v>938</v>
      </c>
      <c r="L245" s="0" t="s">
        <v>2234</v>
      </c>
      <c r="M245" s="0" t="s">
        <v>2235</v>
      </c>
      <c r="N245" s="0" t="s">
        <v>400</v>
      </c>
    </row>
    <row customHeight="1" ht="11.25">
      <c r="A246" s="7657" t="s">
        <v>2195</v>
      </c>
      <c r="B246" s="7657" t="s">
        <v>14</v>
      </c>
      <c r="C246" s="7657" t="s">
        <v>3117</v>
      </c>
      <c r="D246" s="7657" t="s">
        <v>3118</v>
      </c>
      <c r="E246" s="7657" t="s">
        <v>3119</v>
      </c>
      <c r="F246" s="7657" t="s">
        <v>2199</v>
      </c>
      <c r="G246" s="7657" t="s">
        <v>3120</v>
      </c>
      <c r="H246" s="7657" t="s">
        <v>17</v>
      </c>
      <c r="I246" s="7657" t="s">
        <v>2228</v>
      </c>
      <c r="J246" s="0" t="s">
        <v>17</v>
      </c>
      <c r="K246" s="0" t="s">
        <v>878</v>
      </c>
      <c r="L246" s="0" t="s">
        <v>2201</v>
      </c>
      <c r="M246" s="0" t="s">
        <v>2202</v>
      </c>
      <c r="N246" s="0" t="s">
        <v>400</v>
      </c>
    </row>
    <row customHeight="1" ht="11.25">
      <c r="A247" s="7657" t="s">
        <v>2195</v>
      </c>
      <c r="B247" s="7657" t="s">
        <v>14</v>
      </c>
      <c r="C247" s="7657" t="s">
        <v>3121</v>
      </c>
      <c r="D247" s="7657" t="s">
        <v>3122</v>
      </c>
      <c r="E247" s="7657" t="s">
        <v>3123</v>
      </c>
      <c r="F247" s="7657" t="s">
        <v>2595</v>
      </c>
      <c r="G247" s="7657" t="s">
        <v>17</v>
      </c>
      <c r="H247" s="7657" t="s">
        <v>17</v>
      </c>
      <c r="I247" s="7657" t="s">
        <v>2228</v>
      </c>
      <c r="J247" s="0" t="s">
        <v>17</v>
      </c>
      <c r="K247" s="0" t="s">
        <v>782</v>
      </c>
      <c r="L247" s="0" t="s">
        <v>2508</v>
      </c>
      <c r="M247" s="0" t="s">
        <v>2509</v>
      </c>
      <c r="N247" s="0" t="s">
        <v>400</v>
      </c>
    </row>
    <row customHeight="1" ht="11.25">
      <c r="A248" s="7657" t="s">
        <v>2195</v>
      </c>
      <c r="B248" s="7657" t="s">
        <v>14</v>
      </c>
      <c r="C248" s="7657" t="s">
        <v>3121</v>
      </c>
      <c r="D248" s="7657" t="s">
        <v>3122</v>
      </c>
      <c r="E248" s="7657" t="s">
        <v>3123</v>
      </c>
      <c r="F248" s="7657" t="s">
        <v>2595</v>
      </c>
      <c r="G248" s="7657" t="s">
        <v>17</v>
      </c>
      <c r="H248" s="7657" t="s">
        <v>17</v>
      </c>
      <c r="I248" s="7657" t="s">
        <v>2313</v>
      </c>
      <c r="J248" s="0" t="s">
        <v>17</v>
      </c>
      <c r="K248" s="0" t="s">
        <v>845</v>
      </c>
      <c r="L248" s="0" t="s">
        <v>2345</v>
      </c>
      <c r="M248" s="0" t="s">
        <v>2346</v>
      </c>
      <c r="N248" s="0" t="s">
        <v>400</v>
      </c>
    </row>
    <row customHeight="1" ht="11.25">
      <c r="A249" s="7657" t="s">
        <v>2195</v>
      </c>
      <c r="B249" s="7657" t="s">
        <v>14</v>
      </c>
      <c r="C249" s="7657" t="s">
        <v>3124</v>
      </c>
      <c r="D249" s="7657" t="s">
        <v>3125</v>
      </c>
      <c r="E249" s="7657" t="s">
        <v>3126</v>
      </c>
      <c r="F249" s="7657" t="s">
        <v>3127</v>
      </c>
      <c r="G249" s="7657" t="s">
        <v>2654</v>
      </c>
      <c r="H249" s="7657" t="s">
        <v>17</v>
      </c>
      <c r="I249" s="7657" t="s">
        <v>3128</v>
      </c>
      <c r="J249" s="0" t="s">
        <v>17</v>
      </c>
      <c r="K249" s="0" t="s">
        <v>878</v>
      </c>
      <c r="L249" s="0" t="s">
        <v>2201</v>
      </c>
      <c r="M249" s="0" t="s">
        <v>2202</v>
      </c>
      <c r="N249" s="0" t="s">
        <v>400</v>
      </c>
    </row>
    <row customHeight="1" ht="11.25">
      <c r="A250" s="7657" t="s">
        <v>2195</v>
      </c>
      <c r="B250" s="7657" t="s">
        <v>14</v>
      </c>
      <c r="C250" s="7657" t="s">
        <v>3129</v>
      </c>
      <c r="D250" s="7657" t="s">
        <v>3130</v>
      </c>
      <c r="E250" s="7657" t="s">
        <v>3131</v>
      </c>
      <c r="F250" s="7657" t="s">
        <v>2897</v>
      </c>
      <c r="G250" s="7657" t="s">
        <v>17</v>
      </c>
      <c r="H250" s="7657" t="s">
        <v>17</v>
      </c>
      <c r="I250" s="7657" t="s">
        <v>3132</v>
      </c>
      <c r="J250" s="0" t="s">
        <v>17</v>
      </c>
      <c r="K250" s="0" t="s">
        <v>782</v>
      </c>
      <c r="L250" s="0" t="s">
        <v>2508</v>
      </c>
      <c r="M250" s="0" t="s">
        <v>2509</v>
      </c>
      <c r="N250" s="0" t="s">
        <v>400</v>
      </c>
    </row>
    <row customHeight="1" ht="11.25">
      <c r="A251" s="7657" t="s">
        <v>2195</v>
      </c>
      <c r="B251" s="7657" t="s">
        <v>14</v>
      </c>
      <c r="C251" s="7657" t="s">
        <v>3133</v>
      </c>
      <c r="D251" s="7657" t="s">
        <v>3134</v>
      </c>
      <c r="E251" s="7657" t="s">
        <v>3135</v>
      </c>
      <c r="F251" s="7657" t="s">
        <v>2595</v>
      </c>
      <c r="G251" s="7657" t="s">
        <v>17</v>
      </c>
      <c r="H251" s="7657" t="s">
        <v>17</v>
      </c>
      <c r="I251" s="7657" t="s">
        <v>3132</v>
      </c>
      <c r="J251" s="0" t="s">
        <v>17</v>
      </c>
      <c r="K251" s="0" t="s">
        <v>878</v>
      </c>
      <c r="L251" s="0" t="s">
        <v>2201</v>
      </c>
      <c r="M251" s="0" t="s">
        <v>2202</v>
      </c>
      <c r="N251" s="0" t="s">
        <v>400</v>
      </c>
    </row>
    <row customHeight="1" ht="11.25">
      <c r="A252" s="7657" t="s">
        <v>2195</v>
      </c>
      <c r="B252" s="7657" t="s">
        <v>14</v>
      </c>
      <c r="C252" s="7657" t="s">
        <v>3136</v>
      </c>
      <c r="D252" s="7657" t="s">
        <v>3137</v>
      </c>
      <c r="E252" s="7657" t="s">
        <v>3138</v>
      </c>
      <c r="F252" s="7657" t="s">
        <v>2239</v>
      </c>
      <c r="G252" s="7657" t="s">
        <v>3139</v>
      </c>
      <c r="H252" s="7657" t="s">
        <v>17</v>
      </c>
      <c r="I252" s="7657" t="s">
        <v>2240</v>
      </c>
      <c r="J252" s="0" t="s">
        <v>17</v>
      </c>
      <c r="K252" s="0" t="s">
        <v>878</v>
      </c>
      <c r="L252" s="0" t="s">
        <v>2201</v>
      </c>
      <c r="M252" s="0" t="s">
        <v>2202</v>
      </c>
      <c r="N252" s="0" t="s">
        <v>400</v>
      </c>
    </row>
    <row customHeight="1" ht="11.25">
      <c r="A253" s="7657" t="s">
        <v>2195</v>
      </c>
      <c r="B253" s="7657" t="s">
        <v>14</v>
      </c>
      <c r="C253" s="7657" t="s">
        <v>3136</v>
      </c>
      <c r="D253" s="7657" t="s">
        <v>3137</v>
      </c>
      <c r="E253" s="7657" t="s">
        <v>3138</v>
      </c>
      <c r="F253" s="7657" t="s">
        <v>2239</v>
      </c>
      <c r="G253" s="7657" t="s">
        <v>3139</v>
      </c>
      <c r="H253" s="7657" t="s">
        <v>17</v>
      </c>
      <c r="I253" s="7657" t="s">
        <v>3140</v>
      </c>
      <c r="J253" s="0" t="s">
        <v>17</v>
      </c>
      <c r="K253" s="0" t="s">
        <v>878</v>
      </c>
      <c r="L253" s="0" t="s">
        <v>2201</v>
      </c>
      <c r="M253" s="0" t="s">
        <v>2202</v>
      </c>
      <c r="N253" s="0" t="s">
        <v>400</v>
      </c>
    </row>
    <row customHeight="1" ht="11.25">
      <c r="A254" s="7657" t="s">
        <v>2195</v>
      </c>
      <c r="B254" s="7657" t="s">
        <v>14</v>
      </c>
      <c r="C254" s="7657" t="s">
        <v>3141</v>
      </c>
      <c r="D254" s="7657" t="s">
        <v>3142</v>
      </c>
      <c r="E254" s="7657" t="s">
        <v>3143</v>
      </c>
      <c r="F254" s="7657" t="s">
        <v>2321</v>
      </c>
      <c r="G254" s="7657" t="s">
        <v>3144</v>
      </c>
      <c r="H254" s="7657" t="s">
        <v>17</v>
      </c>
      <c r="I254" s="7657" t="s">
        <v>3144</v>
      </c>
      <c r="J254" s="0" t="s">
        <v>17</v>
      </c>
      <c r="K254" s="0" t="s">
        <v>878</v>
      </c>
      <c r="L254" s="0" t="s">
        <v>2201</v>
      </c>
      <c r="M254" s="0" t="s">
        <v>2202</v>
      </c>
      <c r="N254" s="0" t="s">
        <v>400</v>
      </c>
    </row>
    <row customHeight="1" ht="11.25">
      <c r="A255" s="7657" t="s">
        <v>2195</v>
      </c>
      <c r="B255" s="7657" t="s">
        <v>14</v>
      </c>
      <c r="C255" s="7657" t="s">
        <v>3145</v>
      </c>
      <c r="D255" s="7657" t="s">
        <v>3146</v>
      </c>
      <c r="E255" s="7657" t="s">
        <v>3147</v>
      </c>
      <c r="F255" s="7657" t="s">
        <v>3148</v>
      </c>
      <c r="G255" s="7657" t="s">
        <v>17</v>
      </c>
      <c r="H255" s="7657" t="s">
        <v>17</v>
      </c>
      <c r="I255" s="7657" t="s">
        <v>2753</v>
      </c>
      <c r="J255" s="0" t="s">
        <v>17</v>
      </c>
      <c r="K255" s="0" t="s">
        <v>878</v>
      </c>
      <c r="L255" s="0" t="s">
        <v>2201</v>
      </c>
      <c r="M255" s="0" t="s">
        <v>2202</v>
      </c>
      <c r="N255" s="0" t="s">
        <v>400</v>
      </c>
    </row>
    <row customHeight="1" ht="11.25">
      <c r="A256" s="7657" t="s">
        <v>2195</v>
      </c>
      <c r="B256" s="7657" t="s">
        <v>14</v>
      </c>
      <c r="C256" s="7657" t="s">
        <v>3149</v>
      </c>
      <c r="D256" s="7657" t="s">
        <v>3150</v>
      </c>
      <c r="E256" s="7657" t="s">
        <v>3151</v>
      </c>
      <c r="F256" s="7657" t="s">
        <v>2317</v>
      </c>
      <c r="G256" s="7657" t="s">
        <v>3152</v>
      </c>
      <c r="H256" s="7657" t="s">
        <v>17</v>
      </c>
      <c r="I256" s="7657" t="s">
        <v>3153</v>
      </c>
      <c r="J256" s="0" t="s">
        <v>17</v>
      </c>
      <c r="K256" s="0" t="s">
        <v>878</v>
      </c>
      <c r="L256" s="0" t="s">
        <v>2201</v>
      </c>
      <c r="M256" s="0" t="s">
        <v>2202</v>
      </c>
      <c r="N256" s="0" t="s">
        <v>400</v>
      </c>
    </row>
    <row customHeight="1" ht="11.25">
      <c r="A257" s="7657" t="s">
        <v>2195</v>
      </c>
      <c r="B257" s="7657" t="s">
        <v>14</v>
      </c>
      <c r="C257" s="7657" t="s">
        <v>3154</v>
      </c>
      <c r="D257" s="7657" t="s">
        <v>3155</v>
      </c>
      <c r="E257" s="7657" t="s">
        <v>3156</v>
      </c>
      <c r="F257" s="7657" t="s">
        <v>2267</v>
      </c>
      <c r="G257" s="7657" t="s">
        <v>17</v>
      </c>
      <c r="H257" s="7657" t="s">
        <v>17</v>
      </c>
      <c r="I257" s="7657" t="s">
        <v>3157</v>
      </c>
      <c r="J257" s="0" t="s">
        <v>17</v>
      </c>
      <c r="K257" s="0" t="s">
        <v>878</v>
      </c>
      <c r="L257" s="0" t="s">
        <v>2201</v>
      </c>
      <c r="M257" s="0" t="s">
        <v>2202</v>
      </c>
      <c r="N257" s="0" t="s">
        <v>400</v>
      </c>
    </row>
    <row customHeight="1" ht="11.25">
      <c r="A258" s="7657" t="s">
        <v>2195</v>
      </c>
      <c r="B258" s="7657" t="s">
        <v>14</v>
      </c>
      <c r="C258" s="7657" t="s">
        <v>3158</v>
      </c>
      <c r="D258" s="7657" t="s">
        <v>3159</v>
      </c>
      <c r="E258" s="7657" t="s">
        <v>3160</v>
      </c>
      <c r="F258" s="7657" t="s">
        <v>3161</v>
      </c>
      <c r="G258" s="7657" t="s">
        <v>17</v>
      </c>
      <c r="H258" s="7657" t="s">
        <v>17</v>
      </c>
      <c r="I258" s="7657" t="s">
        <v>3162</v>
      </c>
      <c r="J258" s="0" t="s">
        <v>17</v>
      </c>
      <c r="K258" s="0" t="s">
        <v>878</v>
      </c>
      <c r="L258" s="0" t="s">
        <v>2201</v>
      </c>
      <c r="M258" s="0" t="s">
        <v>2202</v>
      </c>
      <c r="N258" s="0" t="s">
        <v>400</v>
      </c>
    </row>
    <row customHeight="1" ht="11.25">
      <c r="A259" s="7657" t="s">
        <v>2195</v>
      </c>
      <c r="B259" s="7657" t="s">
        <v>14</v>
      </c>
      <c r="C259" s="7657" t="s">
        <v>3163</v>
      </c>
      <c r="D259" s="7657" t="s">
        <v>3164</v>
      </c>
      <c r="E259" s="7657" t="s">
        <v>3165</v>
      </c>
      <c r="F259" s="7657" t="s">
        <v>3166</v>
      </c>
      <c r="G259" s="7657" t="s">
        <v>3167</v>
      </c>
      <c r="H259" s="7657" t="s">
        <v>17</v>
      </c>
      <c r="I259" s="7657" t="s">
        <v>2228</v>
      </c>
      <c r="J259" s="0" t="s">
        <v>17</v>
      </c>
      <c r="K259" s="0" t="s">
        <v>878</v>
      </c>
      <c r="L259" s="0" t="s">
        <v>2201</v>
      </c>
      <c r="M259" s="0" t="s">
        <v>2202</v>
      </c>
      <c r="N259" s="0" t="s">
        <v>400</v>
      </c>
    </row>
    <row customHeight="1" ht="11.25">
      <c r="A260" s="7657" t="s">
        <v>2195</v>
      </c>
      <c r="B260" s="7657" t="s">
        <v>14</v>
      </c>
      <c r="C260" s="7657" t="s">
        <v>3168</v>
      </c>
      <c r="D260" s="7657" t="s">
        <v>46</v>
      </c>
      <c r="E260" s="7657" t="s">
        <v>49</v>
      </c>
      <c r="F260" s="7657" t="s">
        <v>51</v>
      </c>
      <c r="G260" s="7657" t="s">
        <v>17</v>
      </c>
      <c r="H260" s="7657" t="s">
        <v>17</v>
      </c>
      <c r="I260" s="7657" t="s">
        <v>3169</v>
      </c>
      <c r="J260" s="0" t="s">
        <v>17</v>
      </c>
      <c r="K260" s="0" t="s">
        <v>878</v>
      </c>
      <c r="L260" s="0" t="s">
        <v>2201</v>
      </c>
      <c r="M260" s="0" t="s">
        <v>2202</v>
      </c>
      <c r="N260" s="0" t="s">
        <v>400</v>
      </c>
    </row>
    <row customHeight="1" ht="11.25">
      <c r="A261" s="7657" t="s">
        <v>2195</v>
      </c>
      <c r="B261" s="7657" t="s">
        <v>14</v>
      </c>
      <c r="C261" s="7657" t="s">
        <v>3168</v>
      </c>
      <c r="D261" s="7657" t="s">
        <v>46</v>
      </c>
      <c r="E261" s="7657" t="s">
        <v>49</v>
      </c>
      <c r="F261" s="7657" t="s">
        <v>51</v>
      </c>
      <c r="G261" s="7657" t="s">
        <v>17</v>
      </c>
      <c r="H261" s="7657" t="s">
        <v>17</v>
      </c>
      <c r="I261" s="7657" t="s">
        <v>2390</v>
      </c>
      <c r="J261" s="0" t="s">
        <v>17</v>
      </c>
      <c r="K261" s="0" t="s">
        <v>878</v>
      </c>
      <c r="L261" s="0" t="s">
        <v>2201</v>
      </c>
      <c r="M261" s="0" t="s">
        <v>2202</v>
      </c>
      <c r="N261" s="0" t="s">
        <v>400</v>
      </c>
    </row>
    <row customHeight="1" ht="11.25">
      <c r="A262" s="7657" t="s">
        <v>2195</v>
      </c>
      <c r="B262" s="7657" t="s">
        <v>14</v>
      </c>
      <c r="C262" s="7657" t="s">
        <v>3170</v>
      </c>
      <c r="D262" s="7657" t="s">
        <v>3171</v>
      </c>
      <c r="E262" s="7657" t="s">
        <v>3172</v>
      </c>
      <c r="F262" s="7657" t="s">
        <v>3173</v>
      </c>
      <c r="G262" s="7657" t="s">
        <v>3174</v>
      </c>
      <c r="H262" s="7657" t="s">
        <v>17</v>
      </c>
      <c r="I262" s="7657" t="s">
        <v>3175</v>
      </c>
      <c r="J262" s="0" t="s">
        <v>17</v>
      </c>
      <c r="K262" s="0" t="s">
        <v>878</v>
      </c>
      <c r="L262" s="0" t="s">
        <v>2201</v>
      </c>
      <c r="M262" s="0" t="s">
        <v>2202</v>
      </c>
      <c r="N262" s="0" t="s">
        <v>400</v>
      </c>
    </row>
    <row customHeight="1" ht="11.25">
      <c r="A263" s="7657" t="s">
        <v>2195</v>
      </c>
      <c r="B263" s="7657" t="s">
        <v>14</v>
      </c>
      <c r="C263" s="7657" t="s">
        <v>3176</v>
      </c>
      <c r="D263" s="7657" t="s">
        <v>3177</v>
      </c>
      <c r="E263" s="7657" t="s">
        <v>2357</v>
      </c>
      <c r="F263" s="7657" t="s">
        <v>3178</v>
      </c>
      <c r="G263" s="7657" t="s">
        <v>2359</v>
      </c>
      <c r="H263" s="7657" t="s">
        <v>17</v>
      </c>
      <c r="I263" s="7657" t="s">
        <v>2472</v>
      </c>
      <c r="J263" s="0" t="s">
        <v>17</v>
      </c>
      <c r="K263" s="0" t="s">
        <v>878</v>
      </c>
      <c r="L263" s="0" t="s">
        <v>2201</v>
      </c>
      <c r="M263" s="0" t="s">
        <v>2202</v>
      </c>
      <c r="N263" s="0" t="s">
        <v>400</v>
      </c>
    </row>
    <row customHeight="1" ht="11.25">
      <c r="A264" s="7657" t="s">
        <v>2195</v>
      </c>
      <c r="B264" s="7657" t="s">
        <v>14</v>
      </c>
      <c r="C264" s="7657" t="s">
        <v>3176</v>
      </c>
      <c r="D264" s="7657" t="s">
        <v>3177</v>
      </c>
      <c r="E264" s="7657" t="s">
        <v>2357</v>
      </c>
      <c r="F264" s="7657" t="s">
        <v>3178</v>
      </c>
      <c r="G264" s="7657" t="s">
        <v>2359</v>
      </c>
      <c r="H264" s="7657" t="s">
        <v>17</v>
      </c>
      <c r="I264" s="7657" t="s">
        <v>2240</v>
      </c>
      <c r="J264" s="0" t="s">
        <v>17</v>
      </c>
      <c r="K264" s="0" t="s">
        <v>878</v>
      </c>
      <c r="L264" s="0" t="s">
        <v>2201</v>
      </c>
      <c r="M264" s="0" t="s">
        <v>2202</v>
      </c>
      <c r="N264" s="0" t="s">
        <v>400</v>
      </c>
    </row>
    <row customHeight="1" ht="11.25">
      <c r="A265" s="7657" t="s">
        <v>2195</v>
      </c>
      <c r="B265" s="7657" t="s">
        <v>14</v>
      </c>
      <c r="C265" s="7657" t="s">
        <v>3179</v>
      </c>
      <c r="D265" s="7657" t="s">
        <v>3180</v>
      </c>
      <c r="E265" s="7657" t="s">
        <v>3181</v>
      </c>
      <c r="F265" s="7657" t="s">
        <v>2695</v>
      </c>
      <c r="G265" s="7657" t="s">
        <v>17</v>
      </c>
      <c r="H265" s="7657" t="s">
        <v>17</v>
      </c>
      <c r="I265" s="7657" t="s">
        <v>2340</v>
      </c>
      <c r="J265" s="0" t="s">
        <v>17</v>
      </c>
      <c r="K265" s="0" t="s">
        <v>878</v>
      </c>
      <c r="L265" s="0" t="s">
        <v>2201</v>
      </c>
      <c r="M265" s="0" t="s">
        <v>2202</v>
      </c>
      <c r="N265" s="0" t="s">
        <v>400</v>
      </c>
    </row>
    <row customHeight="1" ht="11.25">
      <c r="A266" s="7657" t="s">
        <v>2195</v>
      </c>
      <c r="B266" s="7657" t="s">
        <v>14</v>
      </c>
      <c r="C266" s="7657" t="s">
        <v>3182</v>
      </c>
      <c r="D266" s="7657" t="s">
        <v>3183</v>
      </c>
      <c r="E266" s="7657" t="s">
        <v>3184</v>
      </c>
      <c r="F266" s="7657" t="s">
        <v>2321</v>
      </c>
      <c r="G266" s="7657" t="s">
        <v>3185</v>
      </c>
      <c r="H266" s="7657" t="s">
        <v>17</v>
      </c>
      <c r="I266" s="7657" t="s">
        <v>2228</v>
      </c>
      <c r="J266" s="0" t="s">
        <v>17</v>
      </c>
      <c r="K266" s="0" t="s">
        <v>878</v>
      </c>
      <c r="L266" s="0" t="s">
        <v>2201</v>
      </c>
      <c r="M266" s="0" t="s">
        <v>2202</v>
      </c>
      <c r="N266" s="0" t="s">
        <v>400</v>
      </c>
    </row>
    <row customHeight="1" ht="11.25">
      <c r="A267" s="7657" t="s">
        <v>2195</v>
      </c>
      <c r="B267" s="7657" t="s">
        <v>14</v>
      </c>
      <c r="C267" s="7657" t="s">
        <v>3186</v>
      </c>
      <c r="D267" s="7657" t="s">
        <v>3187</v>
      </c>
      <c r="E267" s="7657" t="s">
        <v>3188</v>
      </c>
      <c r="F267" s="7657" t="s">
        <v>2239</v>
      </c>
      <c r="G267" s="7657" t="s">
        <v>3189</v>
      </c>
      <c r="H267" s="7657" t="s">
        <v>17</v>
      </c>
      <c r="I267" s="7657" t="s">
        <v>3190</v>
      </c>
      <c r="J267" s="0" t="s">
        <v>17</v>
      </c>
      <c r="K267" s="0" t="s">
        <v>878</v>
      </c>
      <c r="L267" s="0" t="s">
        <v>2201</v>
      </c>
      <c r="M267" s="0" t="s">
        <v>2202</v>
      </c>
      <c r="N267" s="0" t="s">
        <v>400</v>
      </c>
    </row>
    <row customHeight="1" ht="11.25">
      <c r="A268" s="7657" t="s">
        <v>2195</v>
      </c>
      <c r="B268" s="7657" t="s">
        <v>14</v>
      </c>
      <c r="C268" s="7657" t="s">
        <v>3191</v>
      </c>
      <c r="D268" s="7657" t="s">
        <v>3192</v>
      </c>
      <c r="E268" s="7657" t="s">
        <v>3193</v>
      </c>
      <c r="F268" s="7657" t="s">
        <v>2321</v>
      </c>
      <c r="G268" s="7657" t="s">
        <v>2394</v>
      </c>
      <c r="H268" s="7657" t="s">
        <v>17</v>
      </c>
      <c r="I268" s="7657" t="s">
        <v>2228</v>
      </c>
      <c r="J268" s="0" t="s">
        <v>17</v>
      </c>
      <c r="K268" s="0" t="s">
        <v>878</v>
      </c>
      <c r="L268" s="0" t="s">
        <v>2201</v>
      </c>
      <c r="M268" s="0" t="s">
        <v>2202</v>
      </c>
      <c r="N268" s="0" t="s">
        <v>400</v>
      </c>
    </row>
    <row customHeight="1" ht="11.25">
      <c r="A269" s="7657" t="s">
        <v>2195</v>
      </c>
      <c r="B269" s="7657" t="s">
        <v>14</v>
      </c>
      <c r="C269" s="7657" t="s">
        <v>3194</v>
      </c>
      <c r="D269" s="7657" t="s">
        <v>3195</v>
      </c>
      <c r="E269" s="7657" t="s">
        <v>3196</v>
      </c>
      <c r="F269" s="7657" t="s">
        <v>2239</v>
      </c>
      <c r="G269" s="7657" t="s">
        <v>17</v>
      </c>
      <c r="H269" s="7657" t="s">
        <v>17</v>
      </c>
      <c r="I269" s="7657" t="s">
        <v>3197</v>
      </c>
      <c r="J269" s="0" t="s">
        <v>17</v>
      </c>
      <c r="K269" s="0" t="s">
        <v>878</v>
      </c>
      <c r="L269" s="0" t="s">
        <v>2201</v>
      </c>
      <c r="M269" s="0" t="s">
        <v>2202</v>
      </c>
      <c r="N269" s="0" t="s">
        <v>400</v>
      </c>
    </row>
    <row customHeight="1" ht="11.25">
      <c r="A270" s="7657" t="s">
        <v>2195</v>
      </c>
      <c r="B270" s="7657" t="s">
        <v>14</v>
      </c>
      <c r="C270" s="7657" t="s">
        <v>3198</v>
      </c>
      <c r="D270" s="7657" t="s">
        <v>3199</v>
      </c>
      <c r="E270" s="7657" t="s">
        <v>3200</v>
      </c>
      <c r="F270" s="7657" t="s">
        <v>2227</v>
      </c>
      <c r="G270" s="7657" t="s">
        <v>17</v>
      </c>
      <c r="H270" s="7657" t="s">
        <v>17</v>
      </c>
      <c r="I270" s="7657" t="s">
        <v>2228</v>
      </c>
      <c r="J270" s="0" t="s">
        <v>17</v>
      </c>
      <c r="K270" s="0" t="s">
        <v>878</v>
      </c>
      <c r="L270" s="0" t="s">
        <v>2201</v>
      </c>
      <c r="M270" s="0" t="s">
        <v>2202</v>
      </c>
      <c r="N270" s="0" t="s">
        <v>400</v>
      </c>
    </row>
    <row customHeight="1" ht="11.25">
      <c r="A271" s="7657" t="s">
        <v>2195</v>
      </c>
      <c r="B271" s="7657" t="s">
        <v>14</v>
      </c>
      <c r="C271" s="7657" t="s">
        <v>3201</v>
      </c>
      <c r="D271" s="7657" t="s">
        <v>3202</v>
      </c>
      <c r="E271" s="7657" t="s">
        <v>3203</v>
      </c>
      <c r="F271" s="7657" t="s">
        <v>2244</v>
      </c>
      <c r="G271" s="7657" t="s">
        <v>17</v>
      </c>
      <c r="H271" s="7657" t="s">
        <v>17</v>
      </c>
      <c r="I271" s="7657" t="s">
        <v>2761</v>
      </c>
      <c r="J271" s="0" t="s">
        <v>17</v>
      </c>
      <c r="K271" s="0" t="s">
        <v>878</v>
      </c>
      <c r="L271" s="0" t="s">
        <v>2201</v>
      </c>
      <c r="M271" s="0" t="s">
        <v>2202</v>
      </c>
      <c r="N271" s="0" t="s">
        <v>400</v>
      </c>
    </row>
    <row customHeight="1" ht="11.25">
      <c r="A272" s="7657" t="s">
        <v>2195</v>
      </c>
      <c r="B272" s="7657" t="s">
        <v>14</v>
      </c>
      <c r="C272" s="7657" t="s">
        <v>3204</v>
      </c>
      <c r="D272" s="7657" t="s">
        <v>3205</v>
      </c>
      <c r="E272" s="7657" t="s">
        <v>3206</v>
      </c>
      <c r="F272" s="7657" t="s">
        <v>2306</v>
      </c>
      <c r="G272" s="7657" t="s">
        <v>17</v>
      </c>
      <c r="H272" s="7657" t="s">
        <v>17</v>
      </c>
      <c r="I272" s="7657" t="s">
        <v>2223</v>
      </c>
      <c r="J272" s="0" t="s">
        <v>17</v>
      </c>
      <c r="K272" s="0" t="s">
        <v>878</v>
      </c>
      <c r="L272" s="0" t="s">
        <v>2201</v>
      </c>
      <c r="M272" s="0" t="s">
        <v>2202</v>
      </c>
      <c r="N272" s="0" t="s">
        <v>400</v>
      </c>
    </row>
    <row customHeight="1" ht="11.25">
      <c r="A273" s="7657" t="s">
        <v>2195</v>
      </c>
      <c r="B273" s="7657" t="s">
        <v>14</v>
      </c>
      <c r="C273" s="7657" t="s">
        <v>3207</v>
      </c>
      <c r="D273" s="7657" t="s">
        <v>3208</v>
      </c>
      <c r="E273" s="7657" t="s">
        <v>3209</v>
      </c>
      <c r="F273" s="7657" t="s">
        <v>3210</v>
      </c>
      <c r="G273" s="7657" t="s">
        <v>17</v>
      </c>
      <c r="H273" s="7657" t="s">
        <v>17</v>
      </c>
      <c r="I273" s="7657" t="s">
        <v>2872</v>
      </c>
      <c r="J273" s="0" t="s">
        <v>17</v>
      </c>
      <c r="K273" s="0" t="s">
        <v>878</v>
      </c>
      <c r="L273" s="0" t="s">
        <v>2201</v>
      </c>
      <c r="M273" s="0" t="s">
        <v>2202</v>
      </c>
      <c r="N273" s="0" t="s">
        <v>400</v>
      </c>
    </row>
    <row customHeight="1" ht="11.25">
      <c r="A274" s="7657" t="s">
        <v>2195</v>
      </c>
      <c r="B274" s="7657" t="s">
        <v>14</v>
      </c>
      <c r="C274" s="7657" t="s">
        <v>3211</v>
      </c>
      <c r="D274" s="7657" t="s">
        <v>3212</v>
      </c>
      <c r="E274" s="7657" t="s">
        <v>3213</v>
      </c>
      <c r="F274" s="7657" t="s">
        <v>2295</v>
      </c>
      <c r="G274" s="7657" t="s">
        <v>3214</v>
      </c>
      <c r="H274" s="7657" t="s">
        <v>17</v>
      </c>
      <c r="I274" s="7657" t="s">
        <v>3215</v>
      </c>
      <c r="J274" s="0" t="s">
        <v>17</v>
      </c>
      <c r="K274" s="0" t="s">
        <v>782</v>
      </c>
      <c r="L274" s="0" t="s">
        <v>2301</v>
      </c>
      <c r="M274" s="0" t="s">
        <v>2302</v>
      </c>
      <c r="N274" s="0" t="s">
        <v>400</v>
      </c>
    </row>
    <row customHeight="1" ht="11.25">
      <c r="A275" s="7657" t="s">
        <v>2195</v>
      </c>
      <c r="B275" s="7657" t="s">
        <v>14</v>
      </c>
      <c r="C275" s="7657" t="s">
        <v>3211</v>
      </c>
      <c r="D275" s="7657" t="s">
        <v>3212</v>
      </c>
      <c r="E275" s="7657" t="s">
        <v>3213</v>
      </c>
      <c r="F275" s="7657" t="s">
        <v>2295</v>
      </c>
      <c r="G275" s="7657" t="s">
        <v>3214</v>
      </c>
      <c r="H275" s="7657" t="s">
        <v>17</v>
      </c>
      <c r="I275" s="7657" t="s">
        <v>3215</v>
      </c>
      <c r="J275" s="0" t="s">
        <v>17</v>
      </c>
      <c r="K275" s="0" t="s">
        <v>845</v>
      </c>
      <c r="L275" s="0" t="s">
        <v>2301</v>
      </c>
      <c r="M275" s="0" t="s">
        <v>2302</v>
      </c>
      <c r="N275" s="0" t="s">
        <v>400</v>
      </c>
    </row>
    <row customHeight="1" ht="11.25">
      <c r="A276" s="7657" t="s">
        <v>2195</v>
      </c>
      <c r="B276" s="7657" t="s">
        <v>14</v>
      </c>
      <c r="C276" s="7657" t="s">
        <v>3216</v>
      </c>
      <c r="D276" s="7657" t="s">
        <v>3217</v>
      </c>
      <c r="E276" s="7657" t="s">
        <v>3218</v>
      </c>
      <c r="F276" s="7657" t="s">
        <v>2317</v>
      </c>
      <c r="G276" s="7657" t="s">
        <v>3219</v>
      </c>
      <c r="H276" s="7657" t="s">
        <v>17</v>
      </c>
      <c r="I276" s="7657" t="s">
        <v>2395</v>
      </c>
      <c r="J276" s="0" t="s">
        <v>17</v>
      </c>
      <c r="K276" s="0" t="s">
        <v>878</v>
      </c>
      <c r="L276" s="0" t="s">
        <v>2201</v>
      </c>
      <c r="M276" s="0" t="s">
        <v>2202</v>
      </c>
      <c r="N276" s="0" t="s">
        <v>400</v>
      </c>
    </row>
    <row customHeight="1" ht="11.25">
      <c r="A277" s="7657" t="s">
        <v>2195</v>
      </c>
      <c r="B277" s="7657" t="s">
        <v>14</v>
      </c>
      <c r="C277" s="7657" t="s">
        <v>3220</v>
      </c>
      <c r="D277" s="7657" t="s">
        <v>3221</v>
      </c>
      <c r="E277" s="7657" t="s">
        <v>3222</v>
      </c>
      <c r="F277" s="7657" t="s">
        <v>2306</v>
      </c>
      <c r="G277" s="7657" t="s">
        <v>17</v>
      </c>
      <c r="H277" s="7657" t="s">
        <v>17</v>
      </c>
      <c r="I277" s="7657" t="s">
        <v>2228</v>
      </c>
      <c r="J277" s="0" t="s">
        <v>17</v>
      </c>
      <c r="K277" s="0" t="s">
        <v>878</v>
      </c>
      <c r="L277" s="0" t="s">
        <v>2201</v>
      </c>
      <c r="M277" s="0" t="s">
        <v>2202</v>
      </c>
      <c r="N277" s="0" t="s">
        <v>400</v>
      </c>
    </row>
    <row customHeight="1" ht="11.25">
      <c r="A278" s="7657" t="s">
        <v>2195</v>
      </c>
      <c r="B278" s="7657" t="s">
        <v>14</v>
      </c>
      <c r="C278" s="7657" t="s">
        <v>3223</v>
      </c>
      <c r="D278" s="7657" t="s">
        <v>3224</v>
      </c>
      <c r="E278" s="7657" t="s">
        <v>3225</v>
      </c>
      <c r="F278" s="7657" t="s">
        <v>2321</v>
      </c>
      <c r="G278" s="7657" t="s">
        <v>3226</v>
      </c>
      <c r="H278" s="7657" t="s">
        <v>17</v>
      </c>
      <c r="I278" s="7657" t="s">
        <v>2390</v>
      </c>
      <c r="J278" s="0" t="s">
        <v>17</v>
      </c>
      <c r="K278" s="0" t="s">
        <v>878</v>
      </c>
      <c r="L278" s="0" t="s">
        <v>2201</v>
      </c>
      <c r="M278" s="0" t="s">
        <v>2202</v>
      </c>
      <c r="N278" s="0" t="s">
        <v>400</v>
      </c>
    </row>
    <row customHeight="1" ht="11.25">
      <c r="A279" s="7657" t="s">
        <v>2195</v>
      </c>
      <c r="B279" s="7657" t="s">
        <v>14</v>
      </c>
      <c r="C279" s="7657" t="s">
        <v>3227</v>
      </c>
      <c r="D279" s="7657" t="s">
        <v>3228</v>
      </c>
      <c r="E279" s="7657" t="s">
        <v>3229</v>
      </c>
      <c r="F279" s="7657" t="s">
        <v>2425</v>
      </c>
      <c r="G279" s="7657" t="s">
        <v>3230</v>
      </c>
      <c r="H279" s="7657" t="s">
        <v>17</v>
      </c>
      <c r="I279" s="7657" t="s">
        <v>2228</v>
      </c>
      <c r="J279" s="0" t="s">
        <v>17</v>
      </c>
      <c r="K279" s="0" t="s">
        <v>878</v>
      </c>
      <c r="L279" s="0" t="s">
        <v>2201</v>
      </c>
      <c r="M279" s="0" t="s">
        <v>2202</v>
      </c>
      <c r="N279" s="0" t="s">
        <v>400</v>
      </c>
    </row>
    <row customHeight="1" ht="11.25">
      <c r="A280" s="7657" t="s">
        <v>2195</v>
      </c>
      <c r="B280" s="7657" t="s">
        <v>14</v>
      </c>
      <c r="C280" s="7657" t="s">
        <v>3231</v>
      </c>
      <c r="D280" s="7657" t="s">
        <v>3232</v>
      </c>
      <c r="E280" s="7657" t="s">
        <v>3233</v>
      </c>
      <c r="F280" s="7657" t="s">
        <v>2295</v>
      </c>
      <c r="G280" s="7657" t="s">
        <v>17</v>
      </c>
      <c r="H280" s="7657" t="s">
        <v>17</v>
      </c>
      <c r="I280" s="7657" t="s">
        <v>2228</v>
      </c>
      <c r="J280" s="0" t="s">
        <v>17</v>
      </c>
      <c r="K280" s="0" t="s">
        <v>878</v>
      </c>
      <c r="L280" s="0" t="s">
        <v>2201</v>
      </c>
      <c r="M280" s="0" t="s">
        <v>2202</v>
      </c>
      <c r="N280" s="0" t="s">
        <v>400</v>
      </c>
    </row>
    <row customHeight="1" ht="11.25">
      <c r="A281" s="7657" t="s">
        <v>2195</v>
      </c>
      <c r="B281" s="7657" t="s">
        <v>14</v>
      </c>
      <c r="C281" s="7657" t="s">
        <v>3234</v>
      </c>
      <c r="D281" s="7657" t="s">
        <v>3235</v>
      </c>
      <c r="E281" s="7657" t="s">
        <v>3236</v>
      </c>
      <c r="F281" s="7657" t="s">
        <v>2295</v>
      </c>
      <c r="G281" s="7657" t="s">
        <v>17</v>
      </c>
      <c r="H281" s="7657" t="s">
        <v>17</v>
      </c>
      <c r="I281" s="7657" t="s">
        <v>2228</v>
      </c>
      <c r="J281" s="0" t="s">
        <v>17</v>
      </c>
      <c r="K281" s="0" t="s">
        <v>878</v>
      </c>
      <c r="L281" s="0" t="s">
        <v>2201</v>
      </c>
      <c r="M281" s="0" t="s">
        <v>2202</v>
      </c>
      <c r="N281" s="0" t="s">
        <v>400</v>
      </c>
    </row>
    <row customHeight="1" ht="11.25">
      <c r="A282" s="7657" t="s">
        <v>2195</v>
      </c>
      <c r="B282" s="7657" t="s">
        <v>14</v>
      </c>
      <c r="C282" s="7657" t="s">
        <v>3237</v>
      </c>
      <c r="D282" s="7657" t="s">
        <v>3238</v>
      </c>
      <c r="E282" s="7657" t="s">
        <v>3239</v>
      </c>
      <c r="F282" s="7657" t="s">
        <v>2321</v>
      </c>
      <c r="G282" s="7657" t="s">
        <v>3240</v>
      </c>
      <c r="H282" s="7657" t="s">
        <v>17</v>
      </c>
      <c r="I282" s="7657" t="s">
        <v>2228</v>
      </c>
      <c r="J282" s="0" t="s">
        <v>17</v>
      </c>
      <c r="K282" s="0" t="s">
        <v>878</v>
      </c>
      <c r="L282" s="0" t="s">
        <v>2201</v>
      </c>
      <c r="M282" s="0" t="s">
        <v>2202</v>
      </c>
      <c r="N282" s="0" t="s">
        <v>400</v>
      </c>
    </row>
    <row customHeight="1" ht="11.25">
      <c r="A283" s="7657" t="s">
        <v>2195</v>
      </c>
      <c r="B283" s="7657" t="s">
        <v>14</v>
      </c>
      <c r="C283" s="7657" t="s">
        <v>3241</v>
      </c>
      <c r="D283" s="7657" t="s">
        <v>3242</v>
      </c>
      <c r="E283" s="7657" t="s">
        <v>2731</v>
      </c>
      <c r="F283" s="7657" t="s">
        <v>3178</v>
      </c>
      <c r="G283" s="7657" t="s">
        <v>3243</v>
      </c>
      <c r="H283" s="7657" t="s">
        <v>17</v>
      </c>
      <c r="I283" s="7657" t="s">
        <v>3244</v>
      </c>
      <c r="J283" s="0" t="s">
        <v>3245</v>
      </c>
      <c r="K283" s="0" t="s">
        <v>878</v>
      </c>
      <c r="L283" s="0" t="s">
        <v>2201</v>
      </c>
      <c r="M283" s="0" t="s">
        <v>2202</v>
      </c>
      <c r="N283" s="0" t="s">
        <v>400</v>
      </c>
    </row>
    <row customHeight="1" ht="11.25">
      <c r="A284" s="7657" t="s">
        <v>2195</v>
      </c>
      <c r="B284" s="7657" t="s">
        <v>14</v>
      </c>
      <c r="C284" s="7657" t="s">
        <v>3241</v>
      </c>
      <c r="D284" s="7657" t="s">
        <v>3242</v>
      </c>
      <c r="E284" s="7657" t="s">
        <v>2731</v>
      </c>
      <c r="F284" s="7657" t="s">
        <v>3178</v>
      </c>
      <c r="G284" s="7657" t="s">
        <v>3243</v>
      </c>
      <c r="H284" s="7657" t="s">
        <v>17</v>
      </c>
      <c r="I284" s="7657" t="s">
        <v>3246</v>
      </c>
      <c r="J284" s="0" t="s">
        <v>17</v>
      </c>
      <c r="K284" s="0" t="s">
        <v>878</v>
      </c>
      <c r="L284" s="0" t="s">
        <v>2201</v>
      </c>
      <c r="M284" s="0" t="s">
        <v>2202</v>
      </c>
      <c r="N284" s="0" t="s">
        <v>400</v>
      </c>
    </row>
    <row customHeight="1" ht="11.25">
      <c r="A285" s="7657" t="s">
        <v>2195</v>
      </c>
      <c r="B285" s="7657" t="s">
        <v>14</v>
      </c>
      <c r="C285" s="7657" t="s">
        <v>3247</v>
      </c>
      <c r="D285" s="7657" t="s">
        <v>3248</v>
      </c>
      <c r="E285" s="7657" t="s">
        <v>2942</v>
      </c>
      <c r="F285" s="7657" t="s">
        <v>3249</v>
      </c>
      <c r="G285" s="7657" t="s">
        <v>3250</v>
      </c>
      <c r="H285" s="7657" t="s">
        <v>17</v>
      </c>
      <c r="I285" s="7657" t="s">
        <v>3250</v>
      </c>
      <c r="J285" s="0" t="s">
        <v>17</v>
      </c>
      <c r="K285" s="0" t="s">
        <v>878</v>
      </c>
      <c r="L285" s="0" t="s">
        <v>2201</v>
      </c>
      <c r="M285" s="0" t="s">
        <v>2202</v>
      </c>
      <c r="N285" s="0" t="s">
        <v>400</v>
      </c>
    </row>
    <row customHeight="1" ht="11.25">
      <c r="A286" s="7657" t="s">
        <v>2195</v>
      </c>
      <c r="B286" s="7657" t="s">
        <v>14</v>
      </c>
      <c r="C286" s="7657" t="s">
        <v>3251</v>
      </c>
      <c r="D286" s="7657" t="s">
        <v>3252</v>
      </c>
      <c r="E286" s="7657" t="s">
        <v>2731</v>
      </c>
      <c r="F286" s="7657" t="s">
        <v>3253</v>
      </c>
      <c r="G286" s="7657" t="s">
        <v>2974</v>
      </c>
      <c r="H286" s="7657" t="s">
        <v>17</v>
      </c>
      <c r="I286" s="7657" t="s">
        <v>2974</v>
      </c>
      <c r="J286" s="0" t="s">
        <v>2601</v>
      </c>
      <c r="K286" s="0" t="s">
        <v>878</v>
      </c>
      <c r="L286" s="0" t="s">
        <v>2201</v>
      </c>
      <c r="M286" s="0" t="s">
        <v>2202</v>
      </c>
      <c r="N286" s="0" t="s">
        <v>400</v>
      </c>
    </row>
    <row customHeight="1" ht="11.25">
      <c r="A287" s="7657" t="s">
        <v>2195</v>
      </c>
      <c r="B287" s="7657" t="s">
        <v>14</v>
      </c>
      <c r="C287" s="7657" t="s">
        <v>3251</v>
      </c>
      <c r="D287" s="7657" t="s">
        <v>3252</v>
      </c>
      <c r="E287" s="7657" t="s">
        <v>2731</v>
      </c>
      <c r="F287" s="7657" t="s">
        <v>3253</v>
      </c>
      <c r="G287" s="7657" t="s">
        <v>2974</v>
      </c>
      <c r="H287" s="7657" t="s">
        <v>17</v>
      </c>
      <c r="I287" s="7657" t="s">
        <v>3254</v>
      </c>
      <c r="J287" s="0" t="s">
        <v>17</v>
      </c>
      <c r="K287" s="0" t="s">
        <v>878</v>
      </c>
      <c r="L287" s="0" t="s">
        <v>2201</v>
      </c>
      <c r="M287" s="0" t="s">
        <v>2202</v>
      </c>
      <c r="N287" s="0" t="s">
        <v>400</v>
      </c>
    </row>
    <row customHeight="1" ht="11.25">
      <c r="A288" s="7657" t="s">
        <v>2195</v>
      </c>
      <c r="B288" s="7657" t="s">
        <v>14</v>
      </c>
      <c r="C288" s="7657" t="s">
        <v>3255</v>
      </c>
      <c r="D288" s="7657" t="s">
        <v>3256</v>
      </c>
      <c r="E288" s="7657" t="s">
        <v>3257</v>
      </c>
      <c r="F288" s="7657" t="s">
        <v>3258</v>
      </c>
      <c r="G288" s="7657" t="s">
        <v>17</v>
      </c>
      <c r="H288" s="7657" t="s">
        <v>17</v>
      </c>
      <c r="I288" s="7657" t="s">
        <v>2228</v>
      </c>
      <c r="J288" s="0" t="s">
        <v>17</v>
      </c>
      <c r="K288" s="0" t="s">
        <v>878</v>
      </c>
      <c r="L288" s="0" t="s">
        <v>2201</v>
      </c>
      <c r="M288" s="0" t="s">
        <v>2202</v>
      </c>
      <c r="N288" s="0" t="s">
        <v>400</v>
      </c>
    </row>
    <row customHeight="1" ht="11.25">
      <c r="A289" s="7657" t="s">
        <v>2195</v>
      </c>
      <c r="B289" s="7657" t="s">
        <v>14</v>
      </c>
      <c r="C289" s="7657" t="s">
        <v>3259</v>
      </c>
      <c r="D289" s="7657" t="s">
        <v>3260</v>
      </c>
      <c r="E289" s="7657" t="s">
        <v>3261</v>
      </c>
      <c r="F289" s="7657" t="s">
        <v>3262</v>
      </c>
      <c r="G289" s="7657" t="s">
        <v>3263</v>
      </c>
      <c r="H289" s="7657" t="s">
        <v>17</v>
      </c>
      <c r="I289" s="7657" t="s">
        <v>3263</v>
      </c>
      <c r="J289" s="0" t="s">
        <v>17</v>
      </c>
      <c r="K289" s="0" t="s">
        <v>878</v>
      </c>
      <c r="L289" s="0" t="s">
        <v>2201</v>
      </c>
      <c r="M289" s="0" t="s">
        <v>2202</v>
      </c>
      <c r="N289" s="0" t="s">
        <v>400</v>
      </c>
    </row>
    <row customHeight="1" ht="11.25">
      <c r="A290" s="7657" t="s">
        <v>2195</v>
      </c>
      <c r="B290" s="7657" t="s">
        <v>14</v>
      </c>
      <c r="C290" s="7657" t="s">
        <v>3264</v>
      </c>
      <c r="D290" s="7657" t="s">
        <v>3265</v>
      </c>
      <c r="E290" s="7657" t="s">
        <v>3261</v>
      </c>
      <c r="F290" s="7657" t="s">
        <v>2471</v>
      </c>
      <c r="G290" s="7657" t="s">
        <v>17</v>
      </c>
      <c r="H290" s="7657" t="s">
        <v>17</v>
      </c>
      <c r="I290" s="7657" t="s">
        <v>3266</v>
      </c>
      <c r="J290" s="0" t="s">
        <v>17</v>
      </c>
      <c r="K290" s="0" t="s">
        <v>878</v>
      </c>
      <c r="L290" s="0" t="s">
        <v>2201</v>
      </c>
      <c r="M290" s="0" t="s">
        <v>2202</v>
      </c>
      <c r="N290" s="0" t="s">
        <v>400</v>
      </c>
    </row>
    <row customHeight="1" ht="11.25">
      <c r="A291" s="7657" t="s">
        <v>2195</v>
      </c>
      <c r="B291" s="7657" t="s">
        <v>14</v>
      </c>
      <c r="C291" s="7657" t="s">
        <v>3267</v>
      </c>
      <c r="D291" s="7657" t="s">
        <v>3268</v>
      </c>
      <c r="E291" s="7657" t="s">
        <v>3261</v>
      </c>
      <c r="F291" s="7657" t="s">
        <v>3269</v>
      </c>
      <c r="G291" s="7657" t="s">
        <v>3270</v>
      </c>
      <c r="H291" s="7657" t="s">
        <v>17</v>
      </c>
      <c r="I291" s="7657" t="s">
        <v>3270</v>
      </c>
      <c r="J291" s="0" t="s">
        <v>17</v>
      </c>
      <c r="K291" s="0" t="s">
        <v>878</v>
      </c>
      <c r="L291" s="0" t="s">
        <v>2201</v>
      </c>
      <c r="M291" s="0" t="s">
        <v>2202</v>
      </c>
      <c r="N291" s="0" t="s">
        <v>400</v>
      </c>
    </row>
    <row customHeight="1" ht="11.25">
      <c r="A292" s="7657" t="s">
        <v>2195</v>
      </c>
      <c r="B292" s="7657" t="s">
        <v>14</v>
      </c>
      <c r="C292" s="7657" t="s">
        <v>3271</v>
      </c>
      <c r="D292" s="7657" t="s">
        <v>3272</v>
      </c>
      <c r="E292" s="7657" t="s">
        <v>2339</v>
      </c>
      <c r="F292" s="7657" t="s">
        <v>2595</v>
      </c>
      <c r="G292" s="7657" t="s">
        <v>17</v>
      </c>
      <c r="H292" s="7657" t="s">
        <v>17</v>
      </c>
      <c r="I292" s="7657" t="s">
        <v>2340</v>
      </c>
      <c r="J292" s="0" t="s">
        <v>2581</v>
      </c>
      <c r="K292" s="0" t="s">
        <v>903</v>
      </c>
      <c r="L292" s="0" t="s">
        <v>2938</v>
      </c>
      <c r="M292" s="0" t="s">
        <v>2939</v>
      </c>
      <c r="N292" s="0" t="s">
        <v>400</v>
      </c>
    </row>
    <row customHeight="1" ht="11.25">
      <c r="A293" s="7657" t="s">
        <v>2195</v>
      </c>
      <c r="B293" s="7657" t="s">
        <v>14</v>
      </c>
      <c r="C293" s="7657" t="s">
        <v>3271</v>
      </c>
      <c r="D293" s="7657" t="s">
        <v>3272</v>
      </c>
      <c r="E293" s="7657" t="s">
        <v>2339</v>
      </c>
      <c r="F293" s="7657" t="s">
        <v>2595</v>
      </c>
      <c r="G293" s="7657" t="s">
        <v>17</v>
      </c>
      <c r="H293" s="7657" t="s">
        <v>17</v>
      </c>
      <c r="I293" s="7657" t="s">
        <v>2340</v>
      </c>
      <c r="J293" s="0" t="s">
        <v>2581</v>
      </c>
      <c r="K293" s="0" t="s">
        <v>3096</v>
      </c>
      <c r="L293" s="0" t="s">
        <v>3097</v>
      </c>
      <c r="M293" s="0" t="s">
        <v>3098</v>
      </c>
      <c r="N293" s="0" t="s">
        <v>400</v>
      </c>
    </row>
    <row customHeight="1" ht="11.25">
      <c r="A294" s="7657" t="s">
        <v>2195</v>
      </c>
      <c r="B294" s="7657" t="s">
        <v>14</v>
      </c>
      <c r="C294" s="7657" t="s">
        <v>3271</v>
      </c>
      <c r="D294" s="7657" t="s">
        <v>3272</v>
      </c>
      <c r="E294" s="7657" t="s">
        <v>2339</v>
      </c>
      <c r="F294" s="7657" t="s">
        <v>2595</v>
      </c>
      <c r="G294" s="7657" t="s">
        <v>17</v>
      </c>
      <c r="H294" s="7657" t="s">
        <v>17</v>
      </c>
      <c r="I294" s="7657" t="s">
        <v>3273</v>
      </c>
      <c r="J294" s="0" t="s">
        <v>17</v>
      </c>
      <c r="K294" s="0" t="s">
        <v>782</v>
      </c>
      <c r="L294" s="0" t="s">
        <v>3097</v>
      </c>
      <c r="M294" s="0" t="s">
        <v>3274</v>
      </c>
      <c r="N294" s="0" t="s">
        <v>400</v>
      </c>
    </row>
    <row customHeight="1" ht="11.25">
      <c r="A295" s="7657" t="s">
        <v>2195</v>
      </c>
      <c r="B295" s="7657" t="s">
        <v>14</v>
      </c>
      <c r="C295" s="7657" t="s">
        <v>3271</v>
      </c>
      <c r="D295" s="7657" t="s">
        <v>3272</v>
      </c>
      <c r="E295" s="7657" t="s">
        <v>2339</v>
      </c>
      <c r="F295" s="7657" t="s">
        <v>2595</v>
      </c>
      <c r="G295" s="7657" t="s">
        <v>17</v>
      </c>
      <c r="H295" s="7657" t="s">
        <v>17</v>
      </c>
      <c r="I295" s="7657" t="s">
        <v>3273</v>
      </c>
      <c r="J295" s="0" t="s">
        <v>17</v>
      </c>
      <c r="K295" s="0" t="s">
        <v>3096</v>
      </c>
      <c r="L295" s="0" t="s">
        <v>3097</v>
      </c>
      <c r="M295" s="0" t="s">
        <v>3098</v>
      </c>
      <c r="N295" s="0" t="s">
        <v>400</v>
      </c>
    </row>
    <row customHeight="1" ht="11.25">
      <c r="A296" s="7657" t="s">
        <v>2195</v>
      </c>
      <c r="B296" s="7657" t="s">
        <v>14</v>
      </c>
      <c r="C296" s="7657" t="s">
        <v>3271</v>
      </c>
      <c r="D296" s="7657" t="s">
        <v>3272</v>
      </c>
      <c r="E296" s="7657" t="s">
        <v>2339</v>
      </c>
      <c r="F296" s="7657" t="s">
        <v>2595</v>
      </c>
      <c r="G296" s="7657" t="s">
        <v>17</v>
      </c>
      <c r="H296" s="7657" t="s">
        <v>17</v>
      </c>
      <c r="I296" s="7657" t="s">
        <v>3275</v>
      </c>
      <c r="J296" s="0" t="s">
        <v>17</v>
      </c>
      <c r="K296" s="0" t="s">
        <v>810</v>
      </c>
      <c r="L296" s="0" t="s">
        <v>810</v>
      </c>
      <c r="M296" s="0" t="s">
        <v>2291</v>
      </c>
      <c r="N296" s="0" t="s">
        <v>400</v>
      </c>
    </row>
    <row customHeight="1" ht="11.25">
      <c r="A297" s="7657" t="s">
        <v>2195</v>
      </c>
      <c r="B297" s="7657" t="s">
        <v>14</v>
      </c>
      <c r="C297" s="7657" t="s">
        <v>3271</v>
      </c>
      <c r="D297" s="7657" t="s">
        <v>3272</v>
      </c>
      <c r="E297" s="7657" t="s">
        <v>2339</v>
      </c>
      <c r="F297" s="7657" t="s">
        <v>2595</v>
      </c>
      <c r="G297" s="7657" t="s">
        <v>17</v>
      </c>
      <c r="H297" s="7657" t="s">
        <v>17</v>
      </c>
      <c r="I297" s="7657" t="s">
        <v>2340</v>
      </c>
      <c r="J297" s="0" t="s">
        <v>17</v>
      </c>
      <c r="K297" s="0" t="s">
        <v>903</v>
      </c>
      <c r="L297" s="0" t="s">
        <v>2938</v>
      </c>
      <c r="M297" s="0" t="s">
        <v>2939</v>
      </c>
      <c r="N297" s="0" t="s">
        <v>400</v>
      </c>
    </row>
    <row customHeight="1" ht="11.25">
      <c r="A298" s="7657" t="s">
        <v>2195</v>
      </c>
      <c r="B298" s="7657" t="s">
        <v>14</v>
      </c>
      <c r="C298" s="7657" t="s">
        <v>3271</v>
      </c>
      <c r="D298" s="7657" t="s">
        <v>3272</v>
      </c>
      <c r="E298" s="7657" t="s">
        <v>2339</v>
      </c>
      <c r="F298" s="7657" t="s">
        <v>2595</v>
      </c>
      <c r="G298" s="7657" t="s">
        <v>17</v>
      </c>
      <c r="H298" s="7657" t="s">
        <v>17</v>
      </c>
      <c r="I298" s="7657" t="s">
        <v>2340</v>
      </c>
      <c r="J298" s="0" t="s">
        <v>17</v>
      </c>
      <c r="K298" s="0" t="s">
        <v>3096</v>
      </c>
      <c r="L298" s="0" t="s">
        <v>3097</v>
      </c>
      <c r="M298" s="0" t="s">
        <v>3098</v>
      </c>
      <c r="N298" s="0" t="s">
        <v>400</v>
      </c>
    </row>
    <row customHeight="1" ht="11.25">
      <c r="A299" s="7657" t="s">
        <v>2195</v>
      </c>
      <c r="B299" s="7657" t="s">
        <v>14</v>
      </c>
      <c r="C299" s="7657" t="s">
        <v>3276</v>
      </c>
      <c r="D299" s="7657" t="s">
        <v>3277</v>
      </c>
      <c r="E299" s="7657" t="s">
        <v>2339</v>
      </c>
      <c r="F299" s="7657" t="s">
        <v>3278</v>
      </c>
      <c r="G299" s="7657" t="s">
        <v>17</v>
      </c>
      <c r="H299" s="7657" t="s">
        <v>17</v>
      </c>
      <c r="I299" s="7657" t="s">
        <v>3279</v>
      </c>
      <c r="J299" s="0" t="s">
        <v>17</v>
      </c>
      <c r="K299" s="0" t="s">
        <v>878</v>
      </c>
      <c r="L299" s="0" t="s">
        <v>2201</v>
      </c>
      <c r="M299" s="0" t="s">
        <v>2202</v>
      </c>
      <c r="N299" s="0" t="s">
        <v>400</v>
      </c>
    </row>
    <row customHeight="1" ht="11.25">
      <c r="A300" s="7657" t="s">
        <v>2195</v>
      </c>
      <c r="B300" s="7657" t="s">
        <v>14</v>
      </c>
      <c r="C300" s="7657" t="s">
        <v>3280</v>
      </c>
      <c r="D300" s="7657" t="s">
        <v>3281</v>
      </c>
      <c r="E300" s="7657" t="s">
        <v>2811</v>
      </c>
      <c r="F300" s="7657" t="s">
        <v>3282</v>
      </c>
      <c r="G300" s="7657" t="s">
        <v>17</v>
      </c>
      <c r="H300" s="7657" t="s">
        <v>17</v>
      </c>
      <c r="I300" s="7657" t="s">
        <v>3283</v>
      </c>
      <c r="J300" s="0" t="s">
        <v>17</v>
      </c>
      <c r="K300" s="0" t="s">
        <v>878</v>
      </c>
      <c r="L300" s="0" t="s">
        <v>2201</v>
      </c>
      <c r="M300" s="0" t="s">
        <v>2202</v>
      </c>
      <c r="N300" s="0" t="s">
        <v>400</v>
      </c>
    </row>
    <row customHeight="1" ht="11.25">
      <c r="A301" s="7657" t="s">
        <v>2195</v>
      </c>
      <c r="B301" s="7657" t="s">
        <v>14</v>
      </c>
      <c r="C301" s="7657" t="s">
        <v>3284</v>
      </c>
      <c r="D301" s="7657" t="s">
        <v>3285</v>
      </c>
      <c r="E301" s="7657" t="s">
        <v>2865</v>
      </c>
      <c r="F301" s="7657" t="s">
        <v>2352</v>
      </c>
      <c r="G301" s="7657" t="s">
        <v>3286</v>
      </c>
      <c r="H301" s="7657" t="s">
        <v>17</v>
      </c>
      <c r="I301" s="7657" t="s">
        <v>3287</v>
      </c>
      <c r="J301" s="0" t="s">
        <v>17</v>
      </c>
      <c r="K301" s="0" t="s">
        <v>878</v>
      </c>
      <c r="L301" s="0" t="s">
        <v>2201</v>
      </c>
      <c r="M301" s="0" t="s">
        <v>2202</v>
      </c>
      <c r="N301" s="0" t="s">
        <v>400</v>
      </c>
    </row>
    <row customHeight="1" ht="11.25">
      <c r="A302" s="7657" t="s">
        <v>2195</v>
      </c>
      <c r="B302" s="7657" t="s">
        <v>14</v>
      </c>
      <c r="C302" s="7657" t="s">
        <v>3288</v>
      </c>
      <c r="D302" s="7657" t="s">
        <v>3289</v>
      </c>
      <c r="E302" s="7657" t="s">
        <v>2865</v>
      </c>
      <c r="F302" s="7657" t="s">
        <v>3290</v>
      </c>
      <c r="G302" s="7657" t="s">
        <v>3291</v>
      </c>
      <c r="H302" s="7657" t="s">
        <v>17</v>
      </c>
      <c r="I302" s="7657" t="s">
        <v>2753</v>
      </c>
      <c r="J302" s="0" t="s">
        <v>17</v>
      </c>
      <c r="K302" s="0" t="s">
        <v>878</v>
      </c>
      <c r="L302" s="0" t="s">
        <v>2201</v>
      </c>
      <c r="M302" s="0" t="s">
        <v>2202</v>
      </c>
      <c r="N302" s="0" t="s">
        <v>400</v>
      </c>
    </row>
    <row customHeight="1" ht="11.25">
      <c r="A303" s="7657" t="s">
        <v>2195</v>
      </c>
      <c r="B303" s="7657" t="s">
        <v>14</v>
      </c>
      <c r="C303" s="7657" t="s">
        <v>3292</v>
      </c>
      <c r="D303" s="7657" t="s">
        <v>3293</v>
      </c>
      <c r="E303" s="7657" t="s">
        <v>3294</v>
      </c>
      <c r="F303" s="7657" t="s">
        <v>3295</v>
      </c>
      <c r="G303" s="7657" t="s">
        <v>17</v>
      </c>
      <c r="H303" s="7657" t="s">
        <v>17</v>
      </c>
      <c r="I303" s="7657" t="s">
        <v>3296</v>
      </c>
      <c r="J303" s="0" t="s">
        <v>17</v>
      </c>
      <c r="K303" s="0" t="s">
        <v>878</v>
      </c>
      <c r="L303" s="0" t="s">
        <v>2201</v>
      </c>
      <c r="M303" s="0" t="s">
        <v>2202</v>
      </c>
      <c r="N303" s="0" t="s">
        <v>400</v>
      </c>
    </row>
    <row customHeight="1" ht="11.25">
      <c r="A304" s="7657" t="s">
        <v>2195</v>
      </c>
      <c r="B304" s="7657" t="s">
        <v>14</v>
      </c>
      <c r="C304" s="7657" t="s">
        <v>3297</v>
      </c>
      <c r="D304" s="7657" t="s">
        <v>3298</v>
      </c>
      <c r="E304" s="7657" t="s">
        <v>3299</v>
      </c>
      <c r="F304" s="7657" t="s">
        <v>3300</v>
      </c>
      <c r="G304" s="7657" t="s">
        <v>3301</v>
      </c>
      <c r="H304" s="7657" t="s">
        <v>17</v>
      </c>
      <c r="I304" s="7657" t="s">
        <v>2240</v>
      </c>
      <c r="J304" s="0" t="s">
        <v>17</v>
      </c>
      <c r="K304" s="0" t="s">
        <v>878</v>
      </c>
      <c r="L304" s="0" t="s">
        <v>2201</v>
      </c>
      <c r="M304" s="0" t="s">
        <v>2202</v>
      </c>
      <c r="N304" s="0" t="s">
        <v>400</v>
      </c>
    </row>
    <row customHeight="1" ht="11.25">
      <c r="A305" s="7657" t="s">
        <v>2195</v>
      </c>
      <c r="B305" s="7657" t="s">
        <v>14</v>
      </c>
      <c r="C305" s="7657" t="s">
        <v>3297</v>
      </c>
      <c r="D305" s="7657" t="s">
        <v>3298</v>
      </c>
      <c r="E305" s="7657" t="s">
        <v>3299</v>
      </c>
      <c r="F305" s="7657" t="s">
        <v>3300</v>
      </c>
      <c r="G305" s="7657" t="s">
        <v>3301</v>
      </c>
      <c r="H305" s="7657" t="s">
        <v>17</v>
      </c>
      <c r="I305" s="7657" t="s">
        <v>2753</v>
      </c>
      <c r="J305" s="0" t="s">
        <v>17</v>
      </c>
      <c r="K305" s="0" t="s">
        <v>878</v>
      </c>
      <c r="L305" s="0" t="s">
        <v>2201</v>
      </c>
      <c r="M305" s="0" t="s">
        <v>2202</v>
      </c>
      <c r="N305" s="0" t="s">
        <v>400</v>
      </c>
    </row>
    <row customHeight="1" ht="11.25">
      <c r="A306" s="7657" t="s">
        <v>2195</v>
      </c>
      <c r="B306" s="7657" t="s">
        <v>14</v>
      </c>
      <c r="C306" s="7657" t="s">
        <v>3302</v>
      </c>
      <c r="D306" s="7657" t="s">
        <v>3303</v>
      </c>
      <c r="E306" s="7657" t="s">
        <v>2731</v>
      </c>
      <c r="F306" s="7657" t="s">
        <v>2286</v>
      </c>
      <c r="G306" s="7657" t="s">
        <v>17</v>
      </c>
      <c r="H306" s="7657" t="s">
        <v>17</v>
      </c>
      <c r="I306" s="7657" t="s">
        <v>2868</v>
      </c>
      <c r="J306" s="0" t="s">
        <v>17</v>
      </c>
      <c r="K306" s="0" t="s">
        <v>878</v>
      </c>
      <c r="L306" s="0" t="s">
        <v>2201</v>
      </c>
      <c r="M306" s="0" t="s">
        <v>2202</v>
      </c>
      <c r="N306" s="0" t="s">
        <v>400</v>
      </c>
    </row>
    <row customHeight="1" ht="11.25">
      <c r="A307" s="7657" t="s">
        <v>2195</v>
      </c>
      <c r="B307" s="7657" t="s">
        <v>14</v>
      </c>
      <c r="C307" s="7657" t="s">
        <v>3304</v>
      </c>
      <c r="D307" s="7657" t="s">
        <v>3305</v>
      </c>
      <c r="E307" s="7657" t="s">
        <v>3306</v>
      </c>
      <c r="F307" s="7657" t="s">
        <v>3307</v>
      </c>
      <c r="G307" s="7657" t="s">
        <v>17</v>
      </c>
      <c r="H307" s="7657" t="s">
        <v>17</v>
      </c>
      <c r="I307" s="7657" t="s">
        <v>3308</v>
      </c>
      <c r="J307" s="0" t="s">
        <v>17</v>
      </c>
      <c r="K307" s="0" t="s">
        <v>782</v>
      </c>
      <c r="L307" s="0" t="s">
        <v>2301</v>
      </c>
      <c r="M307" s="0" t="s">
        <v>2302</v>
      </c>
      <c r="N307" s="0" t="s">
        <v>400</v>
      </c>
    </row>
    <row customHeight="1" ht="11.25">
      <c r="A308" s="7657" t="s">
        <v>2195</v>
      </c>
      <c r="B308" s="7657" t="s">
        <v>14</v>
      </c>
      <c r="C308" s="7657" t="s">
        <v>3304</v>
      </c>
      <c r="D308" s="7657" t="s">
        <v>3305</v>
      </c>
      <c r="E308" s="7657" t="s">
        <v>3306</v>
      </c>
      <c r="F308" s="7657" t="s">
        <v>3307</v>
      </c>
      <c r="G308" s="7657" t="s">
        <v>17</v>
      </c>
      <c r="H308" s="7657" t="s">
        <v>17</v>
      </c>
      <c r="I308" s="7657" t="s">
        <v>3308</v>
      </c>
      <c r="J308" s="0" t="s">
        <v>17</v>
      </c>
      <c r="K308" s="0" t="s">
        <v>845</v>
      </c>
      <c r="L308" s="0" t="s">
        <v>2301</v>
      </c>
      <c r="M308" s="0" t="s">
        <v>2302</v>
      </c>
      <c r="N308" s="0" t="s">
        <v>400</v>
      </c>
    </row>
    <row customHeight="1" ht="11.25">
      <c r="A309" s="7657" t="s">
        <v>2195</v>
      </c>
      <c r="B309" s="7657" t="s">
        <v>14</v>
      </c>
      <c r="C309" s="7657" t="s">
        <v>3309</v>
      </c>
      <c r="D309" s="7657" t="s">
        <v>3310</v>
      </c>
      <c r="E309" s="7657" t="s">
        <v>3261</v>
      </c>
      <c r="F309" s="7657" t="s">
        <v>3311</v>
      </c>
      <c r="G309" s="7657" t="s">
        <v>17</v>
      </c>
      <c r="H309" s="7657" t="s">
        <v>17</v>
      </c>
      <c r="I309" s="7657" t="s">
        <v>3312</v>
      </c>
      <c r="J309" s="0" t="s">
        <v>17</v>
      </c>
      <c r="K309" s="0" t="s">
        <v>878</v>
      </c>
      <c r="L309" s="0" t="s">
        <v>2201</v>
      </c>
      <c r="M309" s="0" t="s">
        <v>2202</v>
      </c>
      <c r="N309" s="0" t="s">
        <v>400</v>
      </c>
    </row>
    <row customHeight="1" ht="11.25">
      <c r="A310" s="7657" t="s">
        <v>2195</v>
      </c>
      <c r="B310" s="7657" t="s">
        <v>14</v>
      </c>
      <c r="C310" s="7657" t="s">
        <v>3313</v>
      </c>
      <c r="D310" s="7657" t="s">
        <v>3314</v>
      </c>
      <c r="E310" s="7657" t="s">
        <v>3261</v>
      </c>
      <c r="F310" s="7657" t="s">
        <v>3315</v>
      </c>
      <c r="G310" s="7657" t="s">
        <v>3316</v>
      </c>
      <c r="H310" s="7657" t="s">
        <v>17</v>
      </c>
      <c r="I310" s="7657" t="s">
        <v>3316</v>
      </c>
      <c r="J310" s="0" t="s">
        <v>17</v>
      </c>
      <c r="K310" s="0" t="s">
        <v>878</v>
      </c>
      <c r="L310" s="0" t="s">
        <v>2201</v>
      </c>
      <c r="M310" s="0" t="s">
        <v>2202</v>
      </c>
      <c r="N310" s="0" t="s">
        <v>400</v>
      </c>
    </row>
    <row customHeight="1" ht="11.25">
      <c r="A311" s="7657" t="s">
        <v>2195</v>
      </c>
      <c r="B311" s="7657" t="s">
        <v>14</v>
      </c>
      <c r="C311" s="7657" t="s">
        <v>3317</v>
      </c>
      <c r="D311" s="7657" t="s">
        <v>3318</v>
      </c>
      <c r="E311" s="7657" t="s">
        <v>2865</v>
      </c>
      <c r="F311" s="7657" t="s">
        <v>2358</v>
      </c>
      <c r="G311" s="7657" t="s">
        <v>3319</v>
      </c>
      <c r="H311" s="7657" t="s">
        <v>17</v>
      </c>
      <c r="I311" s="7657" t="s">
        <v>3320</v>
      </c>
      <c r="J311" s="0" t="s">
        <v>17</v>
      </c>
      <c r="K311" s="0" t="s">
        <v>878</v>
      </c>
      <c r="L311" s="0" t="s">
        <v>2201</v>
      </c>
      <c r="M311" s="0" t="s">
        <v>2202</v>
      </c>
      <c r="N311" s="0" t="s">
        <v>400</v>
      </c>
    </row>
    <row customHeight="1" ht="11.25">
      <c r="A312" s="7657" t="s">
        <v>2195</v>
      </c>
      <c r="B312" s="7657" t="s">
        <v>14</v>
      </c>
      <c r="C312" s="7657" t="s">
        <v>3321</v>
      </c>
      <c r="D312" s="7657" t="s">
        <v>3322</v>
      </c>
      <c r="E312" s="7657" t="s">
        <v>3323</v>
      </c>
      <c r="F312" s="7657" t="s">
        <v>3324</v>
      </c>
      <c r="G312" s="7657" t="s">
        <v>3325</v>
      </c>
      <c r="H312" s="7657" t="s">
        <v>17</v>
      </c>
      <c r="I312" s="7657" t="s">
        <v>3325</v>
      </c>
      <c r="J312" s="0" t="s">
        <v>17</v>
      </c>
      <c r="K312" s="0" t="s">
        <v>878</v>
      </c>
      <c r="L312" s="0" t="s">
        <v>2201</v>
      </c>
      <c r="M312" s="0" t="s">
        <v>2202</v>
      </c>
      <c r="N312" s="0" t="s">
        <v>400</v>
      </c>
    </row>
    <row customHeight="1" ht="11.25">
      <c r="A313" s="7657" t="s">
        <v>2195</v>
      </c>
      <c r="B313" s="7657" t="s">
        <v>14</v>
      </c>
      <c r="C313" s="7657" t="s">
        <v>3326</v>
      </c>
      <c r="D313" s="7657" t="s">
        <v>3327</v>
      </c>
      <c r="E313" s="7657" t="s">
        <v>3328</v>
      </c>
      <c r="F313" s="7657" t="s">
        <v>3329</v>
      </c>
      <c r="G313" s="7657" t="s">
        <v>17</v>
      </c>
      <c r="H313" s="7657" t="s">
        <v>17</v>
      </c>
      <c r="I313" s="7657" t="s">
        <v>2240</v>
      </c>
      <c r="J313" s="0" t="s">
        <v>17</v>
      </c>
      <c r="K313" s="0" t="s">
        <v>782</v>
      </c>
      <c r="L313" s="0" t="s">
        <v>2301</v>
      </c>
      <c r="M313" s="0" t="s">
        <v>2302</v>
      </c>
      <c r="N313" s="0" t="s">
        <v>400</v>
      </c>
    </row>
    <row customHeight="1" ht="11.25">
      <c r="A314" s="7657" t="s">
        <v>2195</v>
      </c>
      <c r="B314" s="7657" t="s">
        <v>14</v>
      </c>
      <c r="C314" s="7657" t="s">
        <v>3326</v>
      </c>
      <c r="D314" s="7657" t="s">
        <v>3327</v>
      </c>
      <c r="E314" s="7657" t="s">
        <v>3328</v>
      </c>
      <c r="F314" s="7657" t="s">
        <v>3329</v>
      </c>
      <c r="G314" s="7657" t="s">
        <v>17</v>
      </c>
      <c r="H314" s="7657" t="s">
        <v>17</v>
      </c>
      <c r="I314" s="7657" t="s">
        <v>2240</v>
      </c>
      <c r="J314" s="0" t="s">
        <v>17</v>
      </c>
      <c r="K314" s="0" t="s">
        <v>845</v>
      </c>
      <c r="L314" s="0" t="s">
        <v>2301</v>
      </c>
      <c r="M314" s="0" t="s">
        <v>2302</v>
      </c>
      <c r="N314" s="0" t="s">
        <v>400</v>
      </c>
    </row>
    <row customHeight="1" ht="11.25">
      <c r="A315" s="7657" t="s">
        <v>2195</v>
      </c>
      <c r="B315" s="7657" t="s">
        <v>14</v>
      </c>
      <c r="C315" s="7657" t="s">
        <v>3326</v>
      </c>
      <c r="D315" s="7657" t="s">
        <v>3327</v>
      </c>
      <c r="E315" s="7657" t="s">
        <v>3328</v>
      </c>
      <c r="F315" s="7657" t="s">
        <v>3329</v>
      </c>
      <c r="G315" s="7657" t="s">
        <v>17</v>
      </c>
      <c r="H315" s="7657" t="s">
        <v>17</v>
      </c>
      <c r="I315" s="7657" t="s">
        <v>2753</v>
      </c>
      <c r="J315" s="0" t="s">
        <v>17</v>
      </c>
      <c r="K315" s="0" t="s">
        <v>782</v>
      </c>
      <c r="L315" s="0" t="s">
        <v>2301</v>
      </c>
      <c r="M315" s="0" t="s">
        <v>2302</v>
      </c>
      <c r="N315" s="0" t="s">
        <v>400</v>
      </c>
    </row>
    <row customHeight="1" ht="11.25">
      <c r="A316" s="7657" t="s">
        <v>2195</v>
      </c>
      <c r="B316" s="7657" t="s">
        <v>14</v>
      </c>
      <c r="C316" s="7657" t="s">
        <v>3326</v>
      </c>
      <c r="D316" s="7657" t="s">
        <v>3327</v>
      </c>
      <c r="E316" s="7657" t="s">
        <v>3328</v>
      </c>
      <c r="F316" s="7657" t="s">
        <v>3329</v>
      </c>
      <c r="G316" s="7657" t="s">
        <v>17</v>
      </c>
      <c r="H316" s="7657" t="s">
        <v>17</v>
      </c>
      <c r="I316" s="7657" t="s">
        <v>2753</v>
      </c>
      <c r="J316" s="0" t="s">
        <v>17</v>
      </c>
      <c r="K316" s="0" t="s">
        <v>845</v>
      </c>
      <c r="L316" s="0" t="s">
        <v>2301</v>
      </c>
      <c r="M316" s="0" t="s">
        <v>2302</v>
      </c>
      <c r="N316" s="0" t="s">
        <v>400</v>
      </c>
    </row>
    <row customHeight="1" ht="11.25">
      <c r="A317" s="7657" t="s">
        <v>2195</v>
      </c>
      <c r="B317" s="7657" t="s">
        <v>14</v>
      </c>
      <c r="C317" s="7657" t="s">
        <v>2241</v>
      </c>
      <c r="D317" s="7657" t="s">
        <v>2242</v>
      </c>
      <c r="E317" s="7657" t="s">
        <v>2243</v>
      </c>
      <c r="F317" s="7657" t="s">
        <v>2244</v>
      </c>
      <c r="G317" s="7657" t="s">
        <v>17</v>
      </c>
      <c r="H317" s="7657" t="s">
        <v>17</v>
      </c>
      <c r="I317" s="7657" t="s">
        <v>2245</v>
      </c>
      <c r="J317" s="0" t="s">
        <v>17</v>
      </c>
      <c r="K317" s="0" t="s">
        <v>3330</v>
      </c>
      <c r="L317" s="0" t="s">
        <v>3331</v>
      </c>
      <c r="M317" s="0" t="s">
        <v>3332</v>
      </c>
      <c r="N317" s="0" t="s">
        <v>403</v>
      </c>
    </row>
    <row customHeight="1" ht="11.25">
      <c r="A318" s="7657" t="s">
        <v>2195</v>
      </c>
      <c r="B318" s="7657" t="s">
        <v>14</v>
      </c>
      <c r="C318" s="7657" t="s">
        <v>2241</v>
      </c>
      <c r="D318" s="7657" t="s">
        <v>2242</v>
      </c>
      <c r="E318" s="7657" t="s">
        <v>2243</v>
      </c>
      <c r="F318" s="7657" t="s">
        <v>2244</v>
      </c>
      <c r="G318" s="7657" t="s">
        <v>17</v>
      </c>
      <c r="H318" s="7657" t="s">
        <v>17</v>
      </c>
      <c r="I318" s="7657" t="s">
        <v>2246</v>
      </c>
      <c r="J318" s="0" t="s">
        <v>17</v>
      </c>
      <c r="K318" s="0" t="s">
        <v>3330</v>
      </c>
      <c r="L318" s="0" t="s">
        <v>3331</v>
      </c>
      <c r="M318" s="0" t="s">
        <v>3332</v>
      </c>
      <c r="N318" s="0" t="s">
        <v>403</v>
      </c>
    </row>
    <row customHeight="1" ht="11.25">
      <c r="A319" s="7657" t="s">
        <v>2195</v>
      </c>
      <c r="B319" s="7657" t="s">
        <v>14</v>
      </c>
      <c r="C319" s="7657" t="s">
        <v>2248</v>
      </c>
      <c r="D319" s="7657" t="s">
        <v>2249</v>
      </c>
      <c r="E319" s="7657" t="s">
        <v>2250</v>
      </c>
      <c r="F319" s="7657" t="s">
        <v>2227</v>
      </c>
      <c r="G319" s="7657" t="s">
        <v>17</v>
      </c>
      <c r="H319" s="7657" t="s">
        <v>17</v>
      </c>
      <c r="I319" s="7657" t="s">
        <v>3333</v>
      </c>
      <c r="J319" s="0" t="s">
        <v>17</v>
      </c>
      <c r="K319" s="0" t="s">
        <v>3330</v>
      </c>
      <c r="L319" s="0" t="s">
        <v>3331</v>
      </c>
      <c r="M319" s="0" t="s">
        <v>3332</v>
      </c>
      <c r="N319" s="0" t="s">
        <v>403</v>
      </c>
    </row>
    <row customHeight="1" ht="11.25">
      <c r="A320" s="7657" t="s">
        <v>2195</v>
      </c>
      <c r="B320" s="7657" t="s">
        <v>14</v>
      </c>
      <c r="C320" s="7657" t="s">
        <v>2251</v>
      </c>
      <c r="D320" s="7657" t="s">
        <v>2252</v>
      </c>
      <c r="E320" s="7657" t="s">
        <v>2253</v>
      </c>
      <c r="F320" s="7657" t="s">
        <v>2254</v>
      </c>
      <c r="G320" s="7657" t="s">
        <v>2255</v>
      </c>
      <c r="H320" s="7657" t="s">
        <v>17</v>
      </c>
      <c r="I320" s="7657" t="s">
        <v>2228</v>
      </c>
      <c r="J320" s="0" t="s">
        <v>17</v>
      </c>
      <c r="K320" s="0" t="s">
        <v>3330</v>
      </c>
      <c r="L320" s="0" t="s">
        <v>3331</v>
      </c>
      <c r="M320" s="0" t="s">
        <v>3332</v>
      </c>
      <c r="N320" s="0" t="s">
        <v>403</v>
      </c>
    </row>
    <row customHeight="1" ht="11.25">
      <c r="A321" s="7657" t="s">
        <v>2195</v>
      </c>
      <c r="B321" s="7657" t="s">
        <v>14</v>
      </c>
      <c r="C321" s="7657" t="s">
        <v>2256</v>
      </c>
      <c r="D321" s="7657" t="s">
        <v>2257</v>
      </c>
      <c r="E321" s="7657" t="s">
        <v>2258</v>
      </c>
      <c r="F321" s="7657" t="s">
        <v>2217</v>
      </c>
      <c r="G321" s="7657" t="s">
        <v>17</v>
      </c>
      <c r="H321" s="7657" t="s">
        <v>17</v>
      </c>
      <c r="I321" s="7657" t="s">
        <v>3334</v>
      </c>
      <c r="J321" s="0" t="s">
        <v>17</v>
      </c>
      <c r="K321" s="0" t="s">
        <v>3330</v>
      </c>
      <c r="L321" s="0" t="s">
        <v>3331</v>
      </c>
      <c r="M321" s="0" t="s">
        <v>3332</v>
      </c>
      <c r="N321" s="0" t="s">
        <v>403</v>
      </c>
    </row>
    <row customHeight="1" ht="11.25">
      <c r="A322" s="7657" t="s">
        <v>2195</v>
      </c>
      <c r="B322" s="7657" t="s">
        <v>14</v>
      </c>
      <c r="C322" s="7657" t="s">
        <v>2276</v>
      </c>
      <c r="D322" s="7657" t="s">
        <v>2277</v>
      </c>
      <c r="E322" s="7657" t="s">
        <v>2278</v>
      </c>
      <c r="F322" s="7657" t="s">
        <v>2279</v>
      </c>
      <c r="G322" s="7657" t="s">
        <v>17</v>
      </c>
      <c r="H322" s="7657" t="s">
        <v>17</v>
      </c>
      <c r="I322" s="7657" t="s">
        <v>2228</v>
      </c>
      <c r="J322" s="0" t="s">
        <v>17</v>
      </c>
      <c r="K322" s="0" t="s">
        <v>3330</v>
      </c>
      <c r="L322" s="0" t="s">
        <v>3331</v>
      </c>
      <c r="M322" s="0" t="s">
        <v>3332</v>
      </c>
      <c r="N322" s="0" t="s">
        <v>403</v>
      </c>
    </row>
    <row customHeight="1" ht="11.25">
      <c r="A323" s="7657" t="s">
        <v>2195</v>
      </c>
      <c r="B323" s="7657" t="s">
        <v>14</v>
      </c>
      <c r="C323" s="7657" t="s">
        <v>2280</v>
      </c>
      <c r="D323" s="7657" t="s">
        <v>2281</v>
      </c>
      <c r="E323" s="7657" t="s">
        <v>2282</v>
      </c>
      <c r="F323" s="7657" t="s">
        <v>2267</v>
      </c>
      <c r="G323" s="7657" t="s">
        <v>17</v>
      </c>
      <c r="H323" s="7657" t="s">
        <v>17</v>
      </c>
      <c r="I323" s="7657" t="s">
        <v>2228</v>
      </c>
      <c r="J323" s="0" t="s">
        <v>17</v>
      </c>
      <c r="K323" s="0" t="s">
        <v>3330</v>
      </c>
      <c r="L323" s="0" t="s">
        <v>3331</v>
      </c>
      <c r="M323" s="0" t="s">
        <v>3332</v>
      </c>
      <c r="N323" s="0" t="s">
        <v>403</v>
      </c>
    </row>
    <row customHeight="1" ht="11.25">
      <c r="A324" s="7657" t="s">
        <v>2195</v>
      </c>
      <c r="B324" s="7657" t="s">
        <v>14</v>
      </c>
      <c r="C324" s="7657" t="s">
        <v>2292</v>
      </c>
      <c r="D324" s="7657" t="s">
        <v>2293</v>
      </c>
      <c r="E324" s="7657" t="s">
        <v>2294</v>
      </c>
      <c r="F324" s="7657" t="s">
        <v>2295</v>
      </c>
      <c r="G324" s="7657" t="s">
        <v>2296</v>
      </c>
      <c r="H324" s="7657" t="s">
        <v>17</v>
      </c>
      <c r="I324" s="7657" t="s">
        <v>2297</v>
      </c>
      <c r="J324" s="0" t="s">
        <v>17</v>
      </c>
      <c r="K324" s="0" t="s">
        <v>3330</v>
      </c>
      <c r="L324" s="0" t="s">
        <v>3331</v>
      </c>
      <c r="M324" s="0" t="s">
        <v>3332</v>
      </c>
      <c r="N324" s="0" t="s">
        <v>403</v>
      </c>
    </row>
    <row customHeight="1" ht="11.25">
      <c r="A325" s="7657" t="s">
        <v>2195</v>
      </c>
      <c r="B325" s="7657" t="s">
        <v>14</v>
      </c>
      <c r="C325" s="7657" t="s">
        <v>2303</v>
      </c>
      <c r="D325" s="7657" t="s">
        <v>2304</v>
      </c>
      <c r="E325" s="7657" t="s">
        <v>2305</v>
      </c>
      <c r="F325" s="7657" t="s">
        <v>2306</v>
      </c>
      <c r="G325" s="7657" t="s">
        <v>17</v>
      </c>
      <c r="H325" s="7657" t="s">
        <v>17</v>
      </c>
      <c r="I325" s="7657" t="s">
        <v>3335</v>
      </c>
      <c r="J325" s="0" t="s">
        <v>17</v>
      </c>
      <c r="K325" s="0" t="s">
        <v>3330</v>
      </c>
      <c r="L325" s="0" t="s">
        <v>3331</v>
      </c>
      <c r="M325" s="0" t="s">
        <v>3332</v>
      </c>
      <c r="N325" s="0" t="s">
        <v>403</v>
      </c>
    </row>
    <row customHeight="1" ht="11.25">
      <c r="A326" s="7657" t="s">
        <v>2195</v>
      </c>
      <c r="B326" s="7657" t="s">
        <v>14</v>
      </c>
      <c r="C326" s="7657" t="s">
        <v>2314</v>
      </c>
      <c r="D326" s="7657" t="s">
        <v>2315</v>
      </c>
      <c r="E326" s="7657" t="s">
        <v>2316</v>
      </c>
      <c r="F326" s="7657" t="s">
        <v>2317</v>
      </c>
      <c r="G326" s="7657" t="s">
        <v>17</v>
      </c>
      <c r="H326" s="7657" t="s">
        <v>17</v>
      </c>
      <c r="I326" s="7657" t="s">
        <v>2223</v>
      </c>
      <c r="J326" s="0" t="s">
        <v>17</v>
      </c>
      <c r="K326" s="0" t="s">
        <v>3330</v>
      </c>
      <c r="L326" s="0" t="s">
        <v>3331</v>
      </c>
      <c r="M326" s="0" t="s">
        <v>3332</v>
      </c>
      <c r="N326" s="0" t="s">
        <v>403</v>
      </c>
    </row>
    <row customHeight="1" ht="11.25">
      <c r="A327" s="7657" t="s">
        <v>2195</v>
      </c>
      <c r="B327" s="7657" t="s">
        <v>14</v>
      </c>
      <c r="C327" s="7657" t="s">
        <v>2333</v>
      </c>
      <c r="D327" s="7657" t="s">
        <v>2334</v>
      </c>
      <c r="E327" s="7657" t="s">
        <v>2335</v>
      </c>
      <c r="F327" s="7657" t="s">
        <v>2279</v>
      </c>
      <c r="G327" s="7657" t="s">
        <v>17</v>
      </c>
      <c r="H327" s="7657" t="s">
        <v>17</v>
      </c>
      <c r="I327" s="7657" t="s">
        <v>2336</v>
      </c>
      <c r="J327" s="0" t="s">
        <v>17</v>
      </c>
      <c r="K327" s="0" t="s">
        <v>3330</v>
      </c>
      <c r="L327" s="0" t="s">
        <v>3331</v>
      </c>
      <c r="M327" s="0" t="s">
        <v>3332</v>
      </c>
      <c r="N327" s="0" t="s">
        <v>403</v>
      </c>
    </row>
    <row customHeight="1" ht="11.25">
      <c r="A328" s="7657" t="s">
        <v>2195</v>
      </c>
      <c r="B328" s="7657" t="s">
        <v>14</v>
      </c>
      <c r="C328" s="7657" t="s">
        <v>2349</v>
      </c>
      <c r="D328" s="7657" t="s">
        <v>2350</v>
      </c>
      <c r="E328" s="7657" t="s">
        <v>2351</v>
      </c>
      <c r="F328" s="7657" t="s">
        <v>2352</v>
      </c>
      <c r="G328" s="7657" t="s">
        <v>2353</v>
      </c>
      <c r="H328" s="7657" t="s">
        <v>17</v>
      </c>
      <c r="I328" s="7657" t="s">
        <v>2354</v>
      </c>
      <c r="J328" s="0" t="s">
        <v>17</v>
      </c>
      <c r="K328" s="0" t="s">
        <v>3330</v>
      </c>
      <c r="L328" s="0" t="s">
        <v>3331</v>
      </c>
      <c r="M328" s="0" t="s">
        <v>3332</v>
      </c>
      <c r="N328" s="0" t="s">
        <v>403</v>
      </c>
    </row>
    <row customHeight="1" ht="11.25">
      <c r="A329" s="7657" t="s">
        <v>2195</v>
      </c>
      <c r="B329" s="7657" t="s">
        <v>14</v>
      </c>
      <c r="C329" s="7657" t="s">
        <v>2355</v>
      </c>
      <c r="D329" s="7657" t="s">
        <v>2356</v>
      </c>
      <c r="E329" s="7657" t="s">
        <v>2357</v>
      </c>
      <c r="F329" s="7657" t="s">
        <v>2358</v>
      </c>
      <c r="G329" s="7657" t="s">
        <v>2359</v>
      </c>
      <c r="H329" s="7657" t="s">
        <v>17</v>
      </c>
      <c r="I329" s="7657" t="s">
        <v>2360</v>
      </c>
      <c r="J329" s="0" t="s">
        <v>17</v>
      </c>
      <c r="K329" s="0" t="s">
        <v>3330</v>
      </c>
      <c r="L329" s="0" t="s">
        <v>3336</v>
      </c>
      <c r="M329" s="0" t="s">
        <v>3337</v>
      </c>
      <c r="N329" s="0" t="s">
        <v>403</v>
      </c>
    </row>
    <row customHeight="1" ht="11.25">
      <c r="A330" s="7657" t="s">
        <v>2195</v>
      </c>
      <c r="B330" s="7657" t="s">
        <v>14</v>
      </c>
      <c r="C330" s="7657" t="s">
        <v>2355</v>
      </c>
      <c r="D330" s="7657" t="s">
        <v>2356</v>
      </c>
      <c r="E330" s="7657" t="s">
        <v>2357</v>
      </c>
      <c r="F330" s="7657" t="s">
        <v>2358</v>
      </c>
      <c r="G330" s="7657" t="s">
        <v>2359</v>
      </c>
      <c r="H330" s="7657" t="s">
        <v>17</v>
      </c>
      <c r="I330" s="7657" t="s">
        <v>2472</v>
      </c>
      <c r="J330" s="0" t="s">
        <v>17</v>
      </c>
      <c r="K330" s="0" t="s">
        <v>3338</v>
      </c>
      <c r="L330" s="0" t="s">
        <v>3339</v>
      </c>
      <c r="M330" s="0" t="s">
        <v>3340</v>
      </c>
      <c r="N330" s="0" t="s">
        <v>403</v>
      </c>
    </row>
    <row customHeight="1" ht="11.25">
      <c r="A331" s="7657" t="s">
        <v>2195</v>
      </c>
      <c r="B331" s="7657" t="s">
        <v>14</v>
      </c>
      <c r="C331" s="7657" t="s">
        <v>2361</v>
      </c>
      <c r="D331" s="7657" t="s">
        <v>2362</v>
      </c>
      <c r="E331" s="7657" t="s">
        <v>2363</v>
      </c>
      <c r="F331" s="7657" t="s">
        <v>2364</v>
      </c>
      <c r="G331" s="7657" t="s">
        <v>2365</v>
      </c>
      <c r="H331" s="7657" t="s">
        <v>17</v>
      </c>
      <c r="I331" s="7657" t="s">
        <v>2228</v>
      </c>
      <c r="J331" s="0" t="s">
        <v>17</v>
      </c>
      <c r="K331" s="0" t="s">
        <v>3330</v>
      </c>
      <c r="L331" s="0" t="s">
        <v>3331</v>
      </c>
      <c r="M331" s="0" t="s">
        <v>3332</v>
      </c>
      <c r="N331" s="0" t="s">
        <v>403</v>
      </c>
    </row>
    <row customHeight="1" ht="11.25">
      <c r="A332" s="7657" t="s">
        <v>2195</v>
      </c>
      <c r="B332" s="7657" t="s">
        <v>14</v>
      </c>
      <c r="C332" s="7657" t="s">
        <v>2366</v>
      </c>
      <c r="D332" s="7657" t="s">
        <v>2367</v>
      </c>
      <c r="E332" s="7657" t="s">
        <v>2368</v>
      </c>
      <c r="F332" s="7657" t="s">
        <v>2369</v>
      </c>
      <c r="G332" s="7657" t="s">
        <v>17</v>
      </c>
      <c r="H332" s="7657" t="s">
        <v>17</v>
      </c>
      <c r="I332" s="7657" t="s">
        <v>2370</v>
      </c>
      <c r="J332" s="0" t="s">
        <v>17</v>
      </c>
      <c r="K332" s="0" t="s">
        <v>3330</v>
      </c>
      <c r="L332" s="0" t="s">
        <v>3331</v>
      </c>
      <c r="M332" s="0" t="s">
        <v>3332</v>
      </c>
      <c r="N332" s="0" t="s">
        <v>403</v>
      </c>
    </row>
    <row customHeight="1" ht="11.25">
      <c r="A333" s="7657" t="s">
        <v>2195</v>
      </c>
      <c r="B333" s="7657" t="s">
        <v>14</v>
      </c>
      <c r="C333" s="7657" t="s">
        <v>2371</v>
      </c>
      <c r="D333" s="7657" t="s">
        <v>2372</v>
      </c>
      <c r="E333" s="7657" t="s">
        <v>2368</v>
      </c>
      <c r="F333" s="7657" t="s">
        <v>2373</v>
      </c>
      <c r="G333" s="7657" t="s">
        <v>17</v>
      </c>
      <c r="H333" s="7657" t="s">
        <v>17</v>
      </c>
      <c r="I333" s="7657" t="s">
        <v>2374</v>
      </c>
      <c r="J333" s="0" t="s">
        <v>17</v>
      </c>
      <c r="K333" s="0" t="s">
        <v>3330</v>
      </c>
      <c r="L333" s="0" t="s">
        <v>3331</v>
      </c>
      <c r="M333" s="0" t="s">
        <v>3332</v>
      </c>
      <c r="N333" s="0" t="s">
        <v>403</v>
      </c>
    </row>
    <row customHeight="1" ht="11.25">
      <c r="A334" s="7657" t="s">
        <v>2195</v>
      </c>
      <c r="B334" s="7657" t="s">
        <v>14</v>
      </c>
      <c r="C334" s="7657" t="s">
        <v>2396</v>
      </c>
      <c r="D334" s="7657" t="s">
        <v>2397</v>
      </c>
      <c r="E334" s="7657" t="s">
        <v>2398</v>
      </c>
      <c r="F334" s="7657" t="s">
        <v>2306</v>
      </c>
      <c r="G334" s="7657" t="s">
        <v>2399</v>
      </c>
      <c r="H334" s="7657" t="s">
        <v>17</v>
      </c>
      <c r="I334" s="7657" t="s">
        <v>2400</v>
      </c>
      <c r="J334" s="0" t="s">
        <v>17</v>
      </c>
      <c r="K334" s="0" t="s">
        <v>3330</v>
      </c>
      <c r="L334" s="0" t="s">
        <v>3331</v>
      </c>
      <c r="M334" s="0" t="s">
        <v>3332</v>
      </c>
      <c r="N334" s="0" t="s">
        <v>403</v>
      </c>
    </row>
    <row customHeight="1" ht="11.25">
      <c r="A335" s="7657" t="s">
        <v>2195</v>
      </c>
      <c r="B335" s="7657" t="s">
        <v>14</v>
      </c>
      <c r="C335" s="7657" t="s">
        <v>2404</v>
      </c>
      <c r="D335" s="7657" t="s">
        <v>2405</v>
      </c>
      <c r="E335" s="7657" t="s">
        <v>2406</v>
      </c>
      <c r="F335" s="7657" t="s">
        <v>2222</v>
      </c>
      <c r="G335" s="7657" t="s">
        <v>17</v>
      </c>
      <c r="H335" s="7657" t="s">
        <v>17</v>
      </c>
      <c r="I335" s="7657" t="s">
        <v>2228</v>
      </c>
      <c r="J335" s="0" t="s">
        <v>17</v>
      </c>
      <c r="K335" s="0" t="s">
        <v>3330</v>
      </c>
      <c r="L335" s="0" t="s">
        <v>3331</v>
      </c>
      <c r="M335" s="0" t="s">
        <v>3332</v>
      </c>
      <c r="N335" s="0" t="s">
        <v>403</v>
      </c>
    </row>
    <row customHeight="1" ht="11.25">
      <c r="A336" s="7657" t="s">
        <v>2195</v>
      </c>
      <c r="B336" s="7657" t="s">
        <v>14</v>
      </c>
      <c r="C336" s="7657" t="s">
        <v>2436</v>
      </c>
      <c r="D336" s="7657" t="s">
        <v>2437</v>
      </c>
      <c r="E336" s="7657" t="s">
        <v>2438</v>
      </c>
      <c r="F336" s="7657" t="s">
        <v>2439</v>
      </c>
      <c r="G336" s="7657" t="s">
        <v>17</v>
      </c>
      <c r="H336" s="7657" t="s">
        <v>17</v>
      </c>
      <c r="I336" s="7657" t="s">
        <v>3341</v>
      </c>
      <c r="J336" s="0" t="s">
        <v>17</v>
      </c>
      <c r="K336" s="0" t="s">
        <v>3330</v>
      </c>
      <c r="L336" s="0" t="s">
        <v>3331</v>
      </c>
      <c r="M336" s="0" t="s">
        <v>3332</v>
      </c>
      <c r="N336" s="0" t="s">
        <v>403</v>
      </c>
    </row>
    <row customHeight="1" ht="11.25">
      <c r="A337" s="7657" t="s">
        <v>2195</v>
      </c>
      <c r="B337" s="7657" t="s">
        <v>14</v>
      </c>
      <c r="C337" s="7657" t="s">
        <v>2448</v>
      </c>
      <c r="D337" s="7657" t="s">
        <v>2449</v>
      </c>
      <c r="E337" s="7657" t="s">
        <v>2450</v>
      </c>
      <c r="F337" s="7657" t="s">
        <v>1433</v>
      </c>
      <c r="G337" s="7657" t="s">
        <v>2451</v>
      </c>
      <c r="H337" s="7657" t="s">
        <v>17</v>
      </c>
      <c r="I337" s="7657" t="s">
        <v>2452</v>
      </c>
      <c r="J337" s="0" t="s">
        <v>2453</v>
      </c>
      <c r="K337" s="0" t="s">
        <v>3330</v>
      </c>
      <c r="L337" s="0" t="s">
        <v>3331</v>
      </c>
      <c r="M337" s="0" t="s">
        <v>3332</v>
      </c>
      <c r="N337" s="0" t="s">
        <v>403</v>
      </c>
    </row>
    <row customHeight="1" ht="11.25">
      <c r="A338" s="7657" t="s">
        <v>2195</v>
      </c>
      <c r="B338" s="7657" t="s">
        <v>14</v>
      </c>
      <c r="C338" s="7657" t="s">
        <v>2448</v>
      </c>
      <c r="D338" s="7657" t="s">
        <v>2449</v>
      </c>
      <c r="E338" s="7657" t="s">
        <v>2450</v>
      </c>
      <c r="F338" s="7657" t="s">
        <v>1433</v>
      </c>
      <c r="G338" s="7657" t="s">
        <v>2451</v>
      </c>
      <c r="H338" s="7657" t="s">
        <v>17</v>
      </c>
      <c r="I338" s="7657" t="s">
        <v>2454</v>
      </c>
      <c r="J338" s="0" t="s">
        <v>17</v>
      </c>
      <c r="K338" s="0" t="s">
        <v>3330</v>
      </c>
      <c r="L338" s="0" t="s">
        <v>3331</v>
      </c>
      <c r="M338" s="0" t="s">
        <v>3332</v>
      </c>
      <c r="N338" s="0" t="s">
        <v>403</v>
      </c>
    </row>
    <row customHeight="1" ht="11.25">
      <c r="A339" s="7657" t="s">
        <v>2195</v>
      </c>
      <c r="B339" s="7657" t="s">
        <v>14</v>
      </c>
      <c r="C339" s="7657" t="s">
        <v>2460</v>
      </c>
      <c r="D339" s="7657" t="s">
        <v>2461</v>
      </c>
      <c r="E339" s="7657" t="s">
        <v>2462</v>
      </c>
      <c r="F339" s="7657" t="s">
        <v>2227</v>
      </c>
      <c r="G339" s="7657" t="s">
        <v>2463</v>
      </c>
      <c r="H339" s="7657" t="s">
        <v>17</v>
      </c>
      <c r="I339" s="7657" t="s">
        <v>2463</v>
      </c>
      <c r="J339" s="0" t="s">
        <v>17</v>
      </c>
      <c r="K339" s="0" t="s">
        <v>3330</v>
      </c>
      <c r="L339" s="0" t="s">
        <v>3331</v>
      </c>
      <c r="M339" s="0" t="s">
        <v>3332</v>
      </c>
      <c r="N339" s="0" t="s">
        <v>403</v>
      </c>
    </row>
    <row customHeight="1" ht="11.25">
      <c r="A340" s="7657" t="s">
        <v>2195</v>
      </c>
      <c r="B340" s="7657" t="s">
        <v>14</v>
      </c>
      <c r="C340" s="7657" t="s">
        <v>2469</v>
      </c>
      <c r="D340" s="7657" t="s">
        <v>2470</v>
      </c>
      <c r="E340" s="7657" t="s">
        <v>2357</v>
      </c>
      <c r="F340" s="7657" t="s">
        <v>2471</v>
      </c>
      <c r="G340" s="7657" t="s">
        <v>2359</v>
      </c>
      <c r="H340" s="7657" t="s">
        <v>17</v>
      </c>
      <c r="I340" s="7657" t="s">
        <v>2472</v>
      </c>
      <c r="J340" s="0" t="s">
        <v>17</v>
      </c>
      <c r="K340" s="0" t="s">
        <v>3330</v>
      </c>
      <c r="L340" s="0" t="s">
        <v>3331</v>
      </c>
      <c r="M340" s="0" t="s">
        <v>3332</v>
      </c>
      <c r="N340" s="0" t="s">
        <v>403</v>
      </c>
    </row>
    <row customHeight="1" ht="11.25">
      <c r="A341" s="7657" t="s">
        <v>2195</v>
      </c>
      <c r="B341" s="7657" t="s">
        <v>14</v>
      </c>
      <c r="C341" s="7657" t="s">
        <v>2499</v>
      </c>
      <c r="D341" s="7657" t="s">
        <v>2500</v>
      </c>
      <c r="E341" s="7657" t="s">
        <v>2501</v>
      </c>
      <c r="F341" s="7657" t="s">
        <v>2502</v>
      </c>
      <c r="G341" s="7657" t="s">
        <v>17</v>
      </c>
      <c r="H341" s="7657" t="s">
        <v>17</v>
      </c>
      <c r="I341" s="7657" t="s">
        <v>2426</v>
      </c>
      <c r="J341" s="0" t="s">
        <v>17</v>
      </c>
      <c r="K341" s="0" t="s">
        <v>3330</v>
      </c>
      <c r="L341" s="0" t="s">
        <v>3331</v>
      </c>
      <c r="M341" s="0" t="s">
        <v>3332</v>
      </c>
      <c r="N341" s="0" t="s">
        <v>403</v>
      </c>
    </row>
    <row customHeight="1" ht="11.25">
      <c r="A342" s="7657" t="s">
        <v>2195</v>
      </c>
      <c r="B342" s="7657" t="s">
        <v>14</v>
      </c>
      <c r="C342" s="7657" t="s">
        <v>2514</v>
      </c>
      <c r="D342" s="7657" t="s">
        <v>2515</v>
      </c>
      <c r="E342" s="7657" t="s">
        <v>2516</v>
      </c>
      <c r="F342" s="7657" t="s">
        <v>2517</v>
      </c>
      <c r="G342" s="7657" t="s">
        <v>17</v>
      </c>
      <c r="H342" s="7657" t="s">
        <v>17</v>
      </c>
      <c r="I342" s="7657" t="s">
        <v>2518</v>
      </c>
      <c r="J342" s="0" t="s">
        <v>17</v>
      </c>
      <c r="K342" s="0" t="s">
        <v>3330</v>
      </c>
      <c r="L342" s="0" t="s">
        <v>3331</v>
      </c>
      <c r="M342" s="0" t="s">
        <v>3332</v>
      </c>
      <c r="N342" s="0" t="s">
        <v>403</v>
      </c>
    </row>
    <row customHeight="1" ht="11.25">
      <c r="A343" s="7657" t="s">
        <v>2195</v>
      </c>
      <c r="B343" s="7657" t="s">
        <v>14</v>
      </c>
      <c r="C343" s="7657" t="s">
        <v>2519</v>
      </c>
      <c r="D343" s="7657" t="s">
        <v>2520</v>
      </c>
      <c r="E343" s="7657" t="s">
        <v>2521</v>
      </c>
      <c r="F343" s="7657" t="s">
        <v>2206</v>
      </c>
      <c r="G343" s="7657" t="s">
        <v>2522</v>
      </c>
      <c r="H343" s="7657" t="s">
        <v>17</v>
      </c>
      <c r="I343" s="7657" t="s">
        <v>2523</v>
      </c>
      <c r="J343" s="0" t="s">
        <v>17</v>
      </c>
      <c r="K343" s="0" t="s">
        <v>3330</v>
      </c>
      <c r="L343" s="0" t="s">
        <v>3331</v>
      </c>
      <c r="M343" s="0" t="s">
        <v>3332</v>
      </c>
      <c r="N343" s="0" t="s">
        <v>403</v>
      </c>
    </row>
    <row customHeight="1" ht="11.25">
      <c r="A344" s="7657" t="s">
        <v>2195</v>
      </c>
      <c r="B344" s="7657" t="s">
        <v>14</v>
      </c>
      <c r="C344" s="7657" t="s">
        <v>2524</v>
      </c>
      <c r="D344" s="7657" t="s">
        <v>2525</v>
      </c>
      <c r="E344" s="7657" t="s">
        <v>2526</v>
      </c>
      <c r="F344" s="7657" t="s">
        <v>2527</v>
      </c>
      <c r="G344" s="7657" t="s">
        <v>2528</v>
      </c>
      <c r="H344" s="7657" t="s">
        <v>17</v>
      </c>
      <c r="I344" s="7657" t="s">
        <v>2529</v>
      </c>
      <c r="J344" s="0" t="s">
        <v>17</v>
      </c>
      <c r="K344" s="0" t="s">
        <v>3330</v>
      </c>
      <c r="L344" s="0" t="s">
        <v>3331</v>
      </c>
      <c r="M344" s="0" t="s">
        <v>3332</v>
      </c>
      <c r="N344" s="0" t="s">
        <v>403</v>
      </c>
    </row>
    <row customHeight="1" ht="11.25">
      <c r="A345" s="7657" t="s">
        <v>2195</v>
      </c>
      <c r="B345" s="7657" t="s">
        <v>14</v>
      </c>
      <c r="C345" s="7657" t="s">
        <v>2539</v>
      </c>
      <c r="D345" s="7657" t="s">
        <v>2540</v>
      </c>
      <c r="E345" s="7657" t="s">
        <v>2541</v>
      </c>
      <c r="F345" s="7657" t="s">
        <v>2542</v>
      </c>
      <c r="G345" s="7657" t="s">
        <v>2543</v>
      </c>
      <c r="H345" s="7657" t="s">
        <v>17</v>
      </c>
      <c r="I345" s="7657" t="s">
        <v>2353</v>
      </c>
      <c r="J345" s="0" t="s">
        <v>17</v>
      </c>
      <c r="K345" s="0" t="s">
        <v>3330</v>
      </c>
      <c r="L345" s="0" t="s">
        <v>3331</v>
      </c>
      <c r="M345" s="0" t="s">
        <v>3332</v>
      </c>
      <c r="N345" s="0" t="s">
        <v>403</v>
      </c>
    </row>
    <row customHeight="1" ht="11.25">
      <c r="A346" s="7657" t="s">
        <v>2195</v>
      </c>
      <c r="B346" s="7657" t="s">
        <v>14</v>
      </c>
      <c r="C346" s="7657" t="s">
        <v>2562</v>
      </c>
      <c r="D346" s="7657" t="s">
        <v>2563</v>
      </c>
      <c r="E346" s="7657" t="s">
        <v>2564</v>
      </c>
      <c r="F346" s="7657" t="s">
        <v>2306</v>
      </c>
      <c r="G346" s="7657" t="s">
        <v>17</v>
      </c>
      <c r="H346" s="7657" t="s">
        <v>17</v>
      </c>
      <c r="I346" s="7657" t="s">
        <v>2565</v>
      </c>
      <c r="J346" s="0" t="s">
        <v>17</v>
      </c>
      <c r="K346" s="0" t="s">
        <v>3330</v>
      </c>
      <c r="L346" s="0" t="s">
        <v>3331</v>
      </c>
      <c r="M346" s="0" t="s">
        <v>3332</v>
      </c>
      <c r="N346" s="0" t="s">
        <v>403</v>
      </c>
    </row>
    <row customHeight="1" ht="11.25">
      <c r="A347" s="7657" t="s">
        <v>2195</v>
      </c>
      <c r="B347" s="7657" t="s">
        <v>14</v>
      </c>
      <c r="C347" s="7657" t="s">
        <v>2566</v>
      </c>
      <c r="D347" s="7657" t="s">
        <v>2567</v>
      </c>
      <c r="E347" s="7657" t="s">
        <v>2568</v>
      </c>
      <c r="F347" s="7657" t="s">
        <v>2569</v>
      </c>
      <c r="G347" s="7657" t="s">
        <v>2570</v>
      </c>
      <c r="H347" s="7657" t="s">
        <v>17</v>
      </c>
      <c r="I347" s="7657" t="s">
        <v>2571</v>
      </c>
      <c r="J347" s="0" t="s">
        <v>17</v>
      </c>
      <c r="K347" s="0" t="s">
        <v>3330</v>
      </c>
      <c r="L347" s="0" t="s">
        <v>3331</v>
      </c>
      <c r="M347" s="0" t="s">
        <v>3332</v>
      </c>
      <c r="N347" s="0" t="s">
        <v>403</v>
      </c>
    </row>
    <row customHeight="1" ht="11.25">
      <c r="A348" s="7657" t="s">
        <v>2195</v>
      </c>
      <c r="B348" s="7657" t="s">
        <v>14</v>
      </c>
      <c r="C348" s="7657" t="s">
        <v>2572</v>
      </c>
      <c r="D348" s="7657" t="s">
        <v>2573</v>
      </c>
      <c r="E348" s="7657" t="s">
        <v>2574</v>
      </c>
      <c r="F348" s="7657" t="s">
        <v>2575</v>
      </c>
      <c r="G348" s="7657" t="s">
        <v>2576</v>
      </c>
      <c r="H348" s="7657" t="s">
        <v>17</v>
      </c>
      <c r="I348" s="7657" t="s">
        <v>2576</v>
      </c>
      <c r="J348" s="0" t="s">
        <v>17</v>
      </c>
      <c r="K348" s="0" t="s">
        <v>3330</v>
      </c>
      <c r="L348" s="0" t="s">
        <v>3331</v>
      </c>
      <c r="M348" s="0" t="s">
        <v>3332</v>
      </c>
      <c r="N348" s="0" t="s">
        <v>403</v>
      </c>
    </row>
    <row customHeight="1" ht="11.25">
      <c r="A349" s="7657" t="s">
        <v>2195</v>
      </c>
      <c r="B349" s="7657" t="s">
        <v>14</v>
      </c>
      <c r="C349" s="7657" t="s">
        <v>2577</v>
      </c>
      <c r="D349" s="7657" t="s">
        <v>2578</v>
      </c>
      <c r="E349" s="7657" t="s">
        <v>2579</v>
      </c>
      <c r="F349" s="7657" t="s">
        <v>2425</v>
      </c>
      <c r="G349" s="7657" t="s">
        <v>17</v>
      </c>
      <c r="H349" s="7657" t="s">
        <v>17</v>
      </c>
      <c r="I349" s="7657" t="s">
        <v>2580</v>
      </c>
      <c r="J349" s="0" t="s">
        <v>17</v>
      </c>
      <c r="K349" s="0" t="s">
        <v>3330</v>
      </c>
      <c r="L349" s="0" t="s">
        <v>3331</v>
      </c>
      <c r="M349" s="0" t="s">
        <v>3332</v>
      </c>
      <c r="N349" s="0" t="s">
        <v>403</v>
      </c>
    </row>
    <row customHeight="1" ht="11.25">
      <c r="A350" s="7657" t="s">
        <v>2195</v>
      </c>
      <c r="B350" s="7657" t="s">
        <v>14</v>
      </c>
      <c r="C350" s="7657" t="s">
        <v>2582</v>
      </c>
      <c r="D350" s="7657" t="s">
        <v>2583</v>
      </c>
      <c r="E350" s="7657" t="s">
        <v>2584</v>
      </c>
      <c r="F350" s="7657" t="s">
        <v>2478</v>
      </c>
      <c r="G350" s="7657" t="s">
        <v>2585</v>
      </c>
      <c r="H350" s="7657" t="s">
        <v>17</v>
      </c>
      <c r="I350" s="7657" t="s">
        <v>3342</v>
      </c>
      <c r="J350" s="0" t="s">
        <v>17</v>
      </c>
      <c r="K350" s="0" t="s">
        <v>3330</v>
      </c>
      <c r="L350" s="0" t="s">
        <v>3331</v>
      </c>
      <c r="M350" s="0" t="s">
        <v>3332</v>
      </c>
      <c r="N350" s="0" t="s">
        <v>403</v>
      </c>
    </row>
    <row customHeight="1" ht="11.25">
      <c r="A351" s="7657" t="s">
        <v>2195</v>
      </c>
      <c r="B351" s="7657" t="s">
        <v>14</v>
      </c>
      <c r="C351" s="7657" t="s">
        <v>2587</v>
      </c>
      <c r="D351" s="7657" t="s">
        <v>2588</v>
      </c>
      <c r="E351" s="7657" t="s">
        <v>2589</v>
      </c>
      <c r="F351" s="7657" t="s">
        <v>2590</v>
      </c>
      <c r="G351" s="7657" t="s">
        <v>2591</v>
      </c>
      <c r="H351" s="7657" t="s">
        <v>17</v>
      </c>
      <c r="I351" s="7657" t="s">
        <v>2591</v>
      </c>
      <c r="J351" s="0" t="s">
        <v>17</v>
      </c>
      <c r="K351" s="0" t="s">
        <v>3330</v>
      </c>
      <c r="L351" s="0" t="s">
        <v>3331</v>
      </c>
      <c r="M351" s="0" t="s">
        <v>3332</v>
      </c>
      <c r="N351" s="0" t="s">
        <v>403</v>
      </c>
    </row>
    <row customHeight="1" ht="11.25">
      <c r="A352" s="7657" t="s">
        <v>2195</v>
      </c>
      <c r="B352" s="7657" t="s">
        <v>14</v>
      </c>
      <c r="C352" s="7657" t="s">
        <v>2592</v>
      </c>
      <c r="D352" s="7657" t="s">
        <v>2593</v>
      </c>
      <c r="E352" s="7657" t="s">
        <v>2594</v>
      </c>
      <c r="F352" s="7657" t="s">
        <v>2595</v>
      </c>
      <c r="G352" s="7657" t="s">
        <v>17</v>
      </c>
      <c r="H352" s="7657" t="s">
        <v>17</v>
      </c>
      <c r="I352" s="7657" t="s">
        <v>3343</v>
      </c>
      <c r="J352" s="0" t="s">
        <v>17</v>
      </c>
      <c r="K352" s="0" t="s">
        <v>3330</v>
      </c>
      <c r="L352" s="0" t="s">
        <v>3331</v>
      </c>
      <c r="M352" s="0" t="s">
        <v>3332</v>
      </c>
      <c r="N352" s="0" t="s">
        <v>403</v>
      </c>
    </row>
    <row customHeight="1" ht="11.25">
      <c r="A353" s="7657" t="s">
        <v>2195</v>
      </c>
      <c r="B353" s="7657" t="s">
        <v>14</v>
      </c>
      <c r="C353" s="7657" t="s">
        <v>2596</v>
      </c>
      <c r="D353" s="7657" t="s">
        <v>2597</v>
      </c>
      <c r="E353" s="7657" t="s">
        <v>2598</v>
      </c>
      <c r="F353" s="7657" t="s">
        <v>2599</v>
      </c>
      <c r="G353" s="7657" t="s">
        <v>2600</v>
      </c>
      <c r="H353" s="7657" t="s">
        <v>17</v>
      </c>
      <c r="I353" s="7657" t="s">
        <v>3344</v>
      </c>
      <c r="J353" s="0" t="s">
        <v>2601</v>
      </c>
      <c r="K353" s="0" t="s">
        <v>3330</v>
      </c>
      <c r="L353" s="0" t="s">
        <v>3331</v>
      </c>
      <c r="M353" s="0" t="s">
        <v>3332</v>
      </c>
      <c r="N353" s="0" t="s">
        <v>403</v>
      </c>
    </row>
    <row customHeight="1" ht="11.25">
      <c r="A354" s="7657" t="s">
        <v>2195</v>
      </c>
      <c r="B354" s="7657" t="s">
        <v>14</v>
      </c>
      <c r="C354" s="7657" t="s">
        <v>2596</v>
      </c>
      <c r="D354" s="7657" t="s">
        <v>2597</v>
      </c>
      <c r="E354" s="7657" t="s">
        <v>2598</v>
      </c>
      <c r="F354" s="7657" t="s">
        <v>2599</v>
      </c>
      <c r="G354" s="7657" t="s">
        <v>2600</v>
      </c>
      <c r="H354" s="7657" t="s">
        <v>17</v>
      </c>
      <c r="I354" s="7657" t="s">
        <v>2602</v>
      </c>
      <c r="J354" s="0" t="s">
        <v>2601</v>
      </c>
      <c r="K354" s="0" t="s">
        <v>3338</v>
      </c>
      <c r="L354" s="0" t="s">
        <v>1077</v>
      </c>
      <c r="M354" s="0" t="s">
        <v>3345</v>
      </c>
      <c r="N354" s="0" t="s">
        <v>403</v>
      </c>
    </row>
    <row customHeight="1" ht="11.25">
      <c r="A355" s="7657" t="s">
        <v>2195</v>
      </c>
      <c r="B355" s="7657" t="s">
        <v>14</v>
      </c>
      <c r="C355" s="7657" t="s">
        <v>2608</v>
      </c>
      <c r="D355" s="7657" t="s">
        <v>2609</v>
      </c>
      <c r="E355" s="7657" t="s">
        <v>2610</v>
      </c>
      <c r="F355" s="7657" t="s">
        <v>2388</v>
      </c>
      <c r="G355" s="7657" t="s">
        <v>2611</v>
      </c>
      <c r="H355" s="7657" t="s">
        <v>17</v>
      </c>
      <c r="I355" s="7657" t="s">
        <v>2612</v>
      </c>
      <c r="J355" s="0" t="s">
        <v>17</v>
      </c>
      <c r="K355" s="0" t="s">
        <v>3330</v>
      </c>
      <c r="L355" s="0" t="s">
        <v>3331</v>
      </c>
      <c r="M355" s="0" t="s">
        <v>3332</v>
      </c>
      <c r="N355" s="0" t="s">
        <v>403</v>
      </c>
    </row>
    <row customHeight="1" ht="11.25">
      <c r="A356" s="7657" t="s">
        <v>2195</v>
      </c>
      <c r="B356" s="7657" t="s">
        <v>14</v>
      </c>
      <c r="C356" s="7657" t="s">
        <v>2613</v>
      </c>
      <c r="D356" s="7657" t="s">
        <v>2614</v>
      </c>
      <c r="E356" s="7657" t="s">
        <v>2615</v>
      </c>
      <c r="F356" s="7657" t="s">
        <v>2489</v>
      </c>
      <c r="G356" s="7657" t="s">
        <v>17</v>
      </c>
      <c r="H356" s="7657" t="s">
        <v>17</v>
      </c>
      <c r="I356" s="7657" t="s">
        <v>2340</v>
      </c>
      <c r="J356" s="0" t="s">
        <v>17</v>
      </c>
      <c r="K356" s="0" t="s">
        <v>3330</v>
      </c>
      <c r="L356" s="0" t="s">
        <v>3331</v>
      </c>
      <c r="M356" s="0" t="s">
        <v>3332</v>
      </c>
      <c r="N356" s="0" t="s">
        <v>403</v>
      </c>
    </row>
    <row customHeight="1" ht="11.25">
      <c r="A357" s="7657" t="s">
        <v>2195</v>
      </c>
      <c r="B357" s="7657" t="s">
        <v>14</v>
      </c>
      <c r="C357" s="7657" t="s">
        <v>2626</v>
      </c>
      <c r="D357" s="7657" t="s">
        <v>2627</v>
      </c>
      <c r="E357" s="7657" t="s">
        <v>2628</v>
      </c>
      <c r="F357" s="7657" t="s">
        <v>2629</v>
      </c>
      <c r="G357" s="7657" t="s">
        <v>2630</v>
      </c>
      <c r="H357" s="7657" t="s">
        <v>17</v>
      </c>
      <c r="I357" s="7657" t="s">
        <v>2630</v>
      </c>
      <c r="J357" s="0" t="s">
        <v>17</v>
      </c>
      <c r="K357" s="0" t="s">
        <v>3330</v>
      </c>
      <c r="L357" s="0" t="s">
        <v>3331</v>
      </c>
      <c r="M357" s="0" t="s">
        <v>3332</v>
      </c>
      <c r="N357" s="0" t="s">
        <v>403</v>
      </c>
    </row>
    <row customHeight="1" ht="11.25">
      <c r="A358" s="7657" t="s">
        <v>2195</v>
      </c>
      <c r="B358" s="7657" t="s">
        <v>14</v>
      </c>
      <c r="C358" s="7657" t="s">
        <v>2635</v>
      </c>
      <c r="D358" s="7657" t="s">
        <v>2636</v>
      </c>
      <c r="E358" s="7657" t="s">
        <v>2637</v>
      </c>
      <c r="F358" s="7657" t="s">
        <v>2212</v>
      </c>
      <c r="G358" s="7657" t="s">
        <v>17</v>
      </c>
      <c r="H358" s="7657" t="s">
        <v>17</v>
      </c>
      <c r="I358" s="7657" t="s">
        <v>2638</v>
      </c>
      <c r="J358" s="0" t="s">
        <v>17</v>
      </c>
      <c r="K358" s="0" t="s">
        <v>3330</v>
      </c>
      <c r="L358" s="0" t="s">
        <v>3331</v>
      </c>
      <c r="M358" s="0" t="s">
        <v>3332</v>
      </c>
      <c r="N358" s="0" t="s">
        <v>403</v>
      </c>
    </row>
    <row customHeight="1" ht="11.25">
      <c r="A359" s="7657" t="s">
        <v>2195</v>
      </c>
      <c r="B359" s="7657" t="s">
        <v>14</v>
      </c>
      <c r="C359" s="7657" t="s">
        <v>2639</v>
      </c>
      <c r="D359" s="7657" t="s">
        <v>2640</v>
      </c>
      <c r="E359" s="7657" t="s">
        <v>2641</v>
      </c>
      <c r="F359" s="7657" t="s">
        <v>2483</v>
      </c>
      <c r="G359" s="7657" t="s">
        <v>2642</v>
      </c>
      <c r="H359" s="7657" t="s">
        <v>17</v>
      </c>
      <c r="I359" s="7657" t="s">
        <v>2643</v>
      </c>
      <c r="J359" s="0" t="s">
        <v>2644</v>
      </c>
      <c r="K359" s="0" t="s">
        <v>3330</v>
      </c>
      <c r="L359" s="0" t="s">
        <v>3331</v>
      </c>
      <c r="M359" s="0" t="s">
        <v>3332</v>
      </c>
      <c r="N359" s="0" t="s">
        <v>403</v>
      </c>
    </row>
    <row customHeight="1" ht="11.25">
      <c r="A360" s="7657" t="s">
        <v>2195</v>
      </c>
      <c r="B360" s="7657" t="s">
        <v>14</v>
      </c>
      <c r="C360" s="7657" t="s">
        <v>2639</v>
      </c>
      <c r="D360" s="7657" t="s">
        <v>2640</v>
      </c>
      <c r="E360" s="7657" t="s">
        <v>2641</v>
      </c>
      <c r="F360" s="7657" t="s">
        <v>2483</v>
      </c>
      <c r="G360" s="7657" t="s">
        <v>2642</v>
      </c>
      <c r="H360" s="7657" t="s">
        <v>17</v>
      </c>
      <c r="I360" s="7657" t="s">
        <v>2645</v>
      </c>
      <c r="J360" s="0" t="s">
        <v>17</v>
      </c>
      <c r="K360" s="0" t="s">
        <v>3330</v>
      </c>
      <c r="L360" s="0" t="s">
        <v>3331</v>
      </c>
      <c r="M360" s="0" t="s">
        <v>3332</v>
      </c>
      <c r="N360" s="0" t="s">
        <v>403</v>
      </c>
    </row>
    <row customHeight="1" ht="11.25">
      <c r="A361" s="7657" t="s">
        <v>2195</v>
      </c>
      <c r="B361" s="7657" t="s">
        <v>14</v>
      </c>
      <c r="C361" s="7657" t="s">
        <v>2646</v>
      </c>
      <c r="D361" s="7657" t="s">
        <v>2647</v>
      </c>
      <c r="E361" s="7657" t="s">
        <v>2648</v>
      </c>
      <c r="F361" s="7657" t="s">
        <v>2649</v>
      </c>
      <c r="G361" s="7657" t="s">
        <v>2650</v>
      </c>
      <c r="H361" s="7657" t="s">
        <v>17</v>
      </c>
      <c r="I361" s="7657" t="s">
        <v>2223</v>
      </c>
      <c r="J361" s="0" t="s">
        <v>17</v>
      </c>
      <c r="K361" s="0" t="s">
        <v>3330</v>
      </c>
      <c r="L361" s="0" t="s">
        <v>3331</v>
      </c>
      <c r="M361" s="0" t="s">
        <v>3332</v>
      </c>
      <c r="N361" s="0" t="s">
        <v>403</v>
      </c>
    </row>
    <row customHeight="1" ht="11.25">
      <c r="A362" s="7657" t="s">
        <v>2195</v>
      </c>
      <c r="B362" s="7657" t="s">
        <v>14</v>
      </c>
      <c r="C362" s="7657" t="s">
        <v>2655</v>
      </c>
      <c r="D362" s="7657" t="s">
        <v>2656</v>
      </c>
      <c r="E362" s="7657" t="s">
        <v>2657</v>
      </c>
      <c r="F362" s="7657" t="s">
        <v>2658</v>
      </c>
      <c r="G362" s="7657" t="s">
        <v>17</v>
      </c>
      <c r="H362" s="7657" t="s">
        <v>17</v>
      </c>
      <c r="I362" s="7657" t="s">
        <v>2659</v>
      </c>
      <c r="J362" s="0" t="s">
        <v>17</v>
      </c>
      <c r="K362" s="0" t="s">
        <v>3330</v>
      </c>
      <c r="L362" s="0" t="s">
        <v>3331</v>
      </c>
      <c r="M362" s="0" t="s">
        <v>3332</v>
      </c>
      <c r="N362" s="0" t="s">
        <v>403</v>
      </c>
    </row>
    <row customHeight="1" ht="11.25">
      <c r="A363" s="7657" t="s">
        <v>2195</v>
      </c>
      <c r="B363" s="7657" t="s">
        <v>14</v>
      </c>
      <c r="C363" s="7657" t="s">
        <v>2665</v>
      </c>
      <c r="D363" s="7657" t="s">
        <v>2666</v>
      </c>
      <c r="E363" s="7657" t="s">
        <v>2667</v>
      </c>
      <c r="F363" s="7657" t="s">
        <v>2575</v>
      </c>
      <c r="G363" s="7657" t="s">
        <v>2668</v>
      </c>
      <c r="H363" s="7657" t="s">
        <v>17</v>
      </c>
      <c r="I363" s="7657" t="s">
        <v>2668</v>
      </c>
      <c r="J363" s="0" t="s">
        <v>17</v>
      </c>
      <c r="K363" s="0" t="s">
        <v>3330</v>
      </c>
      <c r="L363" s="0" t="s">
        <v>3331</v>
      </c>
      <c r="M363" s="0" t="s">
        <v>3332</v>
      </c>
      <c r="N363" s="0" t="s">
        <v>403</v>
      </c>
    </row>
    <row customHeight="1" ht="11.25">
      <c r="A364" s="7657" t="s">
        <v>2195</v>
      </c>
      <c r="B364" s="7657" t="s">
        <v>14</v>
      </c>
      <c r="C364" s="7657" t="s">
        <v>2673</v>
      </c>
      <c r="D364" s="7657" t="s">
        <v>2674</v>
      </c>
      <c r="E364" s="7657" t="s">
        <v>2675</v>
      </c>
      <c r="F364" s="7657" t="s">
        <v>2513</v>
      </c>
      <c r="G364" s="7657" t="s">
        <v>17</v>
      </c>
      <c r="H364" s="7657" t="s">
        <v>17</v>
      </c>
      <c r="I364" s="7657" t="s">
        <v>2223</v>
      </c>
      <c r="J364" s="0" t="s">
        <v>17</v>
      </c>
      <c r="K364" s="0" t="s">
        <v>3330</v>
      </c>
      <c r="L364" s="0" t="s">
        <v>3331</v>
      </c>
      <c r="M364" s="0" t="s">
        <v>3332</v>
      </c>
      <c r="N364" s="0" t="s">
        <v>403</v>
      </c>
    </row>
    <row customHeight="1" ht="11.25">
      <c r="A365" s="7657" t="s">
        <v>2195</v>
      </c>
      <c r="B365" s="7657" t="s">
        <v>14</v>
      </c>
      <c r="C365" s="7657" t="s">
        <v>2681</v>
      </c>
      <c r="D365" s="7657" t="s">
        <v>2682</v>
      </c>
      <c r="E365" s="7657" t="s">
        <v>2683</v>
      </c>
      <c r="F365" s="7657" t="s">
        <v>2206</v>
      </c>
      <c r="G365" s="7657" t="s">
        <v>17</v>
      </c>
      <c r="H365" s="7657" t="s">
        <v>17</v>
      </c>
      <c r="I365" s="7657" t="s">
        <v>2208</v>
      </c>
      <c r="J365" s="0" t="s">
        <v>17</v>
      </c>
      <c r="K365" s="0" t="s">
        <v>3330</v>
      </c>
      <c r="L365" s="0" t="s">
        <v>3331</v>
      </c>
      <c r="M365" s="0" t="s">
        <v>3332</v>
      </c>
      <c r="N365" s="0" t="s">
        <v>403</v>
      </c>
    </row>
    <row customHeight="1" ht="11.25">
      <c r="A366" s="7657" t="s">
        <v>2195</v>
      </c>
      <c r="B366" s="7657" t="s">
        <v>14</v>
      </c>
      <c r="C366" s="7657" t="s">
        <v>2721</v>
      </c>
      <c r="D366" s="7657" t="s">
        <v>2722</v>
      </c>
      <c r="E366" s="7657" t="s">
        <v>2723</v>
      </c>
      <c r="F366" s="7657" t="s">
        <v>2483</v>
      </c>
      <c r="G366" s="7657" t="s">
        <v>2724</v>
      </c>
      <c r="H366" s="7657" t="s">
        <v>17</v>
      </c>
      <c r="I366" s="7657" t="s">
        <v>3346</v>
      </c>
      <c r="J366" s="0" t="s">
        <v>2725</v>
      </c>
      <c r="K366" s="0" t="s">
        <v>3330</v>
      </c>
      <c r="L366" s="0" t="s">
        <v>3331</v>
      </c>
      <c r="M366" s="0" t="s">
        <v>3332</v>
      </c>
      <c r="N366" s="0" t="s">
        <v>403</v>
      </c>
    </row>
    <row customHeight="1" ht="11.25">
      <c r="A367" s="7657" t="s">
        <v>2195</v>
      </c>
      <c r="B367" s="7657" t="s">
        <v>14</v>
      </c>
      <c r="C367" s="7657" t="s">
        <v>2721</v>
      </c>
      <c r="D367" s="7657" t="s">
        <v>2722</v>
      </c>
      <c r="E367" s="7657" t="s">
        <v>2723</v>
      </c>
      <c r="F367" s="7657" t="s">
        <v>2483</v>
      </c>
      <c r="G367" s="7657" t="s">
        <v>2724</v>
      </c>
      <c r="H367" s="7657" t="s">
        <v>17</v>
      </c>
      <c r="I367" s="7657" t="s">
        <v>2724</v>
      </c>
      <c r="J367" s="0" t="s">
        <v>17</v>
      </c>
      <c r="K367" s="0" t="s">
        <v>3330</v>
      </c>
      <c r="L367" s="0" t="s">
        <v>3331</v>
      </c>
      <c r="M367" s="0" t="s">
        <v>3332</v>
      </c>
      <c r="N367" s="0" t="s">
        <v>403</v>
      </c>
    </row>
    <row customHeight="1" ht="11.25">
      <c r="A368" s="7657" t="s">
        <v>2195</v>
      </c>
      <c r="B368" s="7657" t="s">
        <v>14</v>
      </c>
      <c r="C368" s="7657" t="s">
        <v>2726</v>
      </c>
      <c r="D368" s="7657" t="s">
        <v>2727</v>
      </c>
      <c r="E368" s="7657" t="s">
        <v>2728</v>
      </c>
      <c r="F368" s="7657" t="s">
        <v>2222</v>
      </c>
      <c r="G368" s="7657" t="s">
        <v>17</v>
      </c>
      <c r="H368" s="7657" t="s">
        <v>17</v>
      </c>
      <c r="I368" s="7657" t="s">
        <v>2534</v>
      </c>
      <c r="J368" s="0" t="s">
        <v>17</v>
      </c>
      <c r="K368" s="0" t="s">
        <v>3330</v>
      </c>
      <c r="L368" s="0" t="s">
        <v>3331</v>
      </c>
      <c r="M368" s="0" t="s">
        <v>3332</v>
      </c>
      <c r="N368" s="0" t="s">
        <v>403</v>
      </c>
    </row>
    <row customHeight="1" ht="11.25">
      <c r="A369" s="7657" t="s">
        <v>2195</v>
      </c>
      <c r="B369" s="7657" t="s">
        <v>14</v>
      </c>
      <c r="C369" s="7657" t="s">
        <v>2729</v>
      </c>
      <c r="D369" s="7657" t="s">
        <v>2730</v>
      </c>
      <c r="E369" s="7657" t="s">
        <v>2731</v>
      </c>
      <c r="F369" s="7657" t="s">
        <v>2244</v>
      </c>
      <c r="G369" s="7657" t="s">
        <v>2732</v>
      </c>
      <c r="H369" s="7657" t="s">
        <v>17</v>
      </c>
      <c r="I369" s="7657" t="s">
        <v>2733</v>
      </c>
      <c r="J369" s="0" t="s">
        <v>17</v>
      </c>
      <c r="K369" s="0" t="s">
        <v>3330</v>
      </c>
      <c r="L369" s="0" t="s">
        <v>3347</v>
      </c>
      <c r="M369" s="0" t="s">
        <v>3348</v>
      </c>
      <c r="N369" s="0" t="s">
        <v>403</v>
      </c>
    </row>
    <row customHeight="1" ht="11.25">
      <c r="A370" s="7657" t="s">
        <v>2195</v>
      </c>
      <c r="B370" s="7657" t="s">
        <v>14</v>
      </c>
      <c r="C370" s="7657" t="s">
        <v>2748</v>
      </c>
      <c r="D370" s="7657" t="s">
        <v>2749</v>
      </c>
      <c r="E370" s="7657" t="s">
        <v>2750</v>
      </c>
      <c r="F370" s="7657" t="s">
        <v>2254</v>
      </c>
      <c r="G370" s="7657" t="s">
        <v>2751</v>
      </c>
      <c r="H370" s="7657" t="s">
        <v>17</v>
      </c>
      <c r="I370" s="7657" t="s">
        <v>2752</v>
      </c>
      <c r="J370" s="0" t="s">
        <v>17</v>
      </c>
      <c r="K370" s="0" t="s">
        <v>3330</v>
      </c>
      <c r="L370" s="0" t="s">
        <v>3331</v>
      </c>
      <c r="M370" s="0" t="s">
        <v>3332</v>
      </c>
      <c r="N370" s="0" t="s">
        <v>403</v>
      </c>
    </row>
    <row customHeight="1" ht="11.25">
      <c r="A371" s="7657" t="s">
        <v>2195</v>
      </c>
      <c r="B371" s="7657" t="s">
        <v>14</v>
      </c>
      <c r="C371" s="7657" t="s">
        <v>2755</v>
      </c>
      <c r="D371" s="7657" t="s">
        <v>2756</v>
      </c>
      <c r="E371" s="7657" t="s">
        <v>2757</v>
      </c>
      <c r="F371" s="7657" t="s">
        <v>2378</v>
      </c>
      <c r="G371" s="7657" t="s">
        <v>17</v>
      </c>
      <c r="H371" s="7657" t="s">
        <v>17</v>
      </c>
      <c r="I371" s="7657" t="s">
        <v>2228</v>
      </c>
      <c r="J371" s="0" t="s">
        <v>17</v>
      </c>
      <c r="K371" s="0" t="s">
        <v>3330</v>
      </c>
      <c r="L371" s="0" t="s">
        <v>3331</v>
      </c>
      <c r="M371" s="0" t="s">
        <v>3332</v>
      </c>
      <c r="N371" s="0" t="s">
        <v>403</v>
      </c>
    </row>
    <row customHeight="1" ht="11.25">
      <c r="A372" s="7657" t="s">
        <v>2195</v>
      </c>
      <c r="B372" s="7657" t="s">
        <v>14</v>
      </c>
      <c r="C372" s="7657" t="s">
        <v>2755</v>
      </c>
      <c r="D372" s="7657" t="s">
        <v>2756</v>
      </c>
      <c r="E372" s="7657" t="s">
        <v>2757</v>
      </c>
      <c r="F372" s="7657" t="s">
        <v>2378</v>
      </c>
      <c r="G372" s="7657" t="s">
        <v>17</v>
      </c>
      <c r="H372" s="7657" t="s">
        <v>17</v>
      </c>
      <c r="I372" s="7657" t="s">
        <v>2390</v>
      </c>
      <c r="J372" s="0" t="s">
        <v>17</v>
      </c>
      <c r="K372" s="0" t="s">
        <v>3330</v>
      </c>
      <c r="L372" s="0" t="s">
        <v>3331</v>
      </c>
      <c r="M372" s="0" t="s">
        <v>3332</v>
      </c>
      <c r="N372" s="0" t="s">
        <v>403</v>
      </c>
    </row>
    <row customHeight="1" ht="11.25">
      <c r="A373" s="7657" t="s">
        <v>2195</v>
      </c>
      <c r="B373" s="7657" t="s">
        <v>14</v>
      </c>
      <c r="C373" s="7657" t="s">
        <v>2766</v>
      </c>
      <c r="D373" s="7657" t="s">
        <v>2767</v>
      </c>
      <c r="E373" s="7657" t="s">
        <v>2466</v>
      </c>
      <c r="F373" s="7657" t="s">
        <v>2768</v>
      </c>
      <c r="G373" s="7657" t="s">
        <v>17</v>
      </c>
      <c r="H373" s="7657" t="s">
        <v>17</v>
      </c>
      <c r="I373" s="7657" t="s">
        <v>3349</v>
      </c>
      <c r="J373" s="0" t="s">
        <v>17</v>
      </c>
      <c r="K373" s="0" t="s">
        <v>3330</v>
      </c>
      <c r="L373" s="0" t="s">
        <v>3331</v>
      </c>
      <c r="M373" s="0" t="s">
        <v>3332</v>
      </c>
      <c r="N373" s="0" t="s">
        <v>403</v>
      </c>
    </row>
    <row customHeight="1" ht="11.25">
      <c r="A374" s="7657" t="s">
        <v>2195</v>
      </c>
      <c r="B374" s="7657" t="s">
        <v>14</v>
      </c>
      <c r="C374" s="7657" t="s">
        <v>2778</v>
      </c>
      <c r="D374" s="7657" t="s">
        <v>2779</v>
      </c>
      <c r="E374" s="7657" t="s">
        <v>2780</v>
      </c>
      <c r="F374" s="7657" t="s">
        <v>2267</v>
      </c>
      <c r="G374" s="7657" t="s">
        <v>2781</v>
      </c>
      <c r="H374" s="7657" t="s">
        <v>17</v>
      </c>
      <c r="I374" s="7657" t="s">
        <v>2782</v>
      </c>
      <c r="J374" s="0" t="s">
        <v>2783</v>
      </c>
      <c r="K374" s="0" t="s">
        <v>3330</v>
      </c>
      <c r="L374" s="0" t="s">
        <v>3331</v>
      </c>
      <c r="M374" s="0" t="s">
        <v>3332</v>
      </c>
      <c r="N374" s="0" t="s">
        <v>403</v>
      </c>
    </row>
    <row customHeight="1" ht="11.25">
      <c r="A375" s="7657" t="s">
        <v>2195</v>
      </c>
      <c r="B375" s="7657" t="s">
        <v>14</v>
      </c>
      <c r="C375" s="7657" t="s">
        <v>2778</v>
      </c>
      <c r="D375" s="7657" t="s">
        <v>2779</v>
      </c>
      <c r="E375" s="7657" t="s">
        <v>2780</v>
      </c>
      <c r="F375" s="7657" t="s">
        <v>2267</v>
      </c>
      <c r="G375" s="7657" t="s">
        <v>2781</v>
      </c>
      <c r="H375" s="7657" t="s">
        <v>17</v>
      </c>
      <c r="I375" s="7657" t="s">
        <v>2784</v>
      </c>
      <c r="J375" s="0" t="s">
        <v>17</v>
      </c>
      <c r="K375" s="0" t="s">
        <v>3330</v>
      </c>
      <c r="L375" s="0" t="s">
        <v>3331</v>
      </c>
      <c r="M375" s="0" t="s">
        <v>3332</v>
      </c>
      <c r="N375" s="0" t="s">
        <v>403</v>
      </c>
    </row>
    <row customHeight="1" ht="11.25">
      <c r="A376" s="7657" t="s">
        <v>2195</v>
      </c>
      <c r="B376" s="7657" t="s">
        <v>14</v>
      </c>
      <c r="C376" s="7657" t="s">
        <v>2785</v>
      </c>
      <c r="D376" s="7657" t="s">
        <v>2786</v>
      </c>
      <c r="E376" s="7657" t="s">
        <v>2787</v>
      </c>
      <c r="F376" s="7657" t="s">
        <v>2254</v>
      </c>
      <c r="G376" s="7657" t="s">
        <v>2788</v>
      </c>
      <c r="H376" s="7657" t="s">
        <v>17</v>
      </c>
      <c r="I376" s="7657" t="s">
        <v>3350</v>
      </c>
      <c r="J376" s="0" t="s">
        <v>17</v>
      </c>
      <c r="K376" s="0" t="s">
        <v>3330</v>
      </c>
      <c r="L376" s="0" t="s">
        <v>3347</v>
      </c>
      <c r="M376" s="0" t="s">
        <v>3348</v>
      </c>
      <c r="N376" s="0" t="s">
        <v>403</v>
      </c>
    </row>
    <row customHeight="1" ht="11.25">
      <c r="A377" s="7657" t="s">
        <v>2195</v>
      </c>
      <c r="B377" s="7657" t="s">
        <v>14</v>
      </c>
      <c r="C377" s="7657" t="s">
        <v>2809</v>
      </c>
      <c r="D377" s="7657" t="s">
        <v>2810</v>
      </c>
      <c r="E377" s="7657" t="s">
        <v>2811</v>
      </c>
      <c r="F377" s="7657" t="s">
        <v>2199</v>
      </c>
      <c r="G377" s="7657" t="s">
        <v>2812</v>
      </c>
      <c r="H377" s="7657" t="s">
        <v>17</v>
      </c>
      <c r="I377" s="7657" t="s">
        <v>3351</v>
      </c>
      <c r="J377" s="0" t="s">
        <v>17</v>
      </c>
      <c r="K377" s="0" t="s">
        <v>3330</v>
      </c>
      <c r="L377" s="0" t="s">
        <v>3331</v>
      </c>
      <c r="M377" s="0" t="s">
        <v>3332</v>
      </c>
      <c r="N377" s="0" t="s">
        <v>403</v>
      </c>
    </row>
    <row customHeight="1" ht="11.25">
      <c r="A378" s="7657" t="s">
        <v>2195</v>
      </c>
      <c r="B378" s="7657" t="s">
        <v>14</v>
      </c>
      <c r="C378" s="7657" t="s">
        <v>2814</v>
      </c>
      <c r="D378" s="7657" t="s">
        <v>2815</v>
      </c>
      <c r="E378" s="7657" t="s">
        <v>2816</v>
      </c>
      <c r="F378" s="7657" t="s">
        <v>2239</v>
      </c>
      <c r="G378" s="7657" t="s">
        <v>2570</v>
      </c>
      <c r="H378" s="7657" t="s">
        <v>17</v>
      </c>
      <c r="I378" s="7657" t="s">
        <v>2313</v>
      </c>
      <c r="J378" s="0" t="s">
        <v>17</v>
      </c>
      <c r="K378" s="0" t="s">
        <v>3330</v>
      </c>
      <c r="L378" s="0" t="s">
        <v>3331</v>
      </c>
      <c r="M378" s="0" t="s">
        <v>3332</v>
      </c>
      <c r="N378" s="0" t="s">
        <v>403</v>
      </c>
    </row>
    <row customHeight="1" ht="11.25">
      <c r="A379" s="7657" t="s">
        <v>2195</v>
      </c>
      <c r="B379" s="7657" t="s">
        <v>14</v>
      </c>
      <c r="C379" s="7657" t="s">
        <v>2817</v>
      </c>
      <c r="D379" s="7657" t="s">
        <v>2818</v>
      </c>
      <c r="E379" s="7657" t="s">
        <v>2819</v>
      </c>
      <c r="F379" s="7657" t="s">
        <v>2239</v>
      </c>
      <c r="G379" s="7657" t="s">
        <v>17</v>
      </c>
      <c r="H379" s="7657" t="s">
        <v>17</v>
      </c>
      <c r="I379" s="7657" t="s">
        <v>2820</v>
      </c>
      <c r="J379" s="0" t="s">
        <v>2821</v>
      </c>
      <c r="K379" s="0" t="s">
        <v>3330</v>
      </c>
      <c r="L379" s="0" t="s">
        <v>3331</v>
      </c>
      <c r="M379" s="0" t="s">
        <v>3332</v>
      </c>
      <c r="N379" s="0" t="s">
        <v>403</v>
      </c>
    </row>
    <row customHeight="1" ht="11.25">
      <c r="A380" s="7657" t="s">
        <v>2195</v>
      </c>
      <c r="B380" s="7657" t="s">
        <v>14</v>
      </c>
      <c r="C380" s="7657" t="s">
        <v>2817</v>
      </c>
      <c r="D380" s="7657" t="s">
        <v>2818</v>
      </c>
      <c r="E380" s="7657" t="s">
        <v>2819</v>
      </c>
      <c r="F380" s="7657" t="s">
        <v>2239</v>
      </c>
      <c r="G380" s="7657" t="s">
        <v>17</v>
      </c>
      <c r="H380" s="7657" t="s">
        <v>17</v>
      </c>
      <c r="I380" s="7657" t="s">
        <v>2822</v>
      </c>
      <c r="J380" s="0" t="s">
        <v>17</v>
      </c>
      <c r="K380" s="0" t="s">
        <v>3330</v>
      </c>
      <c r="L380" s="0" t="s">
        <v>3331</v>
      </c>
      <c r="M380" s="0" t="s">
        <v>3332</v>
      </c>
      <c r="N380" s="0" t="s">
        <v>403</v>
      </c>
    </row>
    <row customHeight="1" ht="11.25">
      <c r="A381" s="7657" t="s">
        <v>2195</v>
      </c>
      <c r="B381" s="7657" t="s">
        <v>14</v>
      </c>
      <c r="C381" s="7657" t="s">
        <v>2831</v>
      </c>
      <c r="D381" s="7657" t="s">
        <v>2832</v>
      </c>
      <c r="E381" s="7657" t="s">
        <v>2833</v>
      </c>
      <c r="F381" s="7657" t="s">
        <v>2239</v>
      </c>
      <c r="G381" s="7657" t="s">
        <v>2834</v>
      </c>
      <c r="H381" s="7657" t="s">
        <v>17</v>
      </c>
      <c r="I381" s="7657" t="s">
        <v>2240</v>
      </c>
      <c r="J381" s="0" t="s">
        <v>17</v>
      </c>
      <c r="K381" s="0" t="s">
        <v>3330</v>
      </c>
      <c r="L381" s="0" t="s">
        <v>3331</v>
      </c>
      <c r="M381" s="0" t="s">
        <v>3332</v>
      </c>
      <c r="N381" s="0" t="s">
        <v>403</v>
      </c>
    </row>
    <row customHeight="1" ht="11.25">
      <c r="A382" s="7657" t="s">
        <v>2195</v>
      </c>
      <c r="B382" s="7657" t="s">
        <v>14</v>
      </c>
      <c r="C382" s="7657" t="s">
        <v>2835</v>
      </c>
      <c r="D382" s="7657" t="s">
        <v>2836</v>
      </c>
      <c r="E382" s="7657" t="s">
        <v>2837</v>
      </c>
      <c r="F382" s="7657" t="s">
        <v>2542</v>
      </c>
      <c r="G382" s="7657" t="s">
        <v>17</v>
      </c>
      <c r="H382" s="7657" t="s">
        <v>17</v>
      </c>
      <c r="I382" s="7657" t="s">
        <v>2688</v>
      </c>
      <c r="J382" s="0" t="s">
        <v>17</v>
      </c>
      <c r="K382" s="0" t="s">
        <v>3330</v>
      </c>
      <c r="L382" s="0" t="s">
        <v>3336</v>
      </c>
      <c r="M382" s="0" t="s">
        <v>3337</v>
      </c>
      <c r="N382" s="0" t="s">
        <v>403</v>
      </c>
    </row>
    <row customHeight="1" ht="11.25">
      <c r="A383" s="7657" t="s">
        <v>2195</v>
      </c>
      <c r="B383" s="7657" t="s">
        <v>14</v>
      </c>
      <c r="C383" s="7657" t="s">
        <v>2835</v>
      </c>
      <c r="D383" s="7657" t="s">
        <v>2836</v>
      </c>
      <c r="E383" s="7657" t="s">
        <v>2837</v>
      </c>
      <c r="F383" s="7657" t="s">
        <v>2542</v>
      </c>
      <c r="G383" s="7657" t="s">
        <v>17</v>
      </c>
      <c r="H383" s="7657" t="s">
        <v>17</v>
      </c>
      <c r="I383" s="7657" t="s">
        <v>2688</v>
      </c>
      <c r="J383" s="0" t="s">
        <v>17</v>
      </c>
      <c r="K383" s="0" t="s">
        <v>3330</v>
      </c>
      <c r="L383" s="0" t="s">
        <v>3331</v>
      </c>
      <c r="M383" s="0" t="s">
        <v>3332</v>
      </c>
      <c r="N383" s="0" t="s">
        <v>403</v>
      </c>
    </row>
    <row customHeight="1" ht="11.25">
      <c r="A384" s="7657" t="s">
        <v>2195</v>
      </c>
      <c r="B384" s="7657" t="s">
        <v>14</v>
      </c>
      <c r="C384" s="7657" t="s">
        <v>2859</v>
      </c>
      <c r="D384" s="7657" t="s">
        <v>2860</v>
      </c>
      <c r="E384" s="7657" t="s">
        <v>2861</v>
      </c>
      <c r="F384" s="7657" t="s">
        <v>2856</v>
      </c>
      <c r="G384" s="7657" t="s">
        <v>2862</v>
      </c>
      <c r="H384" s="7657" t="s">
        <v>17</v>
      </c>
      <c r="I384" s="7657" t="s">
        <v>2340</v>
      </c>
      <c r="J384" s="0" t="s">
        <v>17</v>
      </c>
      <c r="K384" s="0" t="s">
        <v>3338</v>
      </c>
      <c r="L384" s="0" t="s">
        <v>3339</v>
      </c>
      <c r="M384" s="0" t="s">
        <v>3340</v>
      </c>
      <c r="N384" s="0" t="s">
        <v>403</v>
      </c>
    </row>
    <row customHeight="1" ht="11.25">
      <c r="A385" s="7657" t="s">
        <v>2195</v>
      </c>
      <c r="B385" s="7657" t="s">
        <v>14</v>
      </c>
      <c r="C385" s="7657" t="s">
        <v>2859</v>
      </c>
      <c r="D385" s="7657" t="s">
        <v>2860</v>
      </c>
      <c r="E385" s="7657" t="s">
        <v>2861</v>
      </c>
      <c r="F385" s="7657" t="s">
        <v>2856</v>
      </c>
      <c r="G385" s="7657" t="s">
        <v>2862</v>
      </c>
      <c r="H385" s="7657" t="s">
        <v>17</v>
      </c>
      <c r="I385" s="7657" t="s">
        <v>2753</v>
      </c>
      <c r="J385" s="0" t="s">
        <v>17</v>
      </c>
      <c r="K385" s="0" t="s">
        <v>3330</v>
      </c>
      <c r="L385" s="0" t="s">
        <v>3336</v>
      </c>
      <c r="M385" s="0" t="s">
        <v>3337</v>
      </c>
      <c r="N385" s="0" t="s">
        <v>403</v>
      </c>
    </row>
    <row customHeight="1" ht="11.25">
      <c r="A386" s="7657" t="s">
        <v>2195</v>
      </c>
      <c r="B386" s="7657" t="s">
        <v>14</v>
      </c>
      <c r="C386" s="7657" t="s">
        <v>2863</v>
      </c>
      <c r="D386" s="7657" t="s">
        <v>2864</v>
      </c>
      <c r="E386" s="7657" t="s">
        <v>2865</v>
      </c>
      <c r="F386" s="7657" t="s">
        <v>2866</v>
      </c>
      <c r="G386" s="7657" t="s">
        <v>2867</v>
      </c>
      <c r="H386" s="7657" t="s">
        <v>17</v>
      </c>
      <c r="I386" s="7657" t="s">
        <v>2868</v>
      </c>
      <c r="J386" s="0" t="s">
        <v>17</v>
      </c>
      <c r="K386" s="0" t="s">
        <v>3330</v>
      </c>
      <c r="L386" s="0" t="s">
        <v>3331</v>
      </c>
      <c r="M386" s="0" t="s">
        <v>3332</v>
      </c>
      <c r="N386" s="0" t="s">
        <v>403</v>
      </c>
    </row>
    <row customHeight="1" ht="11.25">
      <c r="A387" s="7657" t="s">
        <v>2195</v>
      </c>
      <c r="B387" s="7657" t="s">
        <v>14</v>
      </c>
      <c r="C387" s="7657" t="s">
        <v>2899</v>
      </c>
      <c r="D387" s="7657" t="s">
        <v>2900</v>
      </c>
      <c r="E387" s="7657" t="s">
        <v>2901</v>
      </c>
      <c r="F387" s="7657" t="s">
        <v>2227</v>
      </c>
      <c r="G387" s="7657" t="s">
        <v>2902</v>
      </c>
      <c r="H387" s="7657" t="s">
        <v>17</v>
      </c>
      <c r="I387" s="7657" t="s">
        <v>2903</v>
      </c>
      <c r="J387" s="0" t="s">
        <v>17</v>
      </c>
      <c r="K387" s="0" t="s">
        <v>3330</v>
      </c>
      <c r="L387" s="0" t="s">
        <v>3347</v>
      </c>
      <c r="M387" s="0" t="s">
        <v>3348</v>
      </c>
      <c r="N387" s="0" t="s">
        <v>403</v>
      </c>
    </row>
    <row customHeight="1" ht="11.25">
      <c r="A388" s="7657" t="s">
        <v>2195</v>
      </c>
      <c r="B388" s="7657" t="s">
        <v>14</v>
      </c>
      <c r="C388" s="7657" t="s">
        <v>2940</v>
      </c>
      <c r="D388" s="7657" t="s">
        <v>2941</v>
      </c>
      <c r="E388" s="7657" t="s">
        <v>2942</v>
      </c>
      <c r="F388" s="7657" t="s">
        <v>2943</v>
      </c>
      <c r="G388" s="7657" t="s">
        <v>2944</v>
      </c>
      <c r="H388" s="7657" t="s">
        <v>17</v>
      </c>
      <c r="I388" s="7657" t="s">
        <v>2945</v>
      </c>
      <c r="J388" s="0" t="s">
        <v>17</v>
      </c>
      <c r="K388" s="0" t="s">
        <v>3330</v>
      </c>
      <c r="L388" s="0" t="s">
        <v>3331</v>
      </c>
      <c r="M388" s="0" t="s">
        <v>3332</v>
      </c>
      <c r="N388" s="0" t="s">
        <v>403</v>
      </c>
    </row>
    <row customHeight="1" ht="11.25">
      <c r="A389" s="7657" t="s">
        <v>2195</v>
      </c>
      <c r="B389" s="7657" t="s">
        <v>14</v>
      </c>
      <c r="C389" s="7657" t="s">
        <v>2946</v>
      </c>
      <c r="D389" s="7657" t="s">
        <v>2947</v>
      </c>
      <c r="E389" s="7657" t="s">
        <v>2948</v>
      </c>
      <c r="F389" s="7657" t="s">
        <v>2239</v>
      </c>
      <c r="G389" s="7657" t="s">
        <v>2949</v>
      </c>
      <c r="H389" s="7657" t="s">
        <v>17</v>
      </c>
      <c r="I389" s="7657" t="s">
        <v>2949</v>
      </c>
      <c r="J389" s="0" t="s">
        <v>17</v>
      </c>
      <c r="K389" s="0" t="s">
        <v>3330</v>
      </c>
      <c r="L389" s="0" t="s">
        <v>3331</v>
      </c>
      <c r="M389" s="0" t="s">
        <v>3332</v>
      </c>
      <c r="N389" s="0" t="s">
        <v>403</v>
      </c>
    </row>
    <row customHeight="1" ht="11.25">
      <c r="A390" s="7657" t="s">
        <v>2195</v>
      </c>
      <c r="B390" s="7657" t="s">
        <v>14</v>
      </c>
      <c r="C390" s="7657" t="s">
        <v>2950</v>
      </c>
      <c r="D390" s="7657" t="s">
        <v>2951</v>
      </c>
      <c r="E390" s="7657" t="s">
        <v>2952</v>
      </c>
      <c r="F390" s="7657" t="s">
        <v>2599</v>
      </c>
      <c r="G390" s="7657" t="s">
        <v>2953</v>
      </c>
      <c r="H390" s="7657" t="s">
        <v>17</v>
      </c>
      <c r="I390" s="7657" t="s">
        <v>2820</v>
      </c>
      <c r="J390" s="0" t="s">
        <v>2954</v>
      </c>
      <c r="K390" s="0" t="s">
        <v>3330</v>
      </c>
      <c r="L390" s="0" t="s">
        <v>3331</v>
      </c>
      <c r="M390" s="0" t="s">
        <v>3332</v>
      </c>
      <c r="N390" s="0" t="s">
        <v>403</v>
      </c>
    </row>
    <row customHeight="1" ht="11.25">
      <c r="A391" s="7657" t="s">
        <v>2195</v>
      </c>
      <c r="B391" s="7657" t="s">
        <v>14</v>
      </c>
      <c r="C391" s="7657" t="s">
        <v>2950</v>
      </c>
      <c r="D391" s="7657" t="s">
        <v>2951</v>
      </c>
      <c r="E391" s="7657" t="s">
        <v>2952</v>
      </c>
      <c r="F391" s="7657" t="s">
        <v>2599</v>
      </c>
      <c r="G391" s="7657" t="s">
        <v>2953</v>
      </c>
      <c r="H391" s="7657" t="s">
        <v>17</v>
      </c>
      <c r="I391" s="7657" t="s">
        <v>2955</v>
      </c>
      <c r="J391" s="0" t="s">
        <v>17</v>
      </c>
      <c r="K391" s="0" t="s">
        <v>3330</v>
      </c>
      <c r="L391" s="0" t="s">
        <v>3331</v>
      </c>
      <c r="M391" s="0" t="s">
        <v>3332</v>
      </c>
      <c r="N391" s="0" t="s">
        <v>403</v>
      </c>
    </row>
    <row customHeight="1" ht="11.25">
      <c r="A392" s="7657" t="s">
        <v>2195</v>
      </c>
      <c r="B392" s="7657" t="s">
        <v>14</v>
      </c>
      <c r="C392" s="7657" t="s">
        <v>3001</v>
      </c>
      <c r="D392" s="7657" t="s">
        <v>3002</v>
      </c>
      <c r="E392" s="7657" t="s">
        <v>3003</v>
      </c>
      <c r="F392" s="7657" t="s">
        <v>3004</v>
      </c>
      <c r="G392" s="7657" t="s">
        <v>17</v>
      </c>
      <c r="H392" s="7657" t="s">
        <v>17</v>
      </c>
      <c r="I392" s="7657" t="s">
        <v>2638</v>
      </c>
      <c r="J392" s="0" t="s">
        <v>17</v>
      </c>
      <c r="K392" s="0" t="s">
        <v>3330</v>
      </c>
      <c r="L392" s="0" t="s">
        <v>3331</v>
      </c>
      <c r="M392" s="0" t="s">
        <v>3332</v>
      </c>
      <c r="N392" s="0" t="s">
        <v>403</v>
      </c>
    </row>
    <row customHeight="1" ht="11.25">
      <c r="A393" s="7657" t="s">
        <v>2195</v>
      </c>
      <c r="B393" s="7657" t="s">
        <v>14</v>
      </c>
      <c r="C393" s="7657" t="s">
        <v>3001</v>
      </c>
      <c r="D393" s="7657" t="s">
        <v>3002</v>
      </c>
      <c r="E393" s="7657" t="s">
        <v>3003</v>
      </c>
      <c r="F393" s="7657" t="s">
        <v>3004</v>
      </c>
      <c r="G393" s="7657" t="s">
        <v>17</v>
      </c>
      <c r="H393" s="7657" t="s">
        <v>17</v>
      </c>
      <c r="I393" s="7657" t="s">
        <v>3005</v>
      </c>
      <c r="J393" s="0" t="s">
        <v>17</v>
      </c>
      <c r="K393" s="0" t="s">
        <v>3330</v>
      </c>
      <c r="L393" s="0" t="s">
        <v>3331</v>
      </c>
      <c r="M393" s="0" t="s">
        <v>3332</v>
      </c>
      <c r="N393" s="0" t="s">
        <v>403</v>
      </c>
    </row>
    <row customHeight="1" ht="11.25">
      <c r="A394" s="7657" t="s">
        <v>2195</v>
      </c>
      <c r="B394" s="7657" t="s">
        <v>14</v>
      </c>
      <c r="C394" s="7657" t="s">
        <v>3013</v>
      </c>
      <c r="D394" s="7657" t="s">
        <v>3014</v>
      </c>
      <c r="E394" s="7657" t="s">
        <v>3015</v>
      </c>
      <c r="F394" s="7657" t="s">
        <v>3016</v>
      </c>
      <c r="G394" s="7657" t="s">
        <v>17</v>
      </c>
      <c r="H394" s="7657" t="s">
        <v>17</v>
      </c>
      <c r="I394" s="7657" t="s">
        <v>3352</v>
      </c>
      <c r="J394" s="0" t="s">
        <v>17</v>
      </c>
      <c r="K394" s="0" t="s">
        <v>3330</v>
      </c>
      <c r="L394" s="0" t="s">
        <v>3331</v>
      </c>
      <c r="M394" s="0" t="s">
        <v>3332</v>
      </c>
      <c r="N394" s="0" t="s">
        <v>403</v>
      </c>
    </row>
    <row customHeight="1" ht="11.25">
      <c r="A395" s="7657" t="s">
        <v>2195</v>
      </c>
      <c r="B395" s="7657" t="s">
        <v>14</v>
      </c>
      <c r="C395" s="7657" t="s">
        <v>3029</v>
      </c>
      <c r="D395" s="7657" t="s">
        <v>3030</v>
      </c>
      <c r="E395" s="7657" t="s">
        <v>3031</v>
      </c>
      <c r="F395" s="7657" t="s">
        <v>3032</v>
      </c>
      <c r="G395" s="7657" t="s">
        <v>3033</v>
      </c>
      <c r="H395" s="7657" t="s">
        <v>17</v>
      </c>
      <c r="I395" s="7657" t="s">
        <v>3034</v>
      </c>
      <c r="J395" s="0" t="s">
        <v>17</v>
      </c>
      <c r="K395" s="0" t="s">
        <v>3330</v>
      </c>
      <c r="L395" s="0" t="s">
        <v>3331</v>
      </c>
      <c r="M395" s="0" t="s">
        <v>3332</v>
      </c>
      <c r="N395" s="0" t="s">
        <v>403</v>
      </c>
    </row>
    <row customHeight="1" ht="11.25">
      <c r="A396" s="7657" t="s">
        <v>2195</v>
      </c>
      <c r="B396" s="7657" t="s">
        <v>14</v>
      </c>
      <c r="C396" s="7657" t="s">
        <v>3044</v>
      </c>
      <c r="D396" s="7657" t="s">
        <v>3045</v>
      </c>
      <c r="E396" s="7657" t="s">
        <v>3046</v>
      </c>
      <c r="F396" s="7657" t="s">
        <v>2542</v>
      </c>
      <c r="G396" s="7657" t="s">
        <v>17</v>
      </c>
      <c r="H396" s="7657" t="s">
        <v>17</v>
      </c>
      <c r="I396" s="7657" t="s">
        <v>2529</v>
      </c>
      <c r="J396" s="0" t="s">
        <v>17</v>
      </c>
      <c r="K396" s="0" t="s">
        <v>3330</v>
      </c>
      <c r="L396" s="0" t="s">
        <v>3331</v>
      </c>
      <c r="M396" s="0" t="s">
        <v>3332</v>
      </c>
      <c r="N396" s="0" t="s">
        <v>403</v>
      </c>
    </row>
    <row customHeight="1" ht="11.25">
      <c r="A397" s="7657" t="s">
        <v>2195</v>
      </c>
      <c r="B397" s="7657" t="s">
        <v>14</v>
      </c>
      <c r="C397" s="7657" t="s">
        <v>3053</v>
      </c>
      <c r="D397" s="7657" t="s">
        <v>3054</v>
      </c>
      <c r="E397" s="7657" t="s">
        <v>3055</v>
      </c>
      <c r="F397" s="7657" t="s">
        <v>2199</v>
      </c>
      <c r="G397" s="7657" t="s">
        <v>3056</v>
      </c>
      <c r="H397" s="7657" t="s">
        <v>17</v>
      </c>
      <c r="I397" s="7657" t="s">
        <v>2228</v>
      </c>
      <c r="J397" s="0" t="s">
        <v>17</v>
      </c>
      <c r="K397" s="0" t="s">
        <v>3330</v>
      </c>
      <c r="L397" s="0" t="s">
        <v>3331</v>
      </c>
      <c r="M397" s="0" t="s">
        <v>3332</v>
      </c>
      <c r="N397" s="0" t="s">
        <v>403</v>
      </c>
    </row>
    <row customHeight="1" ht="11.25">
      <c r="A398" s="7657" t="s">
        <v>2195</v>
      </c>
      <c r="B398" s="7657" t="s">
        <v>14</v>
      </c>
      <c r="C398" s="7657" t="s">
        <v>3062</v>
      </c>
      <c r="D398" s="7657" t="s">
        <v>3063</v>
      </c>
      <c r="E398" s="7657" t="s">
        <v>3064</v>
      </c>
      <c r="F398" s="7657" t="s">
        <v>2279</v>
      </c>
      <c r="G398" s="7657" t="s">
        <v>17</v>
      </c>
      <c r="H398" s="7657" t="s">
        <v>17</v>
      </c>
      <c r="I398" s="7657" t="s">
        <v>3353</v>
      </c>
      <c r="J398" s="0" t="s">
        <v>17</v>
      </c>
      <c r="K398" s="0" t="s">
        <v>3330</v>
      </c>
      <c r="L398" s="0" t="s">
        <v>3331</v>
      </c>
      <c r="M398" s="0" t="s">
        <v>3332</v>
      </c>
      <c r="N398" s="0" t="s">
        <v>403</v>
      </c>
    </row>
    <row customHeight="1" ht="11.25">
      <c r="A399" s="7657" t="s">
        <v>2195</v>
      </c>
      <c r="B399" s="7657" t="s">
        <v>14</v>
      </c>
      <c r="C399" s="7657" t="s">
        <v>3062</v>
      </c>
      <c r="D399" s="7657" t="s">
        <v>3063</v>
      </c>
      <c r="E399" s="7657" t="s">
        <v>3064</v>
      </c>
      <c r="F399" s="7657" t="s">
        <v>2279</v>
      </c>
      <c r="G399" s="7657" t="s">
        <v>17</v>
      </c>
      <c r="H399" s="7657" t="s">
        <v>17</v>
      </c>
      <c r="I399" s="7657" t="s">
        <v>3354</v>
      </c>
      <c r="J399" s="0" t="s">
        <v>17</v>
      </c>
      <c r="K399" s="0" t="s">
        <v>3330</v>
      </c>
      <c r="L399" s="0" t="s">
        <v>3331</v>
      </c>
      <c r="M399" s="0" t="s">
        <v>3332</v>
      </c>
      <c r="N399" s="0" t="s">
        <v>403</v>
      </c>
    </row>
    <row customHeight="1" ht="11.25">
      <c r="A400" s="7657" t="s">
        <v>2195</v>
      </c>
      <c r="B400" s="7657" t="s">
        <v>14</v>
      </c>
      <c r="C400" s="7657" t="s">
        <v>3071</v>
      </c>
      <c r="D400" s="7657" t="s">
        <v>3072</v>
      </c>
      <c r="E400" s="7657" t="s">
        <v>3073</v>
      </c>
      <c r="F400" s="7657" t="s">
        <v>2295</v>
      </c>
      <c r="G400" s="7657" t="s">
        <v>17</v>
      </c>
      <c r="H400" s="7657" t="s">
        <v>17</v>
      </c>
      <c r="I400" s="7657" t="s">
        <v>3355</v>
      </c>
      <c r="J400" s="0" t="s">
        <v>17</v>
      </c>
      <c r="K400" s="0" t="s">
        <v>3330</v>
      </c>
      <c r="L400" s="0" t="s">
        <v>3331</v>
      </c>
      <c r="M400" s="0" t="s">
        <v>3332</v>
      </c>
      <c r="N400" s="0" t="s">
        <v>403</v>
      </c>
    </row>
    <row customHeight="1" ht="11.25">
      <c r="A401" s="7657" t="s">
        <v>2195</v>
      </c>
      <c r="B401" s="7657" t="s">
        <v>14</v>
      </c>
      <c r="C401" s="7657" t="s">
        <v>3076</v>
      </c>
      <c r="D401" s="7657" t="s">
        <v>3077</v>
      </c>
      <c r="E401" s="7657" t="s">
        <v>3078</v>
      </c>
      <c r="F401" s="7657" t="s">
        <v>2267</v>
      </c>
      <c r="G401" s="7657" t="s">
        <v>17</v>
      </c>
      <c r="H401" s="7657" t="s">
        <v>17</v>
      </c>
      <c r="I401" s="7657" t="s">
        <v>2228</v>
      </c>
      <c r="J401" s="0" t="s">
        <v>17</v>
      </c>
      <c r="K401" s="0" t="s">
        <v>3330</v>
      </c>
      <c r="L401" s="0" t="s">
        <v>3331</v>
      </c>
      <c r="M401" s="0" t="s">
        <v>3332</v>
      </c>
      <c r="N401" s="0" t="s">
        <v>403</v>
      </c>
    </row>
    <row customHeight="1" ht="11.25">
      <c r="A402" s="7657" t="s">
        <v>2195</v>
      </c>
      <c r="B402" s="7657" t="s">
        <v>14</v>
      </c>
      <c r="C402" s="7657" t="s">
        <v>3079</v>
      </c>
      <c r="D402" s="7657" t="s">
        <v>3080</v>
      </c>
      <c r="E402" s="7657" t="s">
        <v>3081</v>
      </c>
      <c r="F402" s="7657" t="s">
        <v>2239</v>
      </c>
      <c r="G402" s="7657" t="s">
        <v>3082</v>
      </c>
      <c r="H402" s="7657" t="s">
        <v>17</v>
      </c>
      <c r="I402" s="7657" t="s">
        <v>3083</v>
      </c>
      <c r="J402" s="0" t="s">
        <v>17</v>
      </c>
      <c r="K402" s="0" t="s">
        <v>3330</v>
      </c>
      <c r="L402" s="0" t="s">
        <v>3331</v>
      </c>
      <c r="M402" s="0" t="s">
        <v>3332</v>
      </c>
      <c r="N402" s="0" t="s">
        <v>403</v>
      </c>
    </row>
    <row customHeight="1" ht="11.25">
      <c r="A403" s="7657" t="s">
        <v>2195</v>
      </c>
      <c r="B403" s="7657" t="s">
        <v>14</v>
      </c>
      <c r="C403" s="7657" t="s">
        <v>3084</v>
      </c>
      <c r="D403" s="7657" t="s">
        <v>3085</v>
      </c>
      <c r="E403" s="7657" t="s">
        <v>3086</v>
      </c>
      <c r="F403" s="7657" t="s">
        <v>2239</v>
      </c>
      <c r="G403" s="7657" t="s">
        <v>3087</v>
      </c>
      <c r="H403" s="7657" t="s">
        <v>17</v>
      </c>
      <c r="I403" s="7657" t="s">
        <v>3087</v>
      </c>
      <c r="J403" s="0" t="s">
        <v>17</v>
      </c>
      <c r="K403" s="0" t="s">
        <v>3330</v>
      </c>
      <c r="L403" s="0" t="s">
        <v>3331</v>
      </c>
      <c r="M403" s="0" t="s">
        <v>3332</v>
      </c>
      <c r="N403" s="0" t="s">
        <v>403</v>
      </c>
    </row>
    <row customHeight="1" ht="11.25">
      <c r="A404" s="7657" t="s">
        <v>2195</v>
      </c>
      <c r="B404" s="7657" t="s">
        <v>14</v>
      </c>
      <c r="C404" s="7657" t="s">
        <v>3088</v>
      </c>
      <c r="D404" s="7657" t="s">
        <v>3089</v>
      </c>
      <c r="E404" s="7657" t="s">
        <v>3090</v>
      </c>
      <c r="F404" s="7657" t="s">
        <v>2556</v>
      </c>
      <c r="G404" s="7657" t="s">
        <v>17</v>
      </c>
      <c r="H404" s="7657" t="s">
        <v>17</v>
      </c>
      <c r="I404" s="7657" t="s">
        <v>3091</v>
      </c>
      <c r="J404" s="0" t="s">
        <v>17</v>
      </c>
      <c r="K404" s="0" t="s">
        <v>3330</v>
      </c>
      <c r="L404" s="0" t="s">
        <v>3331</v>
      </c>
      <c r="M404" s="0" t="s">
        <v>3332</v>
      </c>
      <c r="N404" s="0" t="s">
        <v>403</v>
      </c>
    </row>
    <row customHeight="1" ht="11.25">
      <c r="A405" s="7657" t="s">
        <v>2195</v>
      </c>
      <c r="B405" s="7657" t="s">
        <v>14</v>
      </c>
      <c r="C405" s="7657" t="s">
        <v>3092</v>
      </c>
      <c r="D405" s="7657" t="s">
        <v>3093</v>
      </c>
      <c r="E405" s="7657" t="s">
        <v>3094</v>
      </c>
      <c r="F405" s="7657" t="s">
        <v>2254</v>
      </c>
      <c r="G405" s="7657" t="s">
        <v>3095</v>
      </c>
      <c r="H405" s="7657" t="s">
        <v>17</v>
      </c>
      <c r="I405" s="7657" t="s">
        <v>2581</v>
      </c>
      <c r="J405" s="0" t="s">
        <v>17</v>
      </c>
      <c r="K405" s="0" t="s">
        <v>3330</v>
      </c>
      <c r="L405" s="0" t="s">
        <v>3331</v>
      </c>
      <c r="M405" s="0" t="s">
        <v>3332</v>
      </c>
      <c r="N405" s="0" t="s">
        <v>403</v>
      </c>
    </row>
    <row customHeight="1" ht="11.25">
      <c r="A406" s="7657" t="s">
        <v>2195</v>
      </c>
      <c r="B406" s="7657" t="s">
        <v>14</v>
      </c>
      <c r="C406" s="7657" t="s">
        <v>3104</v>
      </c>
      <c r="D406" s="7657" t="s">
        <v>3105</v>
      </c>
      <c r="E406" s="7657" t="s">
        <v>3106</v>
      </c>
      <c r="F406" s="7657" t="s">
        <v>2254</v>
      </c>
      <c r="G406" s="7657" t="s">
        <v>3107</v>
      </c>
      <c r="H406" s="7657" t="s">
        <v>17</v>
      </c>
      <c r="I406" s="7657" t="s">
        <v>3108</v>
      </c>
      <c r="J406" s="0" t="s">
        <v>17</v>
      </c>
      <c r="K406" s="0" t="s">
        <v>3330</v>
      </c>
      <c r="L406" s="0" t="s">
        <v>3331</v>
      </c>
      <c r="M406" s="0" t="s">
        <v>3332</v>
      </c>
      <c r="N406" s="0" t="s">
        <v>403</v>
      </c>
    </row>
    <row customHeight="1" ht="11.25">
      <c r="A407" s="7657" t="s">
        <v>2195</v>
      </c>
      <c r="B407" s="7657" t="s">
        <v>14</v>
      </c>
      <c r="C407" s="7657" t="s">
        <v>3104</v>
      </c>
      <c r="D407" s="7657" t="s">
        <v>3105</v>
      </c>
      <c r="E407" s="7657" t="s">
        <v>3106</v>
      </c>
      <c r="F407" s="7657" t="s">
        <v>2254</v>
      </c>
      <c r="G407" s="7657" t="s">
        <v>3107</v>
      </c>
      <c r="H407" s="7657" t="s">
        <v>17</v>
      </c>
      <c r="I407" s="7657" t="s">
        <v>2581</v>
      </c>
      <c r="J407" s="0" t="s">
        <v>17</v>
      </c>
      <c r="K407" s="0" t="s">
        <v>3330</v>
      </c>
      <c r="L407" s="0" t="s">
        <v>3331</v>
      </c>
      <c r="M407" s="0" t="s">
        <v>3332</v>
      </c>
      <c r="N407" s="0" t="s">
        <v>403</v>
      </c>
    </row>
    <row customHeight="1" ht="11.25">
      <c r="A408" s="7657" t="s">
        <v>2195</v>
      </c>
      <c r="B408" s="7657" t="s">
        <v>14</v>
      </c>
      <c r="C408" s="7657" t="s">
        <v>3109</v>
      </c>
      <c r="D408" s="7657" t="s">
        <v>3110</v>
      </c>
      <c r="E408" s="7657" t="s">
        <v>3111</v>
      </c>
      <c r="F408" s="7657" t="s">
        <v>2212</v>
      </c>
      <c r="G408" s="7657" t="s">
        <v>17</v>
      </c>
      <c r="H408" s="7657" t="s">
        <v>17</v>
      </c>
      <c r="I408" s="7657" t="s">
        <v>3352</v>
      </c>
      <c r="J408" s="0" t="s">
        <v>17</v>
      </c>
      <c r="K408" s="0" t="s">
        <v>3330</v>
      </c>
      <c r="L408" s="0" t="s">
        <v>3331</v>
      </c>
      <c r="M408" s="0" t="s">
        <v>3332</v>
      </c>
      <c r="N408" s="0" t="s">
        <v>403</v>
      </c>
    </row>
    <row customHeight="1" ht="11.25">
      <c r="A409" s="7657" t="s">
        <v>2195</v>
      </c>
      <c r="B409" s="7657" t="s">
        <v>14</v>
      </c>
      <c r="C409" s="7657" t="s">
        <v>3136</v>
      </c>
      <c r="D409" s="7657" t="s">
        <v>3137</v>
      </c>
      <c r="E409" s="7657" t="s">
        <v>3138</v>
      </c>
      <c r="F409" s="7657" t="s">
        <v>2239</v>
      </c>
      <c r="G409" s="7657" t="s">
        <v>3139</v>
      </c>
      <c r="H409" s="7657" t="s">
        <v>17</v>
      </c>
      <c r="I409" s="7657" t="s">
        <v>3140</v>
      </c>
      <c r="J409" s="0" t="s">
        <v>17</v>
      </c>
      <c r="K409" s="0" t="s">
        <v>3330</v>
      </c>
      <c r="L409" s="0" t="s">
        <v>3331</v>
      </c>
      <c r="M409" s="0" t="s">
        <v>3332</v>
      </c>
      <c r="N409" s="0" t="s">
        <v>403</v>
      </c>
    </row>
    <row customHeight="1" ht="11.25">
      <c r="A410" s="7657" t="s">
        <v>2195</v>
      </c>
      <c r="B410" s="7657" t="s">
        <v>14</v>
      </c>
      <c r="C410" s="7657" t="s">
        <v>3141</v>
      </c>
      <c r="D410" s="7657" t="s">
        <v>3142</v>
      </c>
      <c r="E410" s="7657" t="s">
        <v>3143</v>
      </c>
      <c r="F410" s="7657" t="s">
        <v>2321</v>
      </c>
      <c r="G410" s="7657" t="s">
        <v>3144</v>
      </c>
      <c r="H410" s="7657" t="s">
        <v>17</v>
      </c>
      <c r="I410" s="7657" t="s">
        <v>3144</v>
      </c>
      <c r="J410" s="0" t="s">
        <v>17</v>
      </c>
      <c r="K410" s="0" t="s">
        <v>3330</v>
      </c>
      <c r="L410" s="0" t="s">
        <v>3331</v>
      </c>
      <c r="M410" s="0" t="s">
        <v>3332</v>
      </c>
      <c r="N410" s="0" t="s">
        <v>403</v>
      </c>
    </row>
    <row customHeight="1" ht="11.25">
      <c r="A411" s="7657" t="s">
        <v>2195</v>
      </c>
      <c r="B411" s="7657" t="s">
        <v>14</v>
      </c>
      <c r="C411" s="7657" t="s">
        <v>3145</v>
      </c>
      <c r="D411" s="7657" t="s">
        <v>3146</v>
      </c>
      <c r="E411" s="7657" t="s">
        <v>3147</v>
      </c>
      <c r="F411" s="7657" t="s">
        <v>3148</v>
      </c>
      <c r="G411" s="7657" t="s">
        <v>17</v>
      </c>
      <c r="H411" s="7657" t="s">
        <v>17</v>
      </c>
      <c r="I411" s="7657" t="s">
        <v>2753</v>
      </c>
      <c r="J411" s="0" t="s">
        <v>17</v>
      </c>
      <c r="K411" s="0" t="s">
        <v>3330</v>
      </c>
      <c r="L411" s="0" t="s">
        <v>3331</v>
      </c>
      <c r="M411" s="0" t="s">
        <v>3332</v>
      </c>
      <c r="N411" s="0" t="s">
        <v>403</v>
      </c>
    </row>
    <row customHeight="1" ht="11.25">
      <c r="A412" s="7657" t="s">
        <v>2195</v>
      </c>
      <c r="B412" s="7657" t="s">
        <v>14</v>
      </c>
      <c r="C412" s="7657" t="s">
        <v>3163</v>
      </c>
      <c r="D412" s="7657" t="s">
        <v>3164</v>
      </c>
      <c r="E412" s="7657" t="s">
        <v>3165</v>
      </c>
      <c r="F412" s="7657" t="s">
        <v>3166</v>
      </c>
      <c r="G412" s="7657" t="s">
        <v>3167</v>
      </c>
      <c r="H412" s="7657" t="s">
        <v>17</v>
      </c>
      <c r="I412" s="7657" t="s">
        <v>2228</v>
      </c>
      <c r="J412" s="0" t="s">
        <v>17</v>
      </c>
      <c r="K412" s="0" t="s">
        <v>3330</v>
      </c>
      <c r="L412" s="0" t="s">
        <v>3331</v>
      </c>
      <c r="M412" s="0" t="s">
        <v>3332</v>
      </c>
      <c r="N412" s="0" t="s">
        <v>403</v>
      </c>
    </row>
    <row customHeight="1" ht="11.25">
      <c r="A413" s="7657" t="s">
        <v>2195</v>
      </c>
      <c r="B413" s="7657" t="s">
        <v>14</v>
      </c>
      <c r="C413" s="7657" t="s">
        <v>3168</v>
      </c>
      <c r="D413" s="7657" t="s">
        <v>46</v>
      </c>
      <c r="E413" s="7657" t="s">
        <v>49</v>
      </c>
      <c r="F413" s="7657" t="s">
        <v>51</v>
      </c>
      <c r="G413" s="7657" t="s">
        <v>17</v>
      </c>
      <c r="H413" s="7657" t="s">
        <v>17</v>
      </c>
      <c r="I413" s="7657" t="s">
        <v>3169</v>
      </c>
      <c r="J413" s="0" t="s">
        <v>17</v>
      </c>
      <c r="K413" s="0" t="s">
        <v>3330</v>
      </c>
      <c r="L413" s="0" t="s">
        <v>3331</v>
      </c>
      <c r="M413" s="0" t="s">
        <v>3332</v>
      </c>
      <c r="N413" s="0" t="s">
        <v>403</v>
      </c>
    </row>
    <row customHeight="1" ht="11.25">
      <c r="A414" s="7657" t="s">
        <v>2195</v>
      </c>
      <c r="B414" s="7657" t="s">
        <v>14</v>
      </c>
      <c r="C414" s="7657" t="s">
        <v>3168</v>
      </c>
      <c r="D414" s="7657" t="s">
        <v>46</v>
      </c>
      <c r="E414" s="7657" t="s">
        <v>49</v>
      </c>
      <c r="F414" s="7657" t="s">
        <v>51</v>
      </c>
      <c r="G414" s="7657" t="s">
        <v>17</v>
      </c>
      <c r="H414" s="7657" t="s">
        <v>17</v>
      </c>
      <c r="I414" s="7657" t="s">
        <v>2390</v>
      </c>
      <c r="J414" s="0" t="s">
        <v>17</v>
      </c>
      <c r="K414" s="0" t="s">
        <v>3330</v>
      </c>
      <c r="L414" s="0" t="s">
        <v>3331</v>
      </c>
      <c r="M414" s="0" t="s">
        <v>3332</v>
      </c>
      <c r="N414" s="0" t="s">
        <v>403</v>
      </c>
    </row>
    <row customHeight="1" ht="11.25">
      <c r="A415" s="7657" t="s">
        <v>2195</v>
      </c>
      <c r="B415" s="7657" t="s">
        <v>14</v>
      </c>
      <c r="C415" s="7657" t="s">
        <v>3176</v>
      </c>
      <c r="D415" s="7657" t="s">
        <v>3177</v>
      </c>
      <c r="E415" s="7657" t="s">
        <v>2357</v>
      </c>
      <c r="F415" s="7657" t="s">
        <v>3178</v>
      </c>
      <c r="G415" s="7657" t="s">
        <v>2359</v>
      </c>
      <c r="H415" s="7657" t="s">
        <v>17</v>
      </c>
      <c r="I415" s="7657" t="s">
        <v>2472</v>
      </c>
      <c r="J415" s="0" t="s">
        <v>17</v>
      </c>
      <c r="K415" s="0" t="s">
        <v>3330</v>
      </c>
      <c r="L415" s="0" t="s">
        <v>3331</v>
      </c>
      <c r="M415" s="0" t="s">
        <v>3332</v>
      </c>
      <c r="N415" s="0" t="s">
        <v>403</v>
      </c>
    </row>
    <row customHeight="1" ht="11.25">
      <c r="A416" s="7657" t="s">
        <v>2195</v>
      </c>
      <c r="B416" s="7657" t="s">
        <v>14</v>
      </c>
      <c r="C416" s="7657" t="s">
        <v>3182</v>
      </c>
      <c r="D416" s="7657" t="s">
        <v>3183</v>
      </c>
      <c r="E416" s="7657" t="s">
        <v>3184</v>
      </c>
      <c r="F416" s="7657" t="s">
        <v>2321</v>
      </c>
      <c r="G416" s="7657" t="s">
        <v>3185</v>
      </c>
      <c r="H416" s="7657" t="s">
        <v>17</v>
      </c>
      <c r="I416" s="7657" t="s">
        <v>2390</v>
      </c>
      <c r="J416" s="0" t="s">
        <v>17</v>
      </c>
      <c r="K416" s="0" t="s">
        <v>3330</v>
      </c>
      <c r="L416" s="0" t="s">
        <v>3331</v>
      </c>
      <c r="M416" s="0" t="s">
        <v>3332</v>
      </c>
      <c r="N416" s="0" t="s">
        <v>403</v>
      </c>
    </row>
    <row customHeight="1" ht="11.25">
      <c r="A417" s="7657" t="s">
        <v>2195</v>
      </c>
      <c r="B417" s="7657" t="s">
        <v>14</v>
      </c>
      <c r="C417" s="7657" t="s">
        <v>3186</v>
      </c>
      <c r="D417" s="7657" t="s">
        <v>3187</v>
      </c>
      <c r="E417" s="7657" t="s">
        <v>3188</v>
      </c>
      <c r="F417" s="7657" t="s">
        <v>2239</v>
      </c>
      <c r="G417" s="7657" t="s">
        <v>3189</v>
      </c>
      <c r="H417" s="7657" t="s">
        <v>17</v>
      </c>
      <c r="I417" s="7657" t="s">
        <v>3190</v>
      </c>
      <c r="J417" s="0" t="s">
        <v>17</v>
      </c>
      <c r="K417" s="0" t="s">
        <v>3330</v>
      </c>
      <c r="L417" s="0" t="s">
        <v>3331</v>
      </c>
      <c r="M417" s="0" t="s">
        <v>3332</v>
      </c>
      <c r="N417" s="0" t="s">
        <v>403</v>
      </c>
    </row>
    <row customHeight="1" ht="11.25">
      <c r="A418" s="7657" t="s">
        <v>2195</v>
      </c>
      <c r="B418" s="7657" t="s">
        <v>14</v>
      </c>
      <c r="C418" s="7657" t="s">
        <v>3191</v>
      </c>
      <c r="D418" s="7657" t="s">
        <v>3192</v>
      </c>
      <c r="E418" s="7657" t="s">
        <v>3193</v>
      </c>
      <c r="F418" s="7657" t="s">
        <v>2321</v>
      </c>
      <c r="G418" s="7657" t="s">
        <v>2394</v>
      </c>
      <c r="H418" s="7657" t="s">
        <v>17</v>
      </c>
      <c r="I418" s="7657" t="s">
        <v>2228</v>
      </c>
      <c r="J418" s="0" t="s">
        <v>17</v>
      </c>
      <c r="K418" s="0" t="s">
        <v>3330</v>
      </c>
      <c r="L418" s="0" t="s">
        <v>3331</v>
      </c>
      <c r="M418" s="0" t="s">
        <v>3332</v>
      </c>
      <c r="N418" s="0" t="s">
        <v>403</v>
      </c>
    </row>
    <row customHeight="1" ht="11.25">
      <c r="A419" s="7657" t="s">
        <v>2195</v>
      </c>
      <c r="B419" s="7657" t="s">
        <v>14</v>
      </c>
      <c r="C419" s="7657" t="s">
        <v>3194</v>
      </c>
      <c r="D419" s="7657" t="s">
        <v>3195</v>
      </c>
      <c r="E419" s="7657" t="s">
        <v>3196</v>
      </c>
      <c r="F419" s="7657" t="s">
        <v>2239</v>
      </c>
      <c r="G419" s="7657" t="s">
        <v>17</v>
      </c>
      <c r="H419" s="7657" t="s">
        <v>17</v>
      </c>
      <c r="I419" s="7657" t="s">
        <v>3197</v>
      </c>
      <c r="J419" s="0" t="s">
        <v>17</v>
      </c>
      <c r="K419" s="0" t="s">
        <v>3330</v>
      </c>
      <c r="L419" s="0" t="s">
        <v>3331</v>
      </c>
      <c r="M419" s="0" t="s">
        <v>3332</v>
      </c>
      <c r="N419" s="0" t="s">
        <v>403</v>
      </c>
    </row>
    <row customHeight="1" ht="11.25">
      <c r="A420" s="7657" t="s">
        <v>2195</v>
      </c>
      <c r="B420" s="7657" t="s">
        <v>14</v>
      </c>
      <c r="C420" s="7657" t="s">
        <v>3204</v>
      </c>
      <c r="D420" s="7657" t="s">
        <v>3205</v>
      </c>
      <c r="E420" s="7657" t="s">
        <v>3206</v>
      </c>
      <c r="F420" s="7657" t="s">
        <v>2306</v>
      </c>
      <c r="G420" s="7657" t="s">
        <v>17</v>
      </c>
      <c r="H420" s="7657" t="s">
        <v>17</v>
      </c>
      <c r="I420" s="7657" t="s">
        <v>2223</v>
      </c>
      <c r="J420" s="0" t="s">
        <v>17</v>
      </c>
      <c r="K420" s="0" t="s">
        <v>3330</v>
      </c>
      <c r="L420" s="0" t="s">
        <v>3331</v>
      </c>
      <c r="M420" s="0" t="s">
        <v>3332</v>
      </c>
      <c r="N420" s="0" t="s">
        <v>403</v>
      </c>
    </row>
    <row customHeight="1" ht="11.25">
      <c r="A421" s="7657" t="s">
        <v>2195</v>
      </c>
      <c r="B421" s="7657" t="s">
        <v>14</v>
      </c>
      <c r="C421" s="7657" t="s">
        <v>3207</v>
      </c>
      <c r="D421" s="7657" t="s">
        <v>3208</v>
      </c>
      <c r="E421" s="7657" t="s">
        <v>3209</v>
      </c>
      <c r="F421" s="7657" t="s">
        <v>3210</v>
      </c>
      <c r="G421" s="7657" t="s">
        <v>17</v>
      </c>
      <c r="H421" s="7657" t="s">
        <v>17</v>
      </c>
      <c r="I421" s="7657" t="s">
        <v>2872</v>
      </c>
      <c r="J421" s="0" t="s">
        <v>17</v>
      </c>
      <c r="K421" s="0" t="s">
        <v>3330</v>
      </c>
      <c r="L421" s="0" t="s">
        <v>3331</v>
      </c>
      <c r="M421" s="0" t="s">
        <v>3332</v>
      </c>
      <c r="N421" s="0" t="s">
        <v>403</v>
      </c>
    </row>
    <row customHeight="1" ht="11.25">
      <c r="A422" s="7657" t="s">
        <v>2195</v>
      </c>
      <c r="B422" s="7657" t="s">
        <v>14</v>
      </c>
      <c r="C422" s="7657" t="s">
        <v>3216</v>
      </c>
      <c r="D422" s="7657" t="s">
        <v>3217</v>
      </c>
      <c r="E422" s="7657" t="s">
        <v>3218</v>
      </c>
      <c r="F422" s="7657" t="s">
        <v>2317</v>
      </c>
      <c r="G422" s="7657" t="s">
        <v>3219</v>
      </c>
      <c r="H422" s="7657" t="s">
        <v>17</v>
      </c>
      <c r="I422" s="7657" t="s">
        <v>2395</v>
      </c>
      <c r="J422" s="0" t="s">
        <v>17</v>
      </c>
      <c r="K422" s="0" t="s">
        <v>3330</v>
      </c>
      <c r="L422" s="0" t="s">
        <v>3331</v>
      </c>
      <c r="M422" s="0" t="s">
        <v>3332</v>
      </c>
      <c r="N422" s="0" t="s">
        <v>403</v>
      </c>
    </row>
    <row customHeight="1" ht="11.25">
      <c r="A423" s="7657" t="s">
        <v>2195</v>
      </c>
      <c r="B423" s="7657" t="s">
        <v>14</v>
      </c>
      <c r="C423" s="7657" t="s">
        <v>3220</v>
      </c>
      <c r="D423" s="7657" t="s">
        <v>3221</v>
      </c>
      <c r="E423" s="7657" t="s">
        <v>3222</v>
      </c>
      <c r="F423" s="7657" t="s">
        <v>2306</v>
      </c>
      <c r="G423" s="7657" t="s">
        <v>17</v>
      </c>
      <c r="H423" s="7657" t="s">
        <v>17</v>
      </c>
      <c r="I423" s="7657" t="s">
        <v>2228</v>
      </c>
      <c r="J423" s="0" t="s">
        <v>17</v>
      </c>
      <c r="K423" s="0" t="s">
        <v>3330</v>
      </c>
      <c r="L423" s="0" t="s">
        <v>3331</v>
      </c>
      <c r="M423" s="0" t="s">
        <v>3332</v>
      </c>
      <c r="N423" s="0" t="s">
        <v>403</v>
      </c>
    </row>
    <row customHeight="1" ht="11.25">
      <c r="A424" s="7657" t="s">
        <v>2195</v>
      </c>
      <c r="B424" s="7657" t="s">
        <v>14</v>
      </c>
      <c r="C424" s="7657" t="s">
        <v>3223</v>
      </c>
      <c r="D424" s="7657" t="s">
        <v>3224</v>
      </c>
      <c r="E424" s="7657" t="s">
        <v>3225</v>
      </c>
      <c r="F424" s="7657" t="s">
        <v>2321</v>
      </c>
      <c r="G424" s="7657" t="s">
        <v>3226</v>
      </c>
      <c r="H424" s="7657" t="s">
        <v>17</v>
      </c>
      <c r="I424" s="7657" t="s">
        <v>3356</v>
      </c>
      <c r="J424" s="0" t="s">
        <v>17</v>
      </c>
      <c r="K424" s="0" t="s">
        <v>3330</v>
      </c>
      <c r="L424" s="0" t="s">
        <v>3331</v>
      </c>
      <c r="M424" s="0" t="s">
        <v>3332</v>
      </c>
      <c r="N424" s="0" t="s">
        <v>403</v>
      </c>
    </row>
    <row customHeight="1" ht="11.25">
      <c r="A425" s="7657" t="s">
        <v>2195</v>
      </c>
      <c r="B425" s="7657" t="s">
        <v>14</v>
      </c>
      <c r="C425" s="7657" t="s">
        <v>3231</v>
      </c>
      <c r="D425" s="7657" t="s">
        <v>3232</v>
      </c>
      <c r="E425" s="7657" t="s">
        <v>3233</v>
      </c>
      <c r="F425" s="7657" t="s">
        <v>2295</v>
      </c>
      <c r="G425" s="7657" t="s">
        <v>17</v>
      </c>
      <c r="H425" s="7657" t="s">
        <v>17</v>
      </c>
      <c r="I425" s="7657" t="s">
        <v>2228</v>
      </c>
      <c r="J425" s="0" t="s">
        <v>17</v>
      </c>
      <c r="K425" s="0" t="s">
        <v>3330</v>
      </c>
      <c r="L425" s="0" t="s">
        <v>3331</v>
      </c>
      <c r="M425" s="0" t="s">
        <v>3332</v>
      </c>
      <c r="N425" s="0" t="s">
        <v>403</v>
      </c>
    </row>
    <row customHeight="1" ht="11.25">
      <c r="A426" s="7657" t="s">
        <v>2195</v>
      </c>
      <c r="B426" s="7657" t="s">
        <v>14</v>
      </c>
      <c r="C426" s="7657" t="s">
        <v>3234</v>
      </c>
      <c r="D426" s="7657" t="s">
        <v>3235</v>
      </c>
      <c r="E426" s="7657" t="s">
        <v>3236</v>
      </c>
      <c r="F426" s="7657" t="s">
        <v>2295</v>
      </c>
      <c r="G426" s="7657" t="s">
        <v>17</v>
      </c>
      <c r="H426" s="7657" t="s">
        <v>17</v>
      </c>
      <c r="I426" s="7657" t="s">
        <v>2228</v>
      </c>
      <c r="J426" s="0" t="s">
        <v>17</v>
      </c>
      <c r="K426" s="0" t="s">
        <v>3330</v>
      </c>
      <c r="L426" s="0" t="s">
        <v>3331</v>
      </c>
      <c r="M426" s="0" t="s">
        <v>3332</v>
      </c>
      <c r="N426" s="0" t="s">
        <v>403</v>
      </c>
    </row>
    <row customHeight="1" ht="11.25">
      <c r="A427" s="7657" t="s">
        <v>2195</v>
      </c>
      <c r="B427" s="7657" t="s">
        <v>14</v>
      </c>
      <c r="C427" s="7657" t="s">
        <v>3237</v>
      </c>
      <c r="D427" s="7657" t="s">
        <v>3238</v>
      </c>
      <c r="E427" s="7657" t="s">
        <v>3239</v>
      </c>
      <c r="F427" s="7657" t="s">
        <v>2321</v>
      </c>
      <c r="G427" s="7657" t="s">
        <v>3240</v>
      </c>
      <c r="H427" s="7657" t="s">
        <v>17</v>
      </c>
      <c r="I427" s="7657" t="s">
        <v>2228</v>
      </c>
      <c r="J427" s="0" t="s">
        <v>17</v>
      </c>
      <c r="K427" s="0" t="s">
        <v>3330</v>
      </c>
      <c r="L427" s="0" t="s">
        <v>3331</v>
      </c>
      <c r="M427" s="0" t="s">
        <v>3332</v>
      </c>
      <c r="N427" s="0" t="s">
        <v>403</v>
      </c>
    </row>
    <row customHeight="1" ht="11.25">
      <c r="A428" s="7657" t="s">
        <v>2195</v>
      </c>
      <c r="B428" s="7657" t="s">
        <v>14</v>
      </c>
      <c r="C428" s="7657" t="s">
        <v>3247</v>
      </c>
      <c r="D428" s="7657" t="s">
        <v>3248</v>
      </c>
      <c r="E428" s="7657" t="s">
        <v>2942</v>
      </c>
      <c r="F428" s="7657" t="s">
        <v>3249</v>
      </c>
      <c r="G428" s="7657" t="s">
        <v>3250</v>
      </c>
      <c r="H428" s="7657" t="s">
        <v>17</v>
      </c>
      <c r="I428" s="7657" t="s">
        <v>3250</v>
      </c>
      <c r="J428" s="0" t="s">
        <v>17</v>
      </c>
      <c r="K428" s="0" t="s">
        <v>3330</v>
      </c>
      <c r="L428" s="0" t="s">
        <v>3331</v>
      </c>
      <c r="M428" s="0" t="s">
        <v>3332</v>
      </c>
      <c r="N428" s="0" t="s">
        <v>403</v>
      </c>
    </row>
    <row customHeight="1" ht="11.25">
      <c r="A429" s="7657" t="s">
        <v>2195</v>
      </c>
      <c r="B429" s="7657" t="s">
        <v>14</v>
      </c>
      <c r="C429" s="7657" t="s">
        <v>3251</v>
      </c>
      <c r="D429" s="7657" t="s">
        <v>3252</v>
      </c>
      <c r="E429" s="7657" t="s">
        <v>2731</v>
      </c>
      <c r="F429" s="7657" t="s">
        <v>3253</v>
      </c>
      <c r="G429" s="7657" t="s">
        <v>2974</v>
      </c>
      <c r="H429" s="7657" t="s">
        <v>17</v>
      </c>
      <c r="I429" s="7657" t="s">
        <v>2974</v>
      </c>
      <c r="J429" s="0" t="s">
        <v>2601</v>
      </c>
      <c r="K429" s="0" t="s">
        <v>3330</v>
      </c>
      <c r="L429" s="0" t="s">
        <v>3331</v>
      </c>
      <c r="M429" s="0" t="s">
        <v>3332</v>
      </c>
      <c r="N429" s="0" t="s">
        <v>403</v>
      </c>
    </row>
    <row customHeight="1" ht="11.25">
      <c r="A430" s="7657" t="s">
        <v>2195</v>
      </c>
      <c r="B430" s="7657" t="s">
        <v>14</v>
      </c>
      <c r="C430" s="7657" t="s">
        <v>3251</v>
      </c>
      <c r="D430" s="7657" t="s">
        <v>3252</v>
      </c>
      <c r="E430" s="7657" t="s">
        <v>2731</v>
      </c>
      <c r="F430" s="7657" t="s">
        <v>3253</v>
      </c>
      <c r="G430" s="7657" t="s">
        <v>2974</v>
      </c>
      <c r="H430" s="7657" t="s">
        <v>17</v>
      </c>
      <c r="I430" s="7657" t="s">
        <v>3254</v>
      </c>
      <c r="J430" s="0" t="s">
        <v>17</v>
      </c>
      <c r="K430" s="0" t="s">
        <v>3330</v>
      </c>
      <c r="L430" s="0" t="s">
        <v>3331</v>
      </c>
      <c r="M430" s="0" t="s">
        <v>3332</v>
      </c>
      <c r="N430" s="0" t="s">
        <v>403</v>
      </c>
    </row>
    <row customHeight="1" ht="11.25">
      <c r="A431" s="7657" t="s">
        <v>2195</v>
      </c>
      <c r="B431" s="7657" t="s">
        <v>14</v>
      </c>
      <c r="C431" s="7657" t="s">
        <v>3259</v>
      </c>
      <c r="D431" s="7657" t="s">
        <v>3260</v>
      </c>
      <c r="E431" s="7657" t="s">
        <v>3261</v>
      </c>
      <c r="F431" s="7657" t="s">
        <v>3262</v>
      </c>
      <c r="G431" s="7657" t="s">
        <v>3263</v>
      </c>
      <c r="H431" s="7657" t="s">
        <v>17</v>
      </c>
      <c r="I431" s="7657" t="s">
        <v>3263</v>
      </c>
      <c r="J431" s="0" t="s">
        <v>17</v>
      </c>
      <c r="K431" s="0" t="s">
        <v>3330</v>
      </c>
      <c r="L431" s="0" t="s">
        <v>3331</v>
      </c>
      <c r="M431" s="0" t="s">
        <v>3332</v>
      </c>
      <c r="N431" s="0" t="s">
        <v>403</v>
      </c>
    </row>
    <row customHeight="1" ht="11.25">
      <c r="A432" s="7657" t="s">
        <v>2195</v>
      </c>
      <c r="B432" s="7657" t="s">
        <v>14</v>
      </c>
      <c r="C432" s="7657" t="s">
        <v>3264</v>
      </c>
      <c r="D432" s="7657" t="s">
        <v>3265</v>
      </c>
      <c r="E432" s="7657" t="s">
        <v>3261</v>
      </c>
      <c r="F432" s="7657" t="s">
        <v>2471</v>
      </c>
      <c r="G432" s="7657" t="s">
        <v>17</v>
      </c>
      <c r="H432" s="7657" t="s">
        <v>17</v>
      </c>
      <c r="I432" s="7657" t="s">
        <v>3266</v>
      </c>
      <c r="J432" s="0" t="s">
        <v>17</v>
      </c>
      <c r="K432" s="0" t="s">
        <v>3330</v>
      </c>
      <c r="L432" s="0" t="s">
        <v>3331</v>
      </c>
      <c r="M432" s="0" t="s">
        <v>3332</v>
      </c>
      <c r="N432" s="0" t="s">
        <v>403</v>
      </c>
    </row>
    <row customHeight="1" ht="11.25">
      <c r="A433" s="7657" t="s">
        <v>2195</v>
      </c>
      <c r="B433" s="7657" t="s">
        <v>14</v>
      </c>
      <c r="C433" s="7657" t="s">
        <v>3267</v>
      </c>
      <c r="D433" s="7657" t="s">
        <v>3268</v>
      </c>
      <c r="E433" s="7657" t="s">
        <v>3261</v>
      </c>
      <c r="F433" s="7657" t="s">
        <v>3269</v>
      </c>
      <c r="G433" s="7657" t="s">
        <v>3270</v>
      </c>
      <c r="H433" s="7657" t="s">
        <v>17</v>
      </c>
      <c r="I433" s="7657" t="s">
        <v>3270</v>
      </c>
      <c r="J433" s="0" t="s">
        <v>17</v>
      </c>
      <c r="K433" s="0" t="s">
        <v>3330</v>
      </c>
      <c r="L433" s="0" t="s">
        <v>3331</v>
      </c>
      <c r="M433" s="0" t="s">
        <v>3332</v>
      </c>
      <c r="N433" s="0" t="s">
        <v>403</v>
      </c>
    </row>
    <row customHeight="1" ht="11.25">
      <c r="A434" s="7657" t="s">
        <v>2195</v>
      </c>
      <c r="B434" s="7657" t="s">
        <v>14</v>
      </c>
      <c r="C434" s="7657" t="s">
        <v>3280</v>
      </c>
      <c r="D434" s="7657" t="s">
        <v>3281</v>
      </c>
      <c r="E434" s="7657" t="s">
        <v>2811</v>
      </c>
      <c r="F434" s="7657" t="s">
        <v>3282</v>
      </c>
      <c r="G434" s="7657" t="s">
        <v>17</v>
      </c>
      <c r="H434" s="7657" t="s">
        <v>17</v>
      </c>
      <c r="I434" s="7657" t="s">
        <v>3283</v>
      </c>
      <c r="J434" s="0" t="s">
        <v>17</v>
      </c>
      <c r="K434" s="0" t="s">
        <v>3330</v>
      </c>
      <c r="L434" s="0" t="s">
        <v>3331</v>
      </c>
      <c r="M434" s="0" t="s">
        <v>3332</v>
      </c>
      <c r="N434" s="0" t="s">
        <v>403</v>
      </c>
    </row>
    <row customHeight="1" ht="11.25">
      <c r="A435" s="7657" t="s">
        <v>2195</v>
      </c>
      <c r="B435" s="7657" t="s">
        <v>14</v>
      </c>
      <c r="C435" s="7657" t="s">
        <v>3284</v>
      </c>
      <c r="D435" s="7657" t="s">
        <v>3285</v>
      </c>
      <c r="E435" s="7657" t="s">
        <v>2865</v>
      </c>
      <c r="F435" s="7657" t="s">
        <v>2352</v>
      </c>
      <c r="G435" s="7657" t="s">
        <v>3286</v>
      </c>
      <c r="H435" s="7657" t="s">
        <v>17</v>
      </c>
      <c r="I435" s="7657" t="s">
        <v>3287</v>
      </c>
      <c r="J435" s="0" t="s">
        <v>17</v>
      </c>
      <c r="K435" s="0" t="s">
        <v>3330</v>
      </c>
      <c r="L435" s="0" t="s">
        <v>3331</v>
      </c>
      <c r="M435" s="0" t="s">
        <v>3332</v>
      </c>
      <c r="N435" s="0" t="s">
        <v>403</v>
      </c>
    </row>
    <row customHeight="1" ht="11.25">
      <c r="A436" s="7657" t="s">
        <v>2195</v>
      </c>
      <c r="B436" s="7657" t="s">
        <v>14</v>
      </c>
      <c r="C436" s="7657" t="s">
        <v>3288</v>
      </c>
      <c r="D436" s="7657" t="s">
        <v>3289</v>
      </c>
      <c r="E436" s="7657" t="s">
        <v>2865</v>
      </c>
      <c r="F436" s="7657" t="s">
        <v>3290</v>
      </c>
      <c r="G436" s="7657" t="s">
        <v>3291</v>
      </c>
      <c r="H436" s="7657" t="s">
        <v>17</v>
      </c>
      <c r="I436" s="7657" t="s">
        <v>2753</v>
      </c>
      <c r="J436" s="0" t="s">
        <v>17</v>
      </c>
      <c r="K436" s="0" t="s">
        <v>3330</v>
      </c>
      <c r="L436" s="0" t="s">
        <v>3331</v>
      </c>
      <c r="M436" s="0" t="s">
        <v>3332</v>
      </c>
      <c r="N436" s="0" t="s">
        <v>403</v>
      </c>
    </row>
    <row customHeight="1" ht="11.25">
      <c r="A437" s="7657" t="s">
        <v>2195</v>
      </c>
      <c r="B437" s="7657" t="s">
        <v>14</v>
      </c>
      <c r="C437" s="7657" t="s">
        <v>3297</v>
      </c>
      <c r="D437" s="7657" t="s">
        <v>3298</v>
      </c>
      <c r="E437" s="7657" t="s">
        <v>3299</v>
      </c>
      <c r="F437" s="7657" t="s">
        <v>3300</v>
      </c>
      <c r="G437" s="7657" t="s">
        <v>3301</v>
      </c>
      <c r="H437" s="7657" t="s">
        <v>17</v>
      </c>
      <c r="I437" s="7657" t="s">
        <v>2240</v>
      </c>
      <c r="J437" s="0" t="s">
        <v>17</v>
      </c>
      <c r="K437" s="0" t="s">
        <v>3330</v>
      </c>
      <c r="L437" s="0" t="s">
        <v>3331</v>
      </c>
      <c r="M437" s="0" t="s">
        <v>3332</v>
      </c>
      <c r="N437" s="0" t="s">
        <v>403</v>
      </c>
    </row>
    <row customHeight="1" ht="11.25">
      <c r="A438" s="7657" t="s">
        <v>2195</v>
      </c>
      <c r="B438" s="7657" t="s">
        <v>14</v>
      </c>
      <c r="C438" s="7657" t="s">
        <v>3302</v>
      </c>
      <c r="D438" s="7657" t="s">
        <v>3303</v>
      </c>
      <c r="E438" s="7657" t="s">
        <v>2731</v>
      </c>
      <c r="F438" s="7657" t="s">
        <v>2286</v>
      </c>
      <c r="G438" s="7657" t="s">
        <v>17</v>
      </c>
      <c r="H438" s="7657" t="s">
        <v>17</v>
      </c>
      <c r="I438" s="7657" t="s">
        <v>2868</v>
      </c>
      <c r="J438" s="0" t="s">
        <v>17</v>
      </c>
      <c r="K438" s="0" t="s">
        <v>3330</v>
      </c>
      <c r="L438" s="0" t="s">
        <v>3347</v>
      </c>
      <c r="M438" s="0" t="s">
        <v>3348</v>
      </c>
      <c r="N438" s="0" t="s">
        <v>403</v>
      </c>
    </row>
    <row customHeight="1" ht="11.25">
      <c r="A439" s="7657" t="s">
        <v>2195</v>
      </c>
      <c r="B439" s="7657" t="s">
        <v>14</v>
      </c>
      <c r="C439" s="7657" t="s">
        <v>3309</v>
      </c>
      <c r="D439" s="7657" t="s">
        <v>3310</v>
      </c>
      <c r="E439" s="7657" t="s">
        <v>3261</v>
      </c>
      <c r="F439" s="7657" t="s">
        <v>3311</v>
      </c>
      <c r="G439" s="7657" t="s">
        <v>17</v>
      </c>
      <c r="H439" s="7657" t="s">
        <v>17</v>
      </c>
      <c r="I439" s="7657" t="s">
        <v>3312</v>
      </c>
      <c r="J439" s="0" t="s">
        <v>17</v>
      </c>
      <c r="K439" s="0" t="s">
        <v>3330</v>
      </c>
      <c r="L439" s="0" t="s">
        <v>3331</v>
      </c>
      <c r="M439" s="0" t="s">
        <v>3332</v>
      </c>
      <c r="N439" s="0" t="s">
        <v>403</v>
      </c>
    </row>
    <row customHeight="1" ht="11.25">
      <c r="A440" s="7657" t="s">
        <v>2195</v>
      </c>
      <c r="B440" s="7657" t="s">
        <v>14</v>
      </c>
      <c r="C440" s="7657" t="s">
        <v>3313</v>
      </c>
      <c r="D440" s="7657" t="s">
        <v>3314</v>
      </c>
      <c r="E440" s="7657" t="s">
        <v>3261</v>
      </c>
      <c r="F440" s="7657" t="s">
        <v>3315</v>
      </c>
      <c r="G440" s="7657" t="s">
        <v>3316</v>
      </c>
      <c r="H440" s="7657" t="s">
        <v>17</v>
      </c>
      <c r="I440" s="7657" t="s">
        <v>3316</v>
      </c>
      <c r="J440" s="0" t="s">
        <v>17</v>
      </c>
      <c r="K440" s="0" t="s">
        <v>3330</v>
      </c>
      <c r="L440" s="0" t="s">
        <v>3331</v>
      </c>
      <c r="M440" s="0" t="s">
        <v>3332</v>
      </c>
      <c r="N440" s="0" t="s">
        <v>403</v>
      </c>
    </row>
    <row customHeight="1" ht="11.25">
      <c r="A441" s="7657" t="s">
        <v>2195</v>
      </c>
      <c r="B441" s="7657" t="s">
        <v>14</v>
      </c>
      <c r="C441" s="7657" t="s">
        <v>3317</v>
      </c>
      <c r="D441" s="7657" t="s">
        <v>3318</v>
      </c>
      <c r="E441" s="7657" t="s">
        <v>2865</v>
      </c>
      <c r="F441" s="7657" t="s">
        <v>2358</v>
      </c>
      <c r="G441" s="7657" t="s">
        <v>3319</v>
      </c>
      <c r="H441" s="7657" t="s">
        <v>17</v>
      </c>
      <c r="I441" s="7657" t="s">
        <v>3357</v>
      </c>
      <c r="J441" s="0" t="s">
        <v>17</v>
      </c>
      <c r="K441" s="0" t="s">
        <v>3330</v>
      </c>
      <c r="L441" s="0" t="s">
        <v>3331</v>
      </c>
      <c r="M441" s="0" t="s">
        <v>3332</v>
      </c>
      <c r="N441" s="0" t="s">
        <v>403</v>
      </c>
    </row>
    <row customHeight="1" ht="11.25">
      <c r="A442" s="7657" t="s">
        <v>2195</v>
      </c>
      <c r="B442" s="7657" t="s">
        <v>14</v>
      </c>
      <c r="C442" s="7657" t="s">
        <v>3326</v>
      </c>
      <c r="D442" s="7657" t="s">
        <v>3327</v>
      </c>
      <c r="E442" s="7657" t="s">
        <v>3328</v>
      </c>
      <c r="F442" s="7657" t="s">
        <v>3329</v>
      </c>
      <c r="G442" s="7657" t="s">
        <v>17</v>
      </c>
      <c r="H442" s="7657" t="s">
        <v>17</v>
      </c>
      <c r="I442" s="7657" t="s">
        <v>2240</v>
      </c>
      <c r="J442" s="0" t="s">
        <v>17</v>
      </c>
      <c r="K442" s="0" t="s">
        <v>3330</v>
      </c>
      <c r="L442" s="0" t="s">
        <v>3331</v>
      </c>
      <c r="M442" s="0" t="s">
        <v>3332</v>
      </c>
      <c r="N442" s="0" t="s">
        <v>403</v>
      </c>
    </row>
    <row customHeight="1" ht="11.25">
      <c r="A443" s="7657" t="s">
        <v>2195</v>
      </c>
      <c r="B443" s="7657" t="s">
        <v>14</v>
      </c>
      <c r="C443" s="7657" t="s">
        <v>3358</v>
      </c>
      <c r="D443" s="7657" t="s">
        <v>3359</v>
      </c>
      <c r="E443" s="7657" t="s">
        <v>3360</v>
      </c>
      <c r="F443" s="7657" t="s">
        <v>2206</v>
      </c>
      <c r="G443" s="7657" t="s">
        <v>3361</v>
      </c>
      <c r="H443" s="7657" t="s">
        <v>17</v>
      </c>
      <c r="I443" s="7657" t="s">
        <v>2208</v>
      </c>
      <c r="J443" s="0" t="s">
        <v>17</v>
      </c>
      <c r="K443" s="0" t="s">
        <v>3362</v>
      </c>
      <c r="L443" s="0" t="s">
        <v>3363</v>
      </c>
      <c r="M443" s="0" t="s">
        <v>3364</v>
      </c>
      <c r="N443" s="0" t="s">
        <v>401</v>
      </c>
    </row>
    <row customHeight="1" ht="11.25">
      <c r="A444" s="7657" t="s">
        <v>2195</v>
      </c>
      <c r="B444" s="7657" t="s">
        <v>14</v>
      </c>
      <c r="C444" s="7657" t="s">
        <v>3358</v>
      </c>
      <c r="D444" s="7657" t="s">
        <v>3359</v>
      </c>
      <c r="E444" s="7657" t="s">
        <v>3360</v>
      </c>
      <c r="F444" s="7657" t="s">
        <v>2206</v>
      </c>
      <c r="G444" s="7657" t="s">
        <v>3361</v>
      </c>
      <c r="H444" s="7657" t="s">
        <v>17</v>
      </c>
      <c r="I444" s="7657" t="s">
        <v>2208</v>
      </c>
      <c r="J444" s="0" t="s">
        <v>17</v>
      </c>
      <c r="K444" s="0" t="s">
        <v>3365</v>
      </c>
      <c r="L444" s="0" t="s">
        <v>3363</v>
      </c>
      <c r="M444" s="0" t="s">
        <v>3364</v>
      </c>
      <c r="N444" s="0" t="s">
        <v>401</v>
      </c>
    </row>
    <row customHeight="1" ht="11.25">
      <c r="A445" s="7657" t="s">
        <v>2195</v>
      </c>
      <c r="B445" s="7657" t="s">
        <v>14</v>
      </c>
      <c r="C445" s="7657" t="s">
        <v>3366</v>
      </c>
      <c r="D445" s="7657" t="s">
        <v>3367</v>
      </c>
      <c r="E445" s="7657" t="s">
        <v>3368</v>
      </c>
      <c r="F445" s="7657" t="s">
        <v>2542</v>
      </c>
      <c r="G445" s="7657" t="s">
        <v>3369</v>
      </c>
      <c r="H445" s="7657" t="s">
        <v>17</v>
      </c>
      <c r="I445" s="7657" t="s">
        <v>3370</v>
      </c>
      <c r="J445" s="0" t="s">
        <v>17</v>
      </c>
      <c r="K445" s="0" t="s">
        <v>3362</v>
      </c>
      <c r="L445" s="0" t="s">
        <v>3371</v>
      </c>
      <c r="M445" s="0" t="s">
        <v>3372</v>
      </c>
      <c r="N445" s="0" t="s">
        <v>401</v>
      </c>
    </row>
    <row customHeight="1" ht="11.25">
      <c r="A446" s="7657" t="s">
        <v>2195</v>
      </c>
      <c r="B446" s="7657" t="s">
        <v>14</v>
      </c>
      <c r="C446" s="7657" t="s">
        <v>3366</v>
      </c>
      <c r="D446" s="7657" t="s">
        <v>3367</v>
      </c>
      <c r="E446" s="7657" t="s">
        <v>3368</v>
      </c>
      <c r="F446" s="7657" t="s">
        <v>2542</v>
      </c>
      <c r="G446" s="7657" t="s">
        <v>3369</v>
      </c>
      <c r="H446" s="7657" t="s">
        <v>17</v>
      </c>
      <c r="I446" s="7657" t="s">
        <v>3373</v>
      </c>
      <c r="J446" s="0" t="s">
        <v>17</v>
      </c>
      <c r="K446" s="0" t="s">
        <v>3362</v>
      </c>
      <c r="L446" s="0" t="s">
        <v>3374</v>
      </c>
      <c r="M446" s="0" t="s">
        <v>3375</v>
      </c>
      <c r="N446" s="0" t="s">
        <v>401</v>
      </c>
    </row>
    <row customHeight="1" ht="11.25">
      <c r="A447" s="7657" t="s">
        <v>2195</v>
      </c>
      <c r="B447" s="7657" t="s">
        <v>14</v>
      </c>
      <c r="C447" s="7657" t="s">
        <v>3376</v>
      </c>
      <c r="D447" s="7657" t="s">
        <v>3377</v>
      </c>
      <c r="E447" s="7657" t="s">
        <v>3378</v>
      </c>
      <c r="F447" s="7657" t="s">
        <v>3379</v>
      </c>
      <c r="G447" s="7657" t="s">
        <v>3380</v>
      </c>
      <c r="H447" s="7657" t="s">
        <v>17</v>
      </c>
      <c r="I447" s="7657" t="s">
        <v>2534</v>
      </c>
      <c r="J447" s="0" t="s">
        <v>17</v>
      </c>
      <c r="K447" s="0" t="s">
        <v>3362</v>
      </c>
      <c r="L447" s="0" t="s">
        <v>3363</v>
      </c>
      <c r="M447" s="0" t="s">
        <v>3364</v>
      </c>
      <c r="N447" s="0" t="s">
        <v>401</v>
      </c>
    </row>
    <row customHeight="1" ht="11.25">
      <c r="A448" s="7657" t="s">
        <v>2195</v>
      </c>
      <c r="B448" s="7657" t="s">
        <v>14</v>
      </c>
      <c r="C448" s="7657" t="s">
        <v>3376</v>
      </c>
      <c r="D448" s="7657" t="s">
        <v>3377</v>
      </c>
      <c r="E448" s="7657" t="s">
        <v>3378</v>
      </c>
      <c r="F448" s="7657" t="s">
        <v>3379</v>
      </c>
      <c r="G448" s="7657" t="s">
        <v>3380</v>
      </c>
      <c r="H448" s="7657" t="s">
        <v>17</v>
      </c>
      <c r="I448" s="7657" t="s">
        <v>2534</v>
      </c>
      <c r="J448" s="0" t="s">
        <v>17</v>
      </c>
      <c r="K448" s="0" t="s">
        <v>3365</v>
      </c>
      <c r="L448" s="0" t="s">
        <v>3363</v>
      </c>
      <c r="M448" s="0" t="s">
        <v>3364</v>
      </c>
      <c r="N448" s="0" t="s">
        <v>401</v>
      </c>
    </row>
    <row customHeight="1" ht="11.25">
      <c r="A449" s="7657" t="s">
        <v>2195</v>
      </c>
      <c r="B449" s="7657" t="s">
        <v>14</v>
      </c>
      <c r="C449" s="7657" t="s">
        <v>3381</v>
      </c>
      <c r="D449" s="7657" t="s">
        <v>3382</v>
      </c>
      <c r="E449" s="7657" t="s">
        <v>3383</v>
      </c>
      <c r="F449" s="7657" t="s">
        <v>3004</v>
      </c>
      <c r="G449" s="7657" t="s">
        <v>3384</v>
      </c>
      <c r="H449" s="7657" t="s">
        <v>17</v>
      </c>
      <c r="I449" s="7657" t="s">
        <v>2208</v>
      </c>
      <c r="J449" s="0" t="s">
        <v>17</v>
      </c>
      <c r="K449" s="0" t="s">
        <v>3362</v>
      </c>
      <c r="L449" s="0" t="s">
        <v>3374</v>
      </c>
      <c r="M449" s="0" t="s">
        <v>3375</v>
      </c>
      <c r="N449" s="0" t="s">
        <v>401</v>
      </c>
    </row>
    <row customHeight="1" ht="11.25">
      <c r="A450" s="7657" t="s">
        <v>2195</v>
      </c>
      <c r="B450" s="7657" t="s">
        <v>14</v>
      </c>
      <c r="C450" s="7657" t="s">
        <v>3381</v>
      </c>
      <c r="D450" s="7657" t="s">
        <v>3382</v>
      </c>
      <c r="E450" s="7657" t="s">
        <v>3383</v>
      </c>
      <c r="F450" s="7657" t="s">
        <v>3004</v>
      </c>
      <c r="G450" s="7657" t="s">
        <v>3384</v>
      </c>
      <c r="H450" s="7657" t="s">
        <v>17</v>
      </c>
      <c r="I450" s="7657" t="s">
        <v>2208</v>
      </c>
      <c r="J450" s="0" t="s">
        <v>17</v>
      </c>
      <c r="K450" s="0" t="s">
        <v>3362</v>
      </c>
      <c r="L450" s="0" t="s">
        <v>3363</v>
      </c>
      <c r="M450" s="0" t="s">
        <v>3364</v>
      </c>
      <c r="N450" s="0" t="s">
        <v>401</v>
      </c>
    </row>
    <row customHeight="1" ht="11.25">
      <c r="A451" s="7657" t="s">
        <v>2195</v>
      </c>
      <c r="B451" s="7657" t="s">
        <v>14</v>
      </c>
      <c r="C451" s="7657" t="s">
        <v>3381</v>
      </c>
      <c r="D451" s="7657" t="s">
        <v>3382</v>
      </c>
      <c r="E451" s="7657" t="s">
        <v>3383</v>
      </c>
      <c r="F451" s="7657" t="s">
        <v>3004</v>
      </c>
      <c r="G451" s="7657" t="s">
        <v>3384</v>
      </c>
      <c r="H451" s="7657" t="s">
        <v>17</v>
      </c>
      <c r="I451" s="7657" t="s">
        <v>2208</v>
      </c>
      <c r="J451" s="0" t="s">
        <v>17</v>
      </c>
      <c r="K451" s="0" t="s">
        <v>3365</v>
      </c>
      <c r="L451" s="0" t="s">
        <v>3363</v>
      </c>
      <c r="M451" s="0" t="s">
        <v>3364</v>
      </c>
      <c r="N451" s="0" t="s">
        <v>401</v>
      </c>
    </row>
    <row customHeight="1" ht="11.25">
      <c r="A452" s="7657" t="s">
        <v>2195</v>
      </c>
      <c r="B452" s="7657" t="s">
        <v>14</v>
      </c>
      <c r="C452" s="7657" t="s">
        <v>3381</v>
      </c>
      <c r="D452" s="7657" t="s">
        <v>3382</v>
      </c>
      <c r="E452" s="7657" t="s">
        <v>3383</v>
      </c>
      <c r="F452" s="7657" t="s">
        <v>3004</v>
      </c>
      <c r="G452" s="7657" t="s">
        <v>3384</v>
      </c>
      <c r="H452" s="7657" t="s">
        <v>17</v>
      </c>
      <c r="I452" s="7657" t="s">
        <v>3385</v>
      </c>
      <c r="J452" s="0" t="s">
        <v>17</v>
      </c>
      <c r="K452" s="0" t="s">
        <v>3362</v>
      </c>
      <c r="L452" s="0" t="s">
        <v>3386</v>
      </c>
      <c r="M452" s="0" t="s">
        <v>3387</v>
      </c>
      <c r="N452" s="0" t="s">
        <v>401</v>
      </c>
    </row>
    <row customHeight="1" ht="11.25">
      <c r="A453" s="7657" t="s">
        <v>2195</v>
      </c>
      <c r="B453" s="7657" t="s">
        <v>14</v>
      </c>
      <c r="C453" s="7657" t="s">
        <v>3388</v>
      </c>
      <c r="D453" s="7657" t="s">
        <v>3389</v>
      </c>
      <c r="E453" s="7657" t="s">
        <v>3390</v>
      </c>
      <c r="F453" s="7657" t="s">
        <v>2279</v>
      </c>
      <c r="G453" s="7657" t="s">
        <v>17</v>
      </c>
      <c r="H453" s="7657" t="s">
        <v>17</v>
      </c>
      <c r="I453" s="7657" t="s">
        <v>2426</v>
      </c>
      <c r="J453" s="0" t="s">
        <v>17</v>
      </c>
      <c r="K453" s="0" t="s">
        <v>3362</v>
      </c>
      <c r="L453" s="0" t="s">
        <v>3391</v>
      </c>
      <c r="M453" s="0" t="s">
        <v>3392</v>
      </c>
      <c r="N453" s="0" t="s">
        <v>401</v>
      </c>
    </row>
    <row customHeight="1" ht="11.25">
      <c r="A454" s="7657" t="s">
        <v>2195</v>
      </c>
      <c r="B454" s="7657" t="s">
        <v>14</v>
      </c>
      <c r="C454" s="7657" t="s">
        <v>2224</v>
      </c>
      <c r="D454" s="7657" t="s">
        <v>2225</v>
      </c>
      <c r="E454" s="7657" t="s">
        <v>2226</v>
      </c>
      <c r="F454" s="7657" t="s">
        <v>2227</v>
      </c>
      <c r="G454" s="7657" t="s">
        <v>17</v>
      </c>
      <c r="H454" s="7657" t="s">
        <v>17</v>
      </c>
      <c r="I454" s="7657" t="s">
        <v>3393</v>
      </c>
      <c r="J454" s="0" t="s">
        <v>17</v>
      </c>
      <c r="K454" s="0" t="s">
        <v>3362</v>
      </c>
      <c r="L454" s="0" t="s">
        <v>3394</v>
      </c>
      <c r="M454" s="0" t="s">
        <v>3395</v>
      </c>
      <c r="N454" s="0" t="s">
        <v>401</v>
      </c>
    </row>
    <row customHeight="1" ht="11.25">
      <c r="A455" s="7657" t="s">
        <v>2195</v>
      </c>
      <c r="B455" s="7657" t="s">
        <v>14</v>
      </c>
      <c r="C455" s="7657" t="s">
        <v>2224</v>
      </c>
      <c r="D455" s="7657" t="s">
        <v>2225</v>
      </c>
      <c r="E455" s="7657" t="s">
        <v>2226</v>
      </c>
      <c r="F455" s="7657" t="s">
        <v>2227</v>
      </c>
      <c r="G455" s="7657" t="s">
        <v>17</v>
      </c>
      <c r="H455" s="7657" t="s">
        <v>17</v>
      </c>
      <c r="I455" s="7657" t="s">
        <v>3393</v>
      </c>
      <c r="J455" s="0" t="s">
        <v>17</v>
      </c>
      <c r="K455" s="0" t="s">
        <v>3365</v>
      </c>
      <c r="L455" s="0" t="s">
        <v>3394</v>
      </c>
      <c r="M455" s="0" t="s">
        <v>3395</v>
      </c>
      <c r="N455" s="0" t="s">
        <v>401</v>
      </c>
    </row>
    <row customHeight="1" ht="11.25">
      <c r="A456" s="7657" t="s">
        <v>2195</v>
      </c>
      <c r="B456" s="7657" t="s">
        <v>14</v>
      </c>
      <c r="C456" s="7657" t="s">
        <v>2224</v>
      </c>
      <c r="D456" s="7657" t="s">
        <v>2225</v>
      </c>
      <c r="E456" s="7657" t="s">
        <v>2226</v>
      </c>
      <c r="F456" s="7657" t="s">
        <v>2227</v>
      </c>
      <c r="G456" s="7657" t="s">
        <v>17</v>
      </c>
      <c r="H456" s="7657" t="s">
        <v>17</v>
      </c>
      <c r="I456" s="7657" t="s">
        <v>3396</v>
      </c>
      <c r="J456" s="0" t="s">
        <v>17</v>
      </c>
      <c r="K456" s="0" t="s">
        <v>3362</v>
      </c>
      <c r="L456" s="0" t="s">
        <v>3374</v>
      </c>
      <c r="M456" s="0" t="s">
        <v>3375</v>
      </c>
      <c r="N456" s="0" t="s">
        <v>401</v>
      </c>
    </row>
    <row customHeight="1" ht="11.25">
      <c r="A457" s="7657" t="s">
        <v>2195</v>
      </c>
      <c r="B457" s="7657" t="s">
        <v>14</v>
      </c>
      <c r="C457" s="7657" t="s">
        <v>3397</v>
      </c>
      <c r="D457" s="7657" t="s">
        <v>3398</v>
      </c>
      <c r="E457" s="7657" t="s">
        <v>3399</v>
      </c>
      <c r="F457" s="7657" t="s">
        <v>2239</v>
      </c>
      <c r="G457" s="7657" t="s">
        <v>3400</v>
      </c>
      <c r="H457" s="7657" t="s">
        <v>17</v>
      </c>
      <c r="I457" s="7657" t="s">
        <v>2390</v>
      </c>
      <c r="J457" s="0" t="s">
        <v>17</v>
      </c>
      <c r="K457" s="0" t="s">
        <v>3362</v>
      </c>
      <c r="L457" s="0" t="s">
        <v>3401</v>
      </c>
      <c r="M457" s="0" t="s">
        <v>3402</v>
      </c>
      <c r="N457" s="0" t="s">
        <v>401</v>
      </c>
    </row>
    <row customHeight="1" ht="11.25">
      <c r="A458" s="7657" t="s">
        <v>2195</v>
      </c>
      <c r="B458" s="7657" t="s">
        <v>14</v>
      </c>
      <c r="C458" s="7657" t="s">
        <v>3397</v>
      </c>
      <c r="D458" s="7657" t="s">
        <v>3398</v>
      </c>
      <c r="E458" s="7657" t="s">
        <v>3399</v>
      </c>
      <c r="F458" s="7657" t="s">
        <v>2239</v>
      </c>
      <c r="G458" s="7657" t="s">
        <v>3400</v>
      </c>
      <c r="H458" s="7657" t="s">
        <v>17</v>
      </c>
      <c r="I458" s="7657" t="s">
        <v>2390</v>
      </c>
      <c r="J458" s="0" t="s">
        <v>17</v>
      </c>
      <c r="K458" s="0" t="s">
        <v>3365</v>
      </c>
      <c r="L458" s="0" t="s">
        <v>3401</v>
      </c>
      <c r="M458" s="0" t="s">
        <v>3402</v>
      </c>
      <c r="N458" s="0" t="s">
        <v>401</v>
      </c>
    </row>
    <row customHeight="1" ht="11.25">
      <c r="A459" s="7657" t="s">
        <v>2195</v>
      </c>
      <c r="B459" s="7657" t="s">
        <v>14</v>
      </c>
      <c r="C459" s="7657" t="s">
        <v>3403</v>
      </c>
      <c r="D459" s="7657" t="s">
        <v>3404</v>
      </c>
      <c r="E459" s="7657" t="s">
        <v>3405</v>
      </c>
      <c r="F459" s="7657" t="s">
        <v>2483</v>
      </c>
      <c r="G459" s="7657" t="s">
        <v>17</v>
      </c>
      <c r="H459" s="7657" t="s">
        <v>17</v>
      </c>
      <c r="I459" s="7657" t="s">
        <v>2426</v>
      </c>
      <c r="J459" s="0" t="s">
        <v>17</v>
      </c>
      <c r="K459" s="0" t="s">
        <v>3362</v>
      </c>
      <c r="L459" s="0" t="s">
        <v>3401</v>
      </c>
      <c r="M459" s="0" t="s">
        <v>3402</v>
      </c>
      <c r="N459" s="0" t="s">
        <v>401</v>
      </c>
    </row>
    <row customHeight="1" ht="11.25">
      <c r="A460" s="7657" t="s">
        <v>2195</v>
      </c>
      <c r="B460" s="7657" t="s">
        <v>14</v>
      </c>
      <c r="C460" s="7657" t="s">
        <v>3403</v>
      </c>
      <c r="D460" s="7657" t="s">
        <v>3404</v>
      </c>
      <c r="E460" s="7657" t="s">
        <v>3405</v>
      </c>
      <c r="F460" s="7657" t="s">
        <v>2483</v>
      </c>
      <c r="G460" s="7657" t="s">
        <v>17</v>
      </c>
      <c r="H460" s="7657" t="s">
        <v>17</v>
      </c>
      <c r="I460" s="7657" t="s">
        <v>2426</v>
      </c>
      <c r="J460" s="0" t="s">
        <v>17</v>
      </c>
      <c r="K460" s="0" t="s">
        <v>3365</v>
      </c>
      <c r="L460" s="0" t="s">
        <v>3401</v>
      </c>
      <c r="M460" s="0" t="s">
        <v>3402</v>
      </c>
      <c r="N460" s="0" t="s">
        <v>401</v>
      </c>
    </row>
    <row customHeight="1" ht="11.25">
      <c r="A461" s="7657" t="s">
        <v>2195</v>
      </c>
      <c r="B461" s="7657" t="s">
        <v>14</v>
      </c>
      <c r="C461" s="7657" t="s">
        <v>2251</v>
      </c>
      <c r="D461" s="7657" t="s">
        <v>2252</v>
      </c>
      <c r="E461" s="7657" t="s">
        <v>2253</v>
      </c>
      <c r="F461" s="7657" t="s">
        <v>2254</v>
      </c>
      <c r="G461" s="7657" t="s">
        <v>2255</v>
      </c>
      <c r="H461" s="7657" t="s">
        <v>17</v>
      </c>
      <c r="I461" s="7657" t="s">
        <v>2228</v>
      </c>
      <c r="J461" s="0" t="s">
        <v>17</v>
      </c>
      <c r="K461" s="0" t="s">
        <v>3362</v>
      </c>
      <c r="L461" s="0" t="s">
        <v>3363</v>
      </c>
      <c r="M461" s="0" t="s">
        <v>3364</v>
      </c>
      <c r="N461" s="0" t="s">
        <v>401</v>
      </c>
    </row>
    <row customHeight="1" ht="11.25">
      <c r="A462" s="7657" t="s">
        <v>2195</v>
      </c>
      <c r="B462" s="7657" t="s">
        <v>14</v>
      </c>
      <c r="C462" s="7657" t="s">
        <v>2251</v>
      </c>
      <c r="D462" s="7657" t="s">
        <v>2252</v>
      </c>
      <c r="E462" s="7657" t="s">
        <v>2253</v>
      </c>
      <c r="F462" s="7657" t="s">
        <v>2254</v>
      </c>
      <c r="G462" s="7657" t="s">
        <v>2255</v>
      </c>
      <c r="H462" s="7657" t="s">
        <v>17</v>
      </c>
      <c r="I462" s="7657" t="s">
        <v>2228</v>
      </c>
      <c r="J462" s="0" t="s">
        <v>17</v>
      </c>
      <c r="K462" s="0" t="s">
        <v>3365</v>
      </c>
      <c r="L462" s="0" t="s">
        <v>3363</v>
      </c>
      <c r="M462" s="0" t="s">
        <v>3364</v>
      </c>
      <c r="N462" s="0" t="s">
        <v>401</v>
      </c>
    </row>
    <row customHeight="1" ht="11.25">
      <c r="A463" s="7657" t="s">
        <v>2195</v>
      </c>
      <c r="B463" s="7657" t="s">
        <v>14</v>
      </c>
      <c r="C463" s="7657" t="s">
        <v>2260</v>
      </c>
      <c r="D463" s="7657" t="s">
        <v>2261</v>
      </c>
      <c r="E463" s="7657" t="s">
        <v>2262</v>
      </c>
      <c r="F463" s="7657" t="s">
        <v>2263</v>
      </c>
      <c r="G463" s="7657" t="s">
        <v>2223</v>
      </c>
      <c r="H463" s="7657" t="s">
        <v>17</v>
      </c>
      <c r="I463" s="7657" t="s">
        <v>2223</v>
      </c>
      <c r="J463" s="0" t="s">
        <v>17</v>
      </c>
      <c r="K463" s="0" t="s">
        <v>3362</v>
      </c>
      <c r="L463" s="0" t="s">
        <v>3401</v>
      </c>
      <c r="M463" s="0" t="s">
        <v>3402</v>
      </c>
      <c r="N463" s="0" t="s">
        <v>401</v>
      </c>
    </row>
    <row customHeight="1" ht="11.25">
      <c r="A464" s="7657" t="s">
        <v>2195</v>
      </c>
      <c r="B464" s="7657" t="s">
        <v>14</v>
      </c>
      <c r="C464" s="7657" t="s">
        <v>2260</v>
      </c>
      <c r="D464" s="7657" t="s">
        <v>2261</v>
      </c>
      <c r="E464" s="7657" t="s">
        <v>2262</v>
      </c>
      <c r="F464" s="7657" t="s">
        <v>2263</v>
      </c>
      <c r="G464" s="7657" t="s">
        <v>2223</v>
      </c>
      <c r="H464" s="7657" t="s">
        <v>17</v>
      </c>
      <c r="I464" s="7657" t="s">
        <v>2223</v>
      </c>
      <c r="J464" s="0" t="s">
        <v>17</v>
      </c>
      <c r="K464" s="0" t="s">
        <v>3365</v>
      </c>
      <c r="L464" s="0" t="s">
        <v>3401</v>
      </c>
      <c r="M464" s="0" t="s">
        <v>3402</v>
      </c>
      <c r="N464" s="0" t="s">
        <v>401</v>
      </c>
    </row>
    <row customHeight="1" ht="11.25">
      <c r="A465" s="7657" t="s">
        <v>2195</v>
      </c>
      <c r="B465" s="7657" t="s">
        <v>14</v>
      </c>
      <c r="C465" s="7657" t="s">
        <v>3406</v>
      </c>
      <c r="D465" s="7657" t="s">
        <v>3407</v>
      </c>
      <c r="E465" s="7657" t="s">
        <v>3408</v>
      </c>
      <c r="F465" s="7657" t="s">
        <v>2866</v>
      </c>
      <c r="G465" s="7657" t="s">
        <v>3409</v>
      </c>
      <c r="H465" s="7657" t="s">
        <v>17</v>
      </c>
      <c r="I465" s="7657" t="s">
        <v>3409</v>
      </c>
      <c r="J465" s="0" t="s">
        <v>17</v>
      </c>
      <c r="K465" s="0" t="s">
        <v>3362</v>
      </c>
      <c r="L465" s="0" t="s">
        <v>3363</v>
      </c>
      <c r="M465" s="0" t="s">
        <v>3364</v>
      </c>
      <c r="N465" s="0" t="s">
        <v>401</v>
      </c>
    </row>
    <row customHeight="1" ht="11.25">
      <c r="A466" s="7657" t="s">
        <v>2195</v>
      </c>
      <c r="B466" s="7657" t="s">
        <v>14</v>
      </c>
      <c r="C466" s="7657" t="s">
        <v>3406</v>
      </c>
      <c r="D466" s="7657" t="s">
        <v>3407</v>
      </c>
      <c r="E466" s="7657" t="s">
        <v>3408</v>
      </c>
      <c r="F466" s="7657" t="s">
        <v>2866</v>
      </c>
      <c r="G466" s="7657" t="s">
        <v>3409</v>
      </c>
      <c r="H466" s="7657" t="s">
        <v>17</v>
      </c>
      <c r="I466" s="7657" t="s">
        <v>3409</v>
      </c>
      <c r="J466" s="0" t="s">
        <v>17</v>
      </c>
      <c r="K466" s="0" t="s">
        <v>3365</v>
      </c>
      <c r="L466" s="0" t="s">
        <v>3363</v>
      </c>
      <c r="M466" s="0" t="s">
        <v>3364</v>
      </c>
      <c r="N466" s="0" t="s">
        <v>401</v>
      </c>
    </row>
    <row customHeight="1" ht="11.25">
      <c r="A467" s="7657" t="s">
        <v>2195</v>
      </c>
      <c r="B467" s="7657" t="s">
        <v>14</v>
      </c>
      <c r="C467" s="7657" t="s">
        <v>3410</v>
      </c>
      <c r="D467" s="7657" t="s">
        <v>3411</v>
      </c>
      <c r="E467" s="7657" t="s">
        <v>3412</v>
      </c>
      <c r="F467" s="7657" t="s">
        <v>2199</v>
      </c>
      <c r="G467" s="7657" t="s">
        <v>3102</v>
      </c>
      <c r="H467" s="7657" t="s">
        <v>17</v>
      </c>
      <c r="I467" s="7657" t="s">
        <v>2390</v>
      </c>
      <c r="J467" s="0" t="s">
        <v>17</v>
      </c>
      <c r="K467" s="0" t="s">
        <v>3362</v>
      </c>
      <c r="L467" s="0" t="s">
        <v>3401</v>
      </c>
      <c r="M467" s="0" t="s">
        <v>3402</v>
      </c>
      <c r="N467" s="0" t="s">
        <v>401</v>
      </c>
    </row>
    <row customHeight="1" ht="11.25">
      <c r="A468" s="7657" t="s">
        <v>2195</v>
      </c>
      <c r="B468" s="7657" t="s">
        <v>14</v>
      </c>
      <c r="C468" s="7657" t="s">
        <v>3410</v>
      </c>
      <c r="D468" s="7657" t="s">
        <v>3411</v>
      </c>
      <c r="E468" s="7657" t="s">
        <v>3412</v>
      </c>
      <c r="F468" s="7657" t="s">
        <v>2199</v>
      </c>
      <c r="G468" s="7657" t="s">
        <v>3102</v>
      </c>
      <c r="H468" s="7657" t="s">
        <v>17</v>
      </c>
      <c r="I468" s="7657" t="s">
        <v>2390</v>
      </c>
      <c r="J468" s="0" t="s">
        <v>17</v>
      </c>
      <c r="K468" s="0" t="s">
        <v>3365</v>
      </c>
      <c r="L468" s="0" t="s">
        <v>3401</v>
      </c>
      <c r="M468" s="0" t="s">
        <v>3402</v>
      </c>
      <c r="N468" s="0" t="s">
        <v>401</v>
      </c>
    </row>
    <row customHeight="1" ht="11.25">
      <c r="A469" s="7657" t="s">
        <v>2195</v>
      </c>
      <c r="B469" s="7657" t="s">
        <v>14</v>
      </c>
      <c r="C469" s="7657" t="s">
        <v>3413</v>
      </c>
      <c r="D469" s="7657" t="s">
        <v>3414</v>
      </c>
      <c r="E469" s="7657" t="s">
        <v>3415</v>
      </c>
      <c r="F469" s="7657" t="s">
        <v>2897</v>
      </c>
      <c r="G469" s="7657" t="s">
        <v>3416</v>
      </c>
      <c r="H469" s="7657" t="s">
        <v>17</v>
      </c>
      <c r="I469" s="7657" t="s">
        <v>3417</v>
      </c>
      <c r="J469" s="0" t="s">
        <v>17</v>
      </c>
      <c r="K469" s="0" t="s">
        <v>3362</v>
      </c>
      <c r="L469" s="0" t="s">
        <v>3363</v>
      </c>
      <c r="M469" s="0" t="s">
        <v>3364</v>
      </c>
      <c r="N469" s="0" t="s">
        <v>401</v>
      </c>
    </row>
    <row customHeight="1" ht="11.25">
      <c r="A470" s="7657" t="s">
        <v>2195</v>
      </c>
      <c r="B470" s="7657" t="s">
        <v>14</v>
      </c>
      <c r="C470" s="7657" t="s">
        <v>3413</v>
      </c>
      <c r="D470" s="7657" t="s">
        <v>3414</v>
      </c>
      <c r="E470" s="7657" t="s">
        <v>3415</v>
      </c>
      <c r="F470" s="7657" t="s">
        <v>2897</v>
      </c>
      <c r="G470" s="7657" t="s">
        <v>3416</v>
      </c>
      <c r="H470" s="7657" t="s">
        <v>17</v>
      </c>
      <c r="I470" s="7657" t="s">
        <v>3417</v>
      </c>
      <c r="J470" s="0" t="s">
        <v>17</v>
      </c>
      <c r="K470" s="0" t="s">
        <v>3365</v>
      </c>
      <c r="L470" s="0" t="s">
        <v>3363</v>
      </c>
      <c r="M470" s="0" t="s">
        <v>3364</v>
      </c>
      <c r="N470" s="0" t="s">
        <v>401</v>
      </c>
    </row>
    <row customHeight="1" ht="11.25">
      <c r="A471" s="7657" t="s">
        <v>2195</v>
      </c>
      <c r="B471" s="7657" t="s">
        <v>14</v>
      </c>
      <c r="C471" s="7657" t="s">
        <v>3418</v>
      </c>
      <c r="D471" s="7657" t="s">
        <v>3419</v>
      </c>
      <c r="E471" s="7657" t="s">
        <v>3420</v>
      </c>
      <c r="F471" s="7657" t="s">
        <v>3421</v>
      </c>
      <c r="G471" s="7657" t="s">
        <v>3422</v>
      </c>
      <c r="H471" s="7657" t="s">
        <v>17</v>
      </c>
      <c r="I471" s="7657" t="s">
        <v>3422</v>
      </c>
      <c r="J471" s="0" t="s">
        <v>17</v>
      </c>
      <c r="K471" s="0" t="s">
        <v>3362</v>
      </c>
      <c r="L471" s="0" t="s">
        <v>3423</v>
      </c>
      <c r="M471" s="0" t="s">
        <v>3424</v>
      </c>
      <c r="N471" s="0" t="s">
        <v>401</v>
      </c>
    </row>
    <row customHeight="1" ht="11.25">
      <c r="A472" s="7657" t="s">
        <v>2195</v>
      </c>
      <c r="B472" s="7657" t="s">
        <v>14</v>
      </c>
      <c r="C472" s="7657" t="s">
        <v>3418</v>
      </c>
      <c r="D472" s="7657" t="s">
        <v>3419</v>
      </c>
      <c r="E472" s="7657" t="s">
        <v>3420</v>
      </c>
      <c r="F472" s="7657" t="s">
        <v>3421</v>
      </c>
      <c r="G472" s="7657" t="s">
        <v>3422</v>
      </c>
      <c r="H472" s="7657" t="s">
        <v>17</v>
      </c>
      <c r="I472" s="7657" t="s">
        <v>3422</v>
      </c>
      <c r="J472" s="0" t="s">
        <v>17</v>
      </c>
      <c r="K472" s="0" t="s">
        <v>3365</v>
      </c>
      <c r="L472" s="0" t="s">
        <v>3423</v>
      </c>
      <c r="M472" s="0" t="s">
        <v>3424</v>
      </c>
      <c r="N472" s="0" t="s">
        <v>401</v>
      </c>
    </row>
    <row customHeight="1" ht="11.25">
      <c r="A473" s="7657" t="s">
        <v>2195</v>
      </c>
      <c r="B473" s="7657" t="s">
        <v>14</v>
      </c>
      <c r="C473" s="7657" t="s">
        <v>3425</v>
      </c>
      <c r="D473" s="7657" t="s">
        <v>3419</v>
      </c>
      <c r="E473" s="7657" t="s">
        <v>3426</v>
      </c>
      <c r="F473" s="7657" t="s">
        <v>2279</v>
      </c>
      <c r="G473" s="7657" t="s">
        <v>17</v>
      </c>
      <c r="H473" s="7657" t="s">
        <v>17</v>
      </c>
      <c r="I473" s="7657" t="s">
        <v>2426</v>
      </c>
      <c r="J473" s="0" t="s">
        <v>17</v>
      </c>
      <c r="K473" s="0" t="s">
        <v>3362</v>
      </c>
      <c r="L473" s="0" t="s">
        <v>3401</v>
      </c>
      <c r="M473" s="0" t="s">
        <v>3402</v>
      </c>
      <c r="N473" s="0" t="s">
        <v>401</v>
      </c>
    </row>
    <row customHeight="1" ht="11.25">
      <c r="A474" s="7657" t="s">
        <v>2195</v>
      </c>
      <c r="B474" s="7657" t="s">
        <v>14</v>
      </c>
      <c r="C474" s="7657" t="s">
        <v>3425</v>
      </c>
      <c r="D474" s="7657" t="s">
        <v>3419</v>
      </c>
      <c r="E474" s="7657" t="s">
        <v>3426</v>
      </c>
      <c r="F474" s="7657" t="s">
        <v>2279</v>
      </c>
      <c r="G474" s="7657" t="s">
        <v>17</v>
      </c>
      <c r="H474" s="7657" t="s">
        <v>17</v>
      </c>
      <c r="I474" s="7657" t="s">
        <v>2426</v>
      </c>
      <c r="J474" s="0" t="s">
        <v>17</v>
      </c>
      <c r="K474" s="0" t="s">
        <v>3365</v>
      </c>
      <c r="L474" s="0" t="s">
        <v>3401</v>
      </c>
      <c r="M474" s="0" t="s">
        <v>3402</v>
      </c>
      <c r="N474" s="0" t="s">
        <v>401</v>
      </c>
    </row>
    <row customHeight="1" ht="11.25">
      <c r="A475" s="7657" t="s">
        <v>2195</v>
      </c>
      <c r="B475" s="7657" t="s">
        <v>14</v>
      </c>
      <c r="C475" s="7657" t="s">
        <v>3425</v>
      </c>
      <c r="D475" s="7657" t="s">
        <v>3419</v>
      </c>
      <c r="E475" s="7657" t="s">
        <v>3426</v>
      </c>
      <c r="F475" s="7657" t="s">
        <v>2279</v>
      </c>
      <c r="G475" s="7657" t="s">
        <v>17</v>
      </c>
      <c r="H475" s="7657" t="s">
        <v>17</v>
      </c>
      <c r="I475" s="7657" t="s">
        <v>3385</v>
      </c>
      <c r="J475" s="0" t="s">
        <v>17</v>
      </c>
      <c r="K475" s="0" t="s">
        <v>3362</v>
      </c>
      <c r="L475" s="0" t="s">
        <v>3401</v>
      </c>
      <c r="M475" s="0" t="s">
        <v>3402</v>
      </c>
      <c r="N475" s="0" t="s">
        <v>401</v>
      </c>
    </row>
    <row customHeight="1" ht="11.25">
      <c r="A476" s="7657" t="s">
        <v>2195</v>
      </c>
      <c r="B476" s="7657" t="s">
        <v>14</v>
      </c>
      <c r="C476" s="7657" t="s">
        <v>3425</v>
      </c>
      <c r="D476" s="7657" t="s">
        <v>3419</v>
      </c>
      <c r="E476" s="7657" t="s">
        <v>3426</v>
      </c>
      <c r="F476" s="7657" t="s">
        <v>2279</v>
      </c>
      <c r="G476" s="7657" t="s">
        <v>17</v>
      </c>
      <c r="H476" s="7657" t="s">
        <v>17</v>
      </c>
      <c r="I476" s="7657" t="s">
        <v>3385</v>
      </c>
      <c r="J476" s="0" t="s">
        <v>17</v>
      </c>
      <c r="K476" s="0" t="s">
        <v>3365</v>
      </c>
      <c r="L476" s="0" t="s">
        <v>3401</v>
      </c>
      <c r="M476" s="0" t="s">
        <v>3402</v>
      </c>
      <c r="N476" s="0" t="s">
        <v>401</v>
      </c>
    </row>
    <row customHeight="1" ht="11.25">
      <c r="A477" s="7657" t="s">
        <v>2195</v>
      </c>
      <c r="B477" s="7657" t="s">
        <v>14</v>
      </c>
      <c r="C477" s="7657" t="s">
        <v>2298</v>
      </c>
      <c r="D477" s="7657" t="s">
        <v>2299</v>
      </c>
      <c r="E477" s="7657" t="s">
        <v>2300</v>
      </c>
      <c r="F477" s="7657" t="s">
        <v>2279</v>
      </c>
      <c r="G477" s="7657" t="s">
        <v>17</v>
      </c>
      <c r="H477" s="7657" t="s">
        <v>17</v>
      </c>
      <c r="I477" s="7657" t="s">
        <v>2228</v>
      </c>
      <c r="J477" s="0" t="s">
        <v>17</v>
      </c>
      <c r="K477" s="0" t="s">
        <v>3362</v>
      </c>
      <c r="L477" s="0" t="s">
        <v>3363</v>
      </c>
      <c r="M477" s="0" t="s">
        <v>3364</v>
      </c>
      <c r="N477" s="0" t="s">
        <v>401</v>
      </c>
    </row>
    <row customHeight="1" ht="11.25">
      <c r="A478" s="7657" t="s">
        <v>2195</v>
      </c>
      <c r="B478" s="7657" t="s">
        <v>14</v>
      </c>
      <c r="C478" s="7657" t="s">
        <v>2298</v>
      </c>
      <c r="D478" s="7657" t="s">
        <v>2299</v>
      </c>
      <c r="E478" s="7657" t="s">
        <v>2300</v>
      </c>
      <c r="F478" s="7657" t="s">
        <v>2279</v>
      </c>
      <c r="G478" s="7657" t="s">
        <v>17</v>
      </c>
      <c r="H478" s="7657" t="s">
        <v>17</v>
      </c>
      <c r="I478" s="7657" t="s">
        <v>2228</v>
      </c>
      <c r="J478" s="0" t="s">
        <v>17</v>
      </c>
      <c r="K478" s="0" t="s">
        <v>3365</v>
      </c>
      <c r="L478" s="0" t="s">
        <v>3363</v>
      </c>
      <c r="M478" s="0" t="s">
        <v>3364</v>
      </c>
      <c r="N478" s="0" t="s">
        <v>401</v>
      </c>
    </row>
    <row customHeight="1" ht="11.25">
      <c r="A479" s="7657" t="s">
        <v>2195</v>
      </c>
      <c r="B479" s="7657" t="s">
        <v>14</v>
      </c>
      <c r="C479" s="7657" t="s">
        <v>3427</v>
      </c>
      <c r="D479" s="7657" t="s">
        <v>3428</v>
      </c>
      <c r="E479" s="7657" t="s">
        <v>3429</v>
      </c>
      <c r="F479" s="7657" t="s">
        <v>2489</v>
      </c>
      <c r="G479" s="7657" t="s">
        <v>17</v>
      </c>
      <c r="H479" s="7657" t="s">
        <v>17</v>
      </c>
      <c r="I479" s="7657" t="s">
        <v>2534</v>
      </c>
      <c r="J479" s="0" t="s">
        <v>17</v>
      </c>
      <c r="K479" s="0" t="s">
        <v>3362</v>
      </c>
      <c r="L479" s="0" t="s">
        <v>3363</v>
      </c>
      <c r="M479" s="0" t="s">
        <v>3364</v>
      </c>
      <c r="N479" s="0" t="s">
        <v>401</v>
      </c>
    </row>
    <row customHeight="1" ht="11.25">
      <c r="A480" s="7657" t="s">
        <v>2195</v>
      </c>
      <c r="B480" s="7657" t="s">
        <v>14</v>
      </c>
      <c r="C480" s="7657" t="s">
        <v>3427</v>
      </c>
      <c r="D480" s="7657" t="s">
        <v>3428</v>
      </c>
      <c r="E480" s="7657" t="s">
        <v>3429</v>
      </c>
      <c r="F480" s="7657" t="s">
        <v>2489</v>
      </c>
      <c r="G480" s="7657" t="s">
        <v>17</v>
      </c>
      <c r="H480" s="7657" t="s">
        <v>17</v>
      </c>
      <c r="I480" s="7657" t="s">
        <v>2534</v>
      </c>
      <c r="J480" s="0" t="s">
        <v>17</v>
      </c>
      <c r="K480" s="0" t="s">
        <v>3365</v>
      </c>
      <c r="L480" s="0" t="s">
        <v>3363</v>
      </c>
      <c r="M480" s="0" t="s">
        <v>3364</v>
      </c>
      <c r="N480" s="0" t="s">
        <v>401</v>
      </c>
    </row>
    <row customHeight="1" ht="11.25">
      <c r="A481" s="7657" t="s">
        <v>2195</v>
      </c>
      <c r="B481" s="7657" t="s">
        <v>14</v>
      </c>
      <c r="C481" s="7657" t="s">
        <v>2329</v>
      </c>
      <c r="D481" s="7657" t="s">
        <v>2330</v>
      </c>
      <c r="E481" s="7657" t="s">
        <v>2331</v>
      </c>
      <c r="F481" s="7657" t="s">
        <v>2332</v>
      </c>
      <c r="G481" s="7657" t="s">
        <v>17</v>
      </c>
      <c r="H481" s="7657" t="s">
        <v>17</v>
      </c>
      <c r="I481" s="7657" t="s">
        <v>2287</v>
      </c>
      <c r="J481" s="0" t="s">
        <v>17</v>
      </c>
      <c r="K481" s="0" t="s">
        <v>3362</v>
      </c>
      <c r="L481" s="0" t="s">
        <v>3363</v>
      </c>
      <c r="M481" s="0" t="s">
        <v>3364</v>
      </c>
      <c r="N481" s="0" t="s">
        <v>401</v>
      </c>
    </row>
    <row customHeight="1" ht="11.25">
      <c r="A482" s="7657" t="s">
        <v>2195</v>
      </c>
      <c r="B482" s="7657" t="s">
        <v>14</v>
      </c>
      <c r="C482" s="7657" t="s">
        <v>2329</v>
      </c>
      <c r="D482" s="7657" t="s">
        <v>2330</v>
      </c>
      <c r="E482" s="7657" t="s">
        <v>2331</v>
      </c>
      <c r="F482" s="7657" t="s">
        <v>2332</v>
      </c>
      <c r="G482" s="7657" t="s">
        <v>17</v>
      </c>
      <c r="H482" s="7657" t="s">
        <v>17</v>
      </c>
      <c r="I482" s="7657" t="s">
        <v>2287</v>
      </c>
      <c r="J482" s="0" t="s">
        <v>17</v>
      </c>
      <c r="K482" s="0" t="s">
        <v>3365</v>
      </c>
      <c r="L482" s="0" t="s">
        <v>3363</v>
      </c>
      <c r="M482" s="0" t="s">
        <v>3364</v>
      </c>
      <c r="N482" s="0" t="s">
        <v>401</v>
      </c>
    </row>
    <row customHeight="1" ht="11.25">
      <c r="A483" s="7657" t="s">
        <v>2195</v>
      </c>
      <c r="B483" s="7657" t="s">
        <v>14</v>
      </c>
      <c r="C483" s="7657" t="s">
        <v>2337</v>
      </c>
      <c r="D483" s="7657" t="s">
        <v>2338</v>
      </c>
      <c r="E483" s="7657" t="s">
        <v>2339</v>
      </c>
      <c r="F483" s="7657" t="s">
        <v>2232</v>
      </c>
      <c r="G483" s="7657" t="s">
        <v>17</v>
      </c>
      <c r="H483" s="7657" t="s">
        <v>17</v>
      </c>
      <c r="I483" s="7657" t="s">
        <v>3312</v>
      </c>
      <c r="J483" s="0" t="s">
        <v>17</v>
      </c>
      <c r="K483" s="0" t="s">
        <v>3362</v>
      </c>
      <c r="L483" s="0" t="s">
        <v>3401</v>
      </c>
      <c r="M483" s="0" t="s">
        <v>3402</v>
      </c>
      <c r="N483" s="0" t="s">
        <v>401</v>
      </c>
    </row>
    <row customHeight="1" ht="11.25">
      <c r="A484" s="7657" t="s">
        <v>2195</v>
      </c>
      <c r="B484" s="7657" t="s">
        <v>14</v>
      </c>
      <c r="C484" s="7657" t="s">
        <v>2337</v>
      </c>
      <c r="D484" s="7657" t="s">
        <v>2338</v>
      </c>
      <c r="E484" s="7657" t="s">
        <v>2339</v>
      </c>
      <c r="F484" s="7657" t="s">
        <v>2232</v>
      </c>
      <c r="G484" s="7657" t="s">
        <v>17</v>
      </c>
      <c r="H484" s="7657" t="s">
        <v>17</v>
      </c>
      <c r="I484" s="7657" t="s">
        <v>3312</v>
      </c>
      <c r="J484" s="0" t="s">
        <v>17</v>
      </c>
      <c r="K484" s="0" t="s">
        <v>3365</v>
      </c>
      <c r="L484" s="0" t="s">
        <v>3401</v>
      </c>
      <c r="M484" s="0" t="s">
        <v>3402</v>
      </c>
      <c r="N484" s="0" t="s">
        <v>401</v>
      </c>
    </row>
    <row customHeight="1" ht="11.25">
      <c r="A485" s="7657" t="s">
        <v>2195</v>
      </c>
      <c r="B485" s="7657" t="s">
        <v>14</v>
      </c>
      <c r="C485" s="7657" t="s">
        <v>3430</v>
      </c>
      <c r="D485" s="7657" t="s">
        <v>3431</v>
      </c>
      <c r="E485" s="7657" t="s">
        <v>3261</v>
      </c>
      <c r="F485" s="7657" t="s">
        <v>2227</v>
      </c>
      <c r="G485" s="7657" t="s">
        <v>3432</v>
      </c>
      <c r="H485" s="7657" t="s">
        <v>17</v>
      </c>
      <c r="I485" s="7657" t="s">
        <v>3433</v>
      </c>
      <c r="J485" s="0" t="s">
        <v>17</v>
      </c>
      <c r="K485" s="0" t="s">
        <v>3362</v>
      </c>
      <c r="L485" s="0" t="s">
        <v>3434</v>
      </c>
      <c r="M485" s="0" t="s">
        <v>3435</v>
      </c>
      <c r="N485" s="0" t="s">
        <v>401</v>
      </c>
    </row>
    <row customHeight="1" ht="11.25">
      <c r="A486" s="7657" t="s">
        <v>2195</v>
      </c>
      <c r="B486" s="7657" t="s">
        <v>14</v>
      </c>
      <c r="C486" s="7657" t="s">
        <v>3436</v>
      </c>
      <c r="D486" s="7657" t="s">
        <v>3437</v>
      </c>
      <c r="E486" s="7657" t="s">
        <v>3438</v>
      </c>
      <c r="F486" s="7657" t="s">
        <v>2317</v>
      </c>
      <c r="G486" s="7657" t="s">
        <v>3439</v>
      </c>
      <c r="H486" s="7657" t="s">
        <v>17</v>
      </c>
      <c r="I486" s="7657" t="s">
        <v>2208</v>
      </c>
      <c r="J486" s="0" t="s">
        <v>17</v>
      </c>
      <c r="K486" s="0" t="s">
        <v>3362</v>
      </c>
      <c r="L486" s="0" t="s">
        <v>3363</v>
      </c>
      <c r="M486" s="0" t="s">
        <v>3364</v>
      </c>
      <c r="N486" s="0" t="s">
        <v>401</v>
      </c>
    </row>
    <row customHeight="1" ht="11.25">
      <c r="A487" s="7657" t="s">
        <v>2195</v>
      </c>
      <c r="B487" s="7657" t="s">
        <v>14</v>
      </c>
      <c r="C487" s="7657" t="s">
        <v>3436</v>
      </c>
      <c r="D487" s="7657" t="s">
        <v>3437</v>
      </c>
      <c r="E487" s="7657" t="s">
        <v>3438</v>
      </c>
      <c r="F487" s="7657" t="s">
        <v>2317</v>
      </c>
      <c r="G487" s="7657" t="s">
        <v>3439</v>
      </c>
      <c r="H487" s="7657" t="s">
        <v>17</v>
      </c>
      <c r="I487" s="7657" t="s">
        <v>2208</v>
      </c>
      <c r="J487" s="0" t="s">
        <v>17</v>
      </c>
      <c r="K487" s="0" t="s">
        <v>3365</v>
      </c>
      <c r="L487" s="0" t="s">
        <v>3363</v>
      </c>
      <c r="M487" s="0" t="s">
        <v>3364</v>
      </c>
      <c r="N487" s="0" t="s">
        <v>401</v>
      </c>
    </row>
    <row customHeight="1" ht="11.25">
      <c r="A488" s="7657" t="s">
        <v>2195</v>
      </c>
      <c r="B488" s="7657" t="s">
        <v>14</v>
      </c>
      <c r="C488" s="7657" t="s">
        <v>2341</v>
      </c>
      <c r="D488" s="7657" t="s">
        <v>2342</v>
      </c>
      <c r="E488" s="7657" t="s">
        <v>2343</v>
      </c>
      <c r="F488" s="7657" t="s">
        <v>2206</v>
      </c>
      <c r="G488" s="7657" t="s">
        <v>2344</v>
      </c>
      <c r="H488" s="7657" t="s">
        <v>17</v>
      </c>
      <c r="I488" s="7657" t="s">
        <v>2208</v>
      </c>
      <c r="J488" s="0" t="s">
        <v>17</v>
      </c>
      <c r="K488" s="0" t="s">
        <v>3362</v>
      </c>
      <c r="L488" s="0" t="s">
        <v>3363</v>
      </c>
      <c r="M488" s="0" t="s">
        <v>3364</v>
      </c>
      <c r="N488" s="0" t="s">
        <v>401</v>
      </c>
    </row>
    <row customHeight="1" ht="11.25">
      <c r="A489" s="7657" t="s">
        <v>2195</v>
      </c>
      <c r="B489" s="7657" t="s">
        <v>14</v>
      </c>
      <c r="C489" s="7657" t="s">
        <v>2341</v>
      </c>
      <c r="D489" s="7657" t="s">
        <v>2342</v>
      </c>
      <c r="E489" s="7657" t="s">
        <v>2343</v>
      </c>
      <c r="F489" s="7657" t="s">
        <v>2206</v>
      </c>
      <c r="G489" s="7657" t="s">
        <v>2344</v>
      </c>
      <c r="H489" s="7657" t="s">
        <v>17</v>
      </c>
      <c r="I489" s="7657" t="s">
        <v>2208</v>
      </c>
      <c r="J489" s="0" t="s">
        <v>17</v>
      </c>
      <c r="K489" s="0" t="s">
        <v>3365</v>
      </c>
      <c r="L489" s="0" t="s">
        <v>3363</v>
      </c>
      <c r="M489" s="0" t="s">
        <v>3364</v>
      </c>
      <c r="N489" s="0" t="s">
        <v>401</v>
      </c>
    </row>
    <row customHeight="1" ht="11.25">
      <c r="A490" s="7657" t="s">
        <v>2195</v>
      </c>
      <c r="B490" s="7657" t="s">
        <v>14</v>
      </c>
      <c r="C490" s="7657" t="s">
        <v>2341</v>
      </c>
      <c r="D490" s="7657" t="s">
        <v>2342</v>
      </c>
      <c r="E490" s="7657" t="s">
        <v>2343</v>
      </c>
      <c r="F490" s="7657" t="s">
        <v>2206</v>
      </c>
      <c r="G490" s="7657" t="s">
        <v>2344</v>
      </c>
      <c r="H490" s="7657" t="s">
        <v>17</v>
      </c>
      <c r="I490" s="7657" t="s">
        <v>2348</v>
      </c>
      <c r="J490" s="0" t="s">
        <v>17</v>
      </c>
      <c r="K490" s="0" t="s">
        <v>3362</v>
      </c>
      <c r="L490" s="0" t="s">
        <v>3363</v>
      </c>
      <c r="M490" s="0" t="s">
        <v>3364</v>
      </c>
      <c r="N490" s="0" t="s">
        <v>401</v>
      </c>
    </row>
    <row customHeight="1" ht="11.25">
      <c r="A491" s="7657" t="s">
        <v>2195</v>
      </c>
      <c r="B491" s="7657" t="s">
        <v>14</v>
      </c>
      <c r="C491" s="7657" t="s">
        <v>2341</v>
      </c>
      <c r="D491" s="7657" t="s">
        <v>2342</v>
      </c>
      <c r="E491" s="7657" t="s">
        <v>2343</v>
      </c>
      <c r="F491" s="7657" t="s">
        <v>2206</v>
      </c>
      <c r="G491" s="7657" t="s">
        <v>2344</v>
      </c>
      <c r="H491" s="7657" t="s">
        <v>17</v>
      </c>
      <c r="I491" s="7657" t="s">
        <v>2348</v>
      </c>
      <c r="J491" s="0" t="s">
        <v>17</v>
      </c>
      <c r="K491" s="0" t="s">
        <v>3365</v>
      </c>
      <c r="L491" s="0" t="s">
        <v>3363</v>
      </c>
      <c r="M491" s="0" t="s">
        <v>3364</v>
      </c>
      <c r="N491" s="0" t="s">
        <v>401</v>
      </c>
    </row>
    <row customHeight="1" ht="11.25">
      <c r="A492" s="7657" t="s">
        <v>2195</v>
      </c>
      <c r="B492" s="7657" t="s">
        <v>14</v>
      </c>
      <c r="C492" s="7657" t="s">
        <v>3440</v>
      </c>
      <c r="D492" s="7657" t="s">
        <v>3441</v>
      </c>
      <c r="E492" s="7657" t="s">
        <v>3442</v>
      </c>
      <c r="F492" s="7657" t="s">
        <v>3443</v>
      </c>
      <c r="G492" s="7657" t="s">
        <v>3444</v>
      </c>
      <c r="H492" s="7657" t="s">
        <v>17</v>
      </c>
      <c r="I492" s="7657" t="s">
        <v>3444</v>
      </c>
      <c r="J492" s="0" t="s">
        <v>17</v>
      </c>
      <c r="K492" s="0" t="s">
        <v>3362</v>
      </c>
      <c r="L492" s="0" t="s">
        <v>3401</v>
      </c>
      <c r="M492" s="0" t="s">
        <v>3402</v>
      </c>
      <c r="N492" s="0" t="s">
        <v>401</v>
      </c>
    </row>
    <row customHeight="1" ht="11.25">
      <c r="A493" s="7657" t="s">
        <v>2195</v>
      </c>
      <c r="B493" s="7657" t="s">
        <v>14</v>
      </c>
      <c r="C493" s="7657" t="s">
        <v>3440</v>
      </c>
      <c r="D493" s="7657" t="s">
        <v>3441</v>
      </c>
      <c r="E493" s="7657" t="s">
        <v>3442</v>
      </c>
      <c r="F493" s="7657" t="s">
        <v>3443</v>
      </c>
      <c r="G493" s="7657" t="s">
        <v>3444</v>
      </c>
      <c r="H493" s="7657" t="s">
        <v>17</v>
      </c>
      <c r="I493" s="7657" t="s">
        <v>3444</v>
      </c>
      <c r="J493" s="0" t="s">
        <v>17</v>
      </c>
      <c r="K493" s="0" t="s">
        <v>3365</v>
      </c>
      <c r="L493" s="0" t="s">
        <v>3401</v>
      </c>
      <c r="M493" s="0" t="s">
        <v>3402</v>
      </c>
      <c r="N493" s="0" t="s">
        <v>401</v>
      </c>
    </row>
    <row customHeight="1" ht="11.25">
      <c r="A494" s="7657" t="s">
        <v>2195</v>
      </c>
      <c r="B494" s="7657" t="s">
        <v>14</v>
      </c>
      <c r="C494" s="7657" t="s">
        <v>3445</v>
      </c>
      <c r="D494" s="7657" t="s">
        <v>3446</v>
      </c>
      <c r="E494" s="7657" t="s">
        <v>3447</v>
      </c>
      <c r="F494" s="7657" t="s">
        <v>2590</v>
      </c>
      <c r="G494" s="7657" t="s">
        <v>3448</v>
      </c>
      <c r="H494" s="7657" t="s">
        <v>17</v>
      </c>
      <c r="I494" s="7657" t="s">
        <v>2534</v>
      </c>
      <c r="J494" s="0" t="s">
        <v>17</v>
      </c>
      <c r="K494" s="0" t="s">
        <v>3362</v>
      </c>
      <c r="L494" s="0" t="s">
        <v>3363</v>
      </c>
      <c r="M494" s="0" t="s">
        <v>3364</v>
      </c>
      <c r="N494" s="0" t="s">
        <v>401</v>
      </c>
    </row>
    <row customHeight="1" ht="11.25">
      <c r="A495" s="7657" t="s">
        <v>2195</v>
      </c>
      <c r="B495" s="7657" t="s">
        <v>14</v>
      </c>
      <c r="C495" s="7657" t="s">
        <v>3445</v>
      </c>
      <c r="D495" s="7657" t="s">
        <v>3446</v>
      </c>
      <c r="E495" s="7657" t="s">
        <v>3447</v>
      </c>
      <c r="F495" s="7657" t="s">
        <v>2590</v>
      </c>
      <c r="G495" s="7657" t="s">
        <v>3448</v>
      </c>
      <c r="H495" s="7657" t="s">
        <v>17</v>
      </c>
      <c r="I495" s="7657" t="s">
        <v>2534</v>
      </c>
      <c r="J495" s="0" t="s">
        <v>17</v>
      </c>
      <c r="K495" s="0" t="s">
        <v>3365</v>
      </c>
      <c r="L495" s="0" t="s">
        <v>3363</v>
      </c>
      <c r="M495" s="0" t="s">
        <v>3364</v>
      </c>
      <c r="N495" s="0" t="s">
        <v>401</v>
      </c>
    </row>
    <row customHeight="1" ht="11.25">
      <c r="A496" s="7657" t="s">
        <v>2195</v>
      </c>
      <c r="B496" s="7657" t="s">
        <v>14</v>
      </c>
      <c r="C496" s="7657" t="s">
        <v>3449</v>
      </c>
      <c r="D496" s="7657" t="s">
        <v>3450</v>
      </c>
      <c r="E496" s="7657" t="s">
        <v>3451</v>
      </c>
      <c r="F496" s="7657" t="s">
        <v>2206</v>
      </c>
      <c r="G496" s="7657" t="s">
        <v>3361</v>
      </c>
      <c r="H496" s="7657" t="s">
        <v>17</v>
      </c>
      <c r="I496" s="7657" t="s">
        <v>2208</v>
      </c>
      <c r="J496" s="0" t="s">
        <v>17</v>
      </c>
      <c r="K496" s="0" t="s">
        <v>3362</v>
      </c>
      <c r="L496" s="0" t="s">
        <v>3363</v>
      </c>
      <c r="M496" s="0" t="s">
        <v>3364</v>
      </c>
      <c r="N496" s="0" t="s">
        <v>401</v>
      </c>
    </row>
    <row customHeight="1" ht="11.25">
      <c r="A497" s="7657" t="s">
        <v>2195</v>
      </c>
      <c r="B497" s="7657" t="s">
        <v>14</v>
      </c>
      <c r="C497" s="7657" t="s">
        <v>3449</v>
      </c>
      <c r="D497" s="7657" t="s">
        <v>3450</v>
      </c>
      <c r="E497" s="7657" t="s">
        <v>3451</v>
      </c>
      <c r="F497" s="7657" t="s">
        <v>2206</v>
      </c>
      <c r="G497" s="7657" t="s">
        <v>3361</v>
      </c>
      <c r="H497" s="7657" t="s">
        <v>17</v>
      </c>
      <c r="I497" s="7657" t="s">
        <v>2208</v>
      </c>
      <c r="J497" s="0" t="s">
        <v>17</v>
      </c>
      <c r="K497" s="0" t="s">
        <v>3365</v>
      </c>
      <c r="L497" s="0" t="s">
        <v>3363</v>
      </c>
      <c r="M497" s="0" t="s">
        <v>3364</v>
      </c>
      <c r="N497" s="0" t="s">
        <v>401</v>
      </c>
    </row>
    <row customHeight="1" ht="11.25">
      <c r="A498" s="7657" t="s">
        <v>2195</v>
      </c>
      <c r="B498" s="7657" t="s">
        <v>14</v>
      </c>
      <c r="C498" s="7657" t="s">
        <v>2361</v>
      </c>
      <c r="D498" s="7657" t="s">
        <v>2362</v>
      </c>
      <c r="E498" s="7657" t="s">
        <v>2363</v>
      </c>
      <c r="F498" s="7657" t="s">
        <v>2364</v>
      </c>
      <c r="G498" s="7657" t="s">
        <v>2365</v>
      </c>
      <c r="H498" s="7657" t="s">
        <v>17</v>
      </c>
      <c r="I498" s="7657" t="s">
        <v>2228</v>
      </c>
      <c r="J498" s="0" t="s">
        <v>17</v>
      </c>
      <c r="K498" s="0" t="s">
        <v>3362</v>
      </c>
      <c r="L498" s="0" t="s">
        <v>3363</v>
      </c>
      <c r="M498" s="0" t="s">
        <v>3364</v>
      </c>
      <c r="N498" s="0" t="s">
        <v>401</v>
      </c>
    </row>
    <row customHeight="1" ht="11.25">
      <c r="A499" s="7657" t="s">
        <v>2195</v>
      </c>
      <c r="B499" s="7657" t="s">
        <v>14</v>
      </c>
      <c r="C499" s="7657" t="s">
        <v>2361</v>
      </c>
      <c r="D499" s="7657" t="s">
        <v>2362</v>
      </c>
      <c r="E499" s="7657" t="s">
        <v>2363</v>
      </c>
      <c r="F499" s="7657" t="s">
        <v>2364</v>
      </c>
      <c r="G499" s="7657" t="s">
        <v>2365</v>
      </c>
      <c r="H499" s="7657" t="s">
        <v>17</v>
      </c>
      <c r="I499" s="7657" t="s">
        <v>2228</v>
      </c>
      <c r="J499" s="0" t="s">
        <v>17</v>
      </c>
      <c r="K499" s="0" t="s">
        <v>3365</v>
      </c>
      <c r="L499" s="0" t="s">
        <v>3363</v>
      </c>
      <c r="M499" s="0" t="s">
        <v>3364</v>
      </c>
      <c r="N499" s="0" t="s">
        <v>401</v>
      </c>
    </row>
    <row customHeight="1" ht="11.25">
      <c r="A500" s="7657" t="s">
        <v>2195</v>
      </c>
      <c r="B500" s="7657" t="s">
        <v>14</v>
      </c>
      <c r="C500" s="7657" t="s">
        <v>3452</v>
      </c>
      <c r="D500" s="7657" t="s">
        <v>3453</v>
      </c>
      <c r="E500" s="7657" t="s">
        <v>3454</v>
      </c>
      <c r="F500" s="7657" t="s">
        <v>2206</v>
      </c>
      <c r="G500" s="7657" t="s">
        <v>3361</v>
      </c>
      <c r="H500" s="7657" t="s">
        <v>17</v>
      </c>
      <c r="I500" s="7657" t="s">
        <v>2208</v>
      </c>
      <c r="J500" s="0" t="s">
        <v>17</v>
      </c>
      <c r="K500" s="0" t="s">
        <v>3362</v>
      </c>
      <c r="L500" s="0" t="s">
        <v>3363</v>
      </c>
      <c r="M500" s="0" t="s">
        <v>3364</v>
      </c>
      <c r="N500" s="0" t="s">
        <v>401</v>
      </c>
    </row>
    <row customHeight="1" ht="11.25">
      <c r="A501" s="7657" t="s">
        <v>2195</v>
      </c>
      <c r="B501" s="7657" t="s">
        <v>14</v>
      </c>
      <c r="C501" s="7657" t="s">
        <v>3452</v>
      </c>
      <c r="D501" s="7657" t="s">
        <v>3453</v>
      </c>
      <c r="E501" s="7657" t="s">
        <v>3454</v>
      </c>
      <c r="F501" s="7657" t="s">
        <v>2206</v>
      </c>
      <c r="G501" s="7657" t="s">
        <v>3361</v>
      </c>
      <c r="H501" s="7657" t="s">
        <v>17</v>
      </c>
      <c r="I501" s="7657" t="s">
        <v>2208</v>
      </c>
      <c r="J501" s="0" t="s">
        <v>17</v>
      </c>
      <c r="K501" s="0" t="s">
        <v>3365</v>
      </c>
      <c r="L501" s="0" t="s">
        <v>3363</v>
      </c>
      <c r="M501" s="0" t="s">
        <v>3364</v>
      </c>
      <c r="N501" s="0" t="s">
        <v>401</v>
      </c>
    </row>
    <row customHeight="1" ht="11.25">
      <c r="A502" s="7657" t="s">
        <v>2195</v>
      </c>
      <c r="B502" s="7657" t="s">
        <v>14</v>
      </c>
      <c r="C502" s="7657" t="s">
        <v>2366</v>
      </c>
      <c r="D502" s="7657" t="s">
        <v>2367</v>
      </c>
      <c r="E502" s="7657" t="s">
        <v>2368</v>
      </c>
      <c r="F502" s="7657" t="s">
        <v>2369</v>
      </c>
      <c r="G502" s="7657" t="s">
        <v>17</v>
      </c>
      <c r="H502" s="7657" t="s">
        <v>17</v>
      </c>
      <c r="I502" s="7657" t="s">
        <v>2370</v>
      </c>
      <c r="J502" s="0" t="s">
        <v>17</v>
      </c>
      <c r="K502" s="0" t="s">
        <v>3362</v>
      </c>
      <c r="L502" s="0" t="s">
        <v>3455</v>
      </c>
      <c r="M502" s="0" t="s">
        <v>3456</v>
      </c>
      <c r="N502" s="0" t="s">
        <v>401</v>
      </c>
    </row>
    <row customHeight="1" ht="11.25">
      <c r="A503" s="7657" t="s">
        <v>2195</v>
      </c>
      <c r="B503" s="7657" t="s">
        <v>14</v>
      </c>
      <c r="C503" s="7657" t="s">
        <v>3457</v>
      </c>
      <c r="D503" s="7657" t="s">
        <v>3458</v>
      </c>
      <c r="E503" s="7657" t="s">
        <v>3459</v>
      </c>
      <c r="F503" s="7657" t="s">
        <v>2649</v>
      </c>
      <c r="G503" s="7657" t="s">
        <v>3460</v>
      </c>
      <c r="H503" s="7657" t="s">
        <v>17</v>
      </c>
      <c r="I503" s="7657" t="s">
        <v>3460</v>
      </c>
      <c r="J503" s="0" t="s">
        <v>17</v>
      </c>
      <c r="K503" s="0" t="s">
        <v>3362</v>
      </c>
      <c r="L503" s="0" t="s">
        <v>3401</v>
      </c>
      <c r="M503" s="0" t="s">
        <v>3402</v>
      </c>
      <c r="N503" s="0" t="s">
        <v>401</v>
      </c>
    </row>
    <row customHeight="1" ht="11.25">
      <c r="A504" s="7657" t="s">
        <v>2195</v>
      </c>
      <c r="B504" s="7657" t="s">
        <v>14</v>
      </c>
      <c r="C504" s="7657" t="s">
        <v>3457</v>
      </c>
      <c r="D504" s="7657" t="s">
        <v>3458</v>
      </c>
      <c r="E504" s="7657" t="s">
        <v>3459</v>
      </c>
      <c r="F504" s="7657" t="s">
        <v>2649</v>
      </c>
      <c r="G504" s="7657" t="s">
        <v>3460</v>
      </c>
      <c r="H504" s="7657" t="s">
        <v>17</v>
      </c>
      <c r="I504" s="7657" t="s">
        <v>3460</v>
      </c>
      <c r="J504" s="0" t="s">
        <v>17</v>
      </c>
      <c r="K504" s="0" t="s">
        <v>3365</v>
      </c>
      <c r="L504" s="0" t="s">
        <v>3401</v>
      </c>
      <c r="M504" s="0" t="s">
        <v>3402</v>
      </c>
      <c r="N504" s="0" t="s">
        <v>401</v>
      </c>
    </row>
    <row customHeight="1" ht="11.25">
      <c r="A505" s="7657" t="s">
        <v>2195</v>
      </c>
      <c r="B505" s="7657" t="s">
        <v>14</v>
      </c>
      <c r="C505" s="7657" t="s">
        <v>3461</v>
      </c>
      <c r="D505" s="7657" t="s">
        <v>3462</v>
      </c>
      <c r="E505" s="7657" t="s">
        <v>3463</v>
      </c>
      <c r="F505" s="7657" t="s">
        <v>2239</v>
      </c>
      <c r="G505" s="7657" t="s">
        <v>3464</v>
      </c>
      <c r="H505" s="7657" t="s">
        <v>17</v>
      </c>
      <c r="I505" s="7657" t="s">
        <v>2208</v>
      </c>
      <c r="J505" s="0" t="s">
        <v>3465</v>
      </c>
      <c r="K505" s="0" t="s">
        <v>3362</v>
      </c>
      <c r="L505" s="0" t="s">
        <v>3401</v>
      </c>
      <c r="M505" s="0" t="s">
        <v>3402</v>
      </c>
      <c r="N505" s="0" t="s">
        <v>401</v>
      </c>
    </row>
    <row customHeight="1" ht="11.25">
      <c r="A506" s="7657" t="s">
        <v>2195</v>
      </c>
      <c r="B506" s="7657" t="s">
        <v>14</v>
      </c>
      <c r="C506" s="7657" t="s">
        <v>3461</v>
      </c>
      <c r="D506" s="7657" t="s">
        <v>3462</v>
      </c>
      <c r="E506" s="7657" t="s">
        <v>3463</v>
      </c>
      <c r="F506" s="7657" t="s">
        <v>2239</v>
      </c>
      <c r="G506" s="7657" t="s">
        <v>3464</v>
      </c>
      <c r="H506" s="7657" t="s">
        <v>17</v>
      </c>
      <c r="I506" s="7657" t="s">
        <v>2208</v>
      </c>
      <c r="J506" s="0" t="s">
        <v>3465</v>
      </c>
      <c r="K506" s="0" t="s">
        <v>3365</v>
      </c>
      <c r="L506" s="0" t="s">
        <v>3401</v>
      </c>
      <c r="M506" s="0" t="s">
        <v>3402</v>
      </c>
      <c r="N506" s="0" t="s">
        <v>401</v>
      </c>
    </row>
    <row customHeight="1" ht="11.25">
      <c r="A507" s="7657" t="s">
        <v>2195</v>
      </c>
      <c r="B507" s="7657" t="s">
        <v>14</v>
      </c>
      <c r="C507" s="7657" t="s">
        <v>3466</v>
      </c>
      <c r="D507" s="7657" t="s">
        <v>3467</v>
      </c>
      <c r="E507" s="7657" t="s">
        <v>3468</v>
      </c>
      <c r="F507" s="7657" t="s">
        <v>2239</v>
      </c>
      <c r="G507" s="7657" t="s">
        <v>3469</v>
      </c>
      <c r="H507" s="7657" t="s">
        <v>17</v>
      </c>
      <c r="I507" s="7657" t="s">
        <v>3470</v>
      </c>
      <c r="J507" s="0" t="s">
        <v>17</v>
      </c>
      <c r="K507" s="0" t="s">
        <v>3362</v>
      </c>
      <c r="L507" s="0" t="s">
        <v>3394</v>
      </c>
      <c r="M507" s="0" t="s">
        <v>3471</v>
      </c>
      <c r="N507" s="0" t="s">
        <v>401</v>
      </c>
    </row>
    <row customHeight="1" ht="11.25">
      <c r="A508" s="7657" t="s">
        <v>2195</v>
      </c>
      <c r="B508" s="7657" t="s">
        <v>14</v>
      </c>
      <c r="C508" s="7657" t="s">
        <v>3466</v>
      </c>
      <c r="D508" s="7657" t="s">
        <v>3467</v>
      </c>
      <c r="E508" s="7657" t="s">
        <v>3468</v>
      </c>
      <c r="F508" s="7657" t="s">
        <v>2239</v>
      </c>
      <c r="G508" s="7657" t="s">
        <v>3469</v>
      </c>
      <c r="H508" s="7657" t="s">
        <v>17</v>
      </c>
      <c r="I508" s="7657" t="s">
        <v>2240</v>
      </c>
      <c r="J508" s="0" t="s">
        <v>17</v>
      </c>
      <c r="K508" s="0" t="s">
        <v>3362</v>
      </c>
      <c r="L508" s="0" t="s">
        <v>3472</v>
      </c>
      <c r="M508" s="0" t="s">
        <v>3473</v>
      </c>
      <c r="N508" s="0" t="s">
        <v>401</v>
      </c>
    </row>
    <row customHeight="1" ht="11.25">
      <c r="A509" s="7657" t="s">
        <v>2195</v>
      </c>
      <c r="B509" s="7657" t="s">
        <v>14</v>
      </c>
      <c r="C509" s="7657" t="s">
        <v>3466</v>
      </c>
      <c r="D509" s="7657" t="s">
        <v>3467</v>
      </c>
      <c r="E509" s="7657" t="s">
        <v>3468</v>
      </c>
      <c r="F509" s="7657" t="s">
        <v>2239</v>
      </c>
      <c r="G509" s="7657" t="s">
        <v>3469</v>
      </c>
      <c r="H509" s="7657" t="s">
        <v>17</v>
      </c>
      <c r="I509" s="7657" t="s">
        <v>3474</v>
      </c>
      <c r="J509" s="0" t="s">
        <v>17</v>
      </c>
      <c r="K509" s="0" t="s">
        <v>3362</v>
      </c>
      <c r="L509" s="0" t="s">
        <v>3434</v>
      </c>
      <c r="M509" s="0" t="s">
        <v>3475</v>
      </c>
      <c r="N509" s="0" t="s">
        <v>401</v>
      </c>
    </row>
    <row customHeight="1" ht="11.25">
      <c r="A510" s="7657" t="s">
        <v>2195</v>
      </c>
      <c r="B510" s="7657" t="s">
        <v>14</v>
      </c>
      <c r="C510" s="7657" t="s">
        <v>3466</v>
      </c>
      <c r="D510" s="7657" t="s">
        <v>3467</v>
      </c>
      <c r="E510" s="7657" t="s">
        <v>3468</v>
      </c>
      <c r="F510" s="7657" t="s">
        <v>2239</v>
      </c>
      <c r="G510" s="7657" t="s">
        <v>3469</v>
      </c>
      <c r="H510" s="7657" t="s">
        <v>17</v>
      </c>
      <c r="I510" s="7657" t="s">
        <v>3474</v>
      </c>
      <c r="J510" s="0" t="s">
        <v>17</v>
      </c>
      <c r="K510" s="0" t="s">
        <v>3365</v>
      </c>
      <c r="L510" s="0" t="s">
        <v>3434</v>
      </c>
      <c r="M510" s="0" t="s">
        <v>3475</v>
      </c>
      <c r="N510" s="0" t="s">
        <v>401</v>
      </c>
    </row>
    <row customHeight="1" ht="11.25">
      <c r="A511" s="7657" t="s">
        <v>2195</v>
      </c>
      <c r="B511" s="7657" t="s">
        <v>14</v>
      </c>
      <c r="C511" s="7657" t="s">
        <v>3466</v>
      </c>
      <c r="D511" s="7657" t="s">
        <v>3467</v>
      </c>
      <c r="E511" s="7657" t="s">
        <v>3468</v>
      </c>
      <c r="F511" s="7657" t="s">
        <v>2239</v>
      </c>
      <c r="G511" s="7657" t="s">
        <v>3469</v>
      </c>
      <c r="H511" s="7657" t="s">
        <v>17</v>
      </c>
      <c r="I511" s="7657" t="s">
        <v>3474</v>
      </c>
      <c r="J511" s="0" t="s">
        <v>17</v>
      </c>
      <c r="K511" s="0" t="s">
        <v>3362</v>
      </c>
      <c r="L511" s="0" t="s">
        <v>3363</v>
      </c>
      <c r="M511" s="0" t="s">
        <v>3364</v>
      </c>
      <c r="N511" s="0" t="s">
        <v>401</v>
      </c>
    </row>
    <row customHeight="1" ht="11.25">
      <c r="A512" s="7657" t="s">
        <v>2195</v>
      </c>
      <c r="B512" s="7657" t="s">
        <v>14</v>
      </c>
      <c r="C512" s="7657" t="s">
        <v>3466</v>
      </c>
      <c r="D512" s="7657" t="s">
        <v>3467</v>
      </c>
      <c r="E512" s="7657" t="s">
        <v>3468</v>
      </c>
      <c r="F512" s="7657" t="s">
        <v>2239</v>
      </c>
      <c r="G512" s="7657" t="s">
        <v>3469</v>
      </c>
      <c r="H512" s="7657" t="s">
        <v>17</v>
      </c>
      <c r="I512" s="7657" t="s">
        <v>3474</v>
      </c>
      <c r="J512" s="0" t="s">
        <v>17</v>
      </c>
      <c r="K512" s="0" t="s">
        <v>3365</v>
      </c>
      <c r="L512" s="0" t="s">
        <v>3363</v>
      </c>
      <c r="M512" s="0" t="s">
        <v>3364</v>
      </c>
      <c r="N512" s="0" t="s">
        <v>401</v>
      </c>
    </row>
    <row customHeight="1" ht="11.25">
      <c r="A513" s="7657" t="s">
        <v>2195</v>
      </c>
      <c r="B513" s="7657" t="s">
        <v>14</v>
      </c>
      <c r="C513" s="7657" t="s">
        <v>3466</v>
      </c>
      <c r="D513" s="7657" t="s">
        <v>3467</v>
      </c>
      <c r="E513" s="7657" t="s">
        <v>3468</v>
      </c>
      <c r="F513" s="7657" t="s">
        <v>2239</v>
      </c>
      <c r="G513" s="7657" t="s">
        <v>3469</v>
      </c>
      <c r="H513" s="7657" t="s">
        <v>17</v>
      </c>
      <c r="I513" s="7657" t="s">
        <v>3474</v>
      </c>
      <c r="J513" s="0" t="s">
        <v>17</v>
      </c>
      <c r="K513" s="0" t="s">
        <v>3362</v>
      </c>
      <c r="L513" s="0" t="s">
        <v>3401</v>
      </c>
      <c r="M513" s="0" t="s">
        <v>3402</v>
      </c>
      <c r="N513" s="0" t="s">
        <v>401</v>
      </c>
    </row>
    <row customHeight="1" ht="11.25">
      <c r="A514" s="7657" t="s">
        <v>2195</v>
      </c>
      <c r="B514" s="7657" t="s">
        <v>14</v>
      </c>
      <c r="C514" s="7657" t="s">
        <v>3466</v>
      </c>
      <c r="D514" s="7657" t="s">
        <v>3467</v>
      </c>
      <c r="E514" s="7657" t="s">
        <v>3468</v>
      </c>
      <c r="F514" s="7657" t="s">
        <v>2239</v>
      </c>
      <c r="G514" s="7657" t="s">
        <v>3469</v>
      </c>
      <c r="H514" s="7657" t="s">
        <v>17</v>
      </c>
      <c r="I514" s="7657" t="s">
        <v>3474</v>
      </c>
      <c r="J514" s="0" t="s">
        <v>17</v>
      </c>
      <c r="K514" s="0" t="s">
        <v>3365</v>
      </c>
      <c r="L514" s="0" t="s">
        <v>3401</v>
      </c>
      <c r="M514" s="0" t="s">
        <v>3402</v>
      </c>
      <c r="N514" s="0" t="s">
        <v>401</v>
      </c>
    </row>
    <row customHeight="1" ht="11.25">
      <c r="A515" s="7657" t="s">
        <v>2195</v>
      </c>
      <c r="B515" s="7657" t="s">
        <v>14</v>
      </c>
      <c r="C515" s="7657" t="s">
        <v>3476</v>
      </c>
      <c r="D515" s="7657" t="s">
        <v>3477</v>
      </c>
      <c r="E515" s="7657" t="s">
        <v>3478</v>
      </c>
      <c r="F515" s="7657" t="s">
        <v>2695</v>
      </c>
      <c r="G515" s="7657" t="s">
        <v>17</v>
      </c>
      <c r="H515" s="7657" t="s">
        <v>17</v>
      </c>
      <c r="I515" s="7657" t="s">
        <v>3479</v>
      </c>
      <c r="J515" s="0" t="s">
        <v>17</v>
      </c>
      <c r="K515" s="0" t="s">
        <v>3362</v>
      </c>
      <c r="L515" s="0" t="s">
        <v>3480</v>
      </c>
      <c r="M515" s="0" t="s">
        <v>3481</v>
      </c>
      <c r="N515" s="0" t="s">
        <v>401</v>
      </c>
    </row>
    <row customHeight="1" ht="11.25">
      <c r="A516" s="7657" t="s">
        <v>2195</v>
      </c>
      <c r="B516" s="7657" t="s">
        <v>14</v>
      </c>
      <c r="C516" s="7657" t="s">
        <v>3476</v>
      </c>
      <c r="D516" s="7657" t="s">
        <v>3477</v>
      </c>
      <c r="E516" s="7657" t="s">
        <v>3478</v>
      </c>
      <c r="F516" s="7657" t="s">
        <v>2695</v>
      </c>
      <c r="G516" s="7657" t="s">
        <v>17</v>
      </c>
      <c r="H516" s="7657" t="s">
        <v>17</v>
      </c>
      <c r="I516" s="7657" t="s">
        <v>2996</v>
      </c>
      <c r="J516" s="0" t="s">
        <v>17</v>
      </c>
      <c r="K516" s="0" t="s">
        <v>3362</v>
      </c>
      <c r="L516" s="0" t="s">
        <v>3434</v>
      </c>
      <c r="M516" s="0" t="s">
        <v>3475</v>
      </c>
      <c r="N516" s="0" t="s">
        <v>401</v>
      </c>
    </row>
    <row customHeight="1" ht="11.25">
      <c r="A517" s="7657" t="s">
        <v>2195</v>
      </c>
      <c r="B517" s="7657" t="s">
        <v>14</v>
      </c>
      <c r="C517" s="7657" t="s">
        <v>3476</v>
      </c>
      <c r="D517" s="7657" t="s">
        <v>3477</v>
      </c>
      <c r="E517" s="7657" t="s">
        <v>3478</v>
      </c>
      <c r="F517" s="7657" t="s">
        <v>2695</v>
      </c>
      <c r="G517" s="7657" t="s">
        <v>17</v>
      </c>
      <c r="H517" s="7657" t="s">
        <v>17</v>
      </c>
      <c r="I517" s="7657" t="s">
        <v>2996</v>
      </c>
      <c r="J517" s="0" t="s">
        <v>17</v>
      </c>
      <c r="K517" s="0" t="s">
        <v>3365</v>
      </c>
      <c r="L517" s="0" t="s">
        <v>3434</v>
      </c>
      <c r="M517" s="0" t="s">
        <v>3475</v>
      </c>
      <c r="N517" s="0" t="s">
        <v>401</v>
      </c>
    </row>
    <row customHeight="1" ht="11.25">
      <c r="A518" s="7657" t="s">
        <v>2195</v>
      </c>
      <c r="B518" s="7657" t="s">
        <v>14</v>
      </c>
      <c r="C518" s="7657" t="s">
        <v>3476</v>
      </c>
      <c r="D518" s="7657" t="s">
        <v>3477</v>
      </c>
      <c r="E518" s="7657" t="s">
        <v>3478</v>
      </c>
      <c r="F518" s="7657" t="s">
        <v>2695</v>
      </c>
      <c r="G518" s="7657" t="s">
        <v>17</v>
      </c>
      <c r="H518" s="7657" t="s">
        <v>17</v>
      </c>
      <c r="I518" s="7657" t="s">
        <v>2654</v>
      </c>
      <c r="J518" s="0" t="s">
        <v>17</v>
      </c>
      <c r="K518" s="0" t="s">
        <v>3362</v>
      </c>
      <c r="L518" s="0" t="s">
        <v>3374</v>
      </c>
      <c r="M518" s="0" t="s">
        <v>3375</v>
      </c>
      <c r="N518" s="0" t="s">
        <v>401</v>
      </c>
    </row>
    <row customHeight="1" ht="11.25">
      <c r="A519" s="7657" t="s">
        <v>2195</v>
      </c>
      <c r="B519" s="7657" t="s">
        <v>14</v>
      </c>
      <c r="C519" s="7657" t="s">
        <v>3476</v>
      </c>
      <c r="D519" s="7657" t="s">
        <v>3477</v>
      </c>
      <c r="E519" s="7657" t="s">
        <v>3478</v>
      </c>
      <c r="F519" s="7657" t="s">
        <v>2695</v>
      </c>
      <c r="G519" s="7657" t="s">
        <v>17</v>
      </c>
      <c r="H519" s="7657" t="s">
        <v>17</v>
      </c>
      <c r="I519" s="7657" t="s">
        <v>3482</v>
      </c>
      <c r="J519" s="0" t="s">
        <v>17</v>
      </c>
      <c r="K519" s="0" t="s">
        <v>3362</v>
      </c>
      <c r="L519" s="0" t="s">
        <v>3386</v>
      </c>
      <c r="M519" s="0" t="s">
        <v>3387</v>
      </c>
      <c r="N519" s="0" t="s">
        <v>401</v>
      </c>
    </row>
    <row customHeight="1" ht="11.25">
      <c r="A520" s="7657" t="s">
        <v>2195</v>
      </c>
      <c r="B520" s="7657" t="s">
        <v>14</v>
      </c>
      <c r="C520" s="7657" t="s">
        <v>3476</v>
      </c>
      <c r="D520" s="7657" t="s">
        <v>3477</v>
      </c>
      <c r="E520" s="7657" t="s">
        <v>3478</v>
      </c>
      <c r="F520" s="7657" t="s">
        <v>2695</v>
      </c>
      <c r="G520" s="7657" t="s">
        <v>17</v>
      </c>
      <c r="H520" s="7657" t="s">
        <v>17</v>
      </c>
      <c r="I520" s="7657" t="s">
        <v>2400</v>
      </c>
      <c r="J520" s="0" t="s">
        <v>17</v>
      </c>
      <c r="K520" s="0" t="s">
        <v>3362</v>
      </c>
      <c r="L520" s="0" t="s">
        <v>3386</v>
      </c>
      <c r="M520" s="0" t="s">
        <v>3387</v>
      </c>
      <c r="N520" s="0" t="s">
        <v>401</v>
      </c>
    </row>
    <row customHeight="1" ht="11.25">
      <c r="A521" s="7657" t="s">
        <v>2195</v>
      </c>
      <c r="B521" s="7657" t="s">
        <v>14</v>
      </c>
      <c r="C521" s="7657" t="s">
        <v>3483</v>
      </c>
      <c r="D521" s="7657" t="s">
        <v>3484</v>
      </c>
      <c r="E521" s="7657" t="s">
        <v>3485</v>
      </c>
      <c r="F521" s="7657" t="s">
        <v>2388</v>
      </c>
      <c r="G521" s="7657" t="s">
        <v>3486</v>
      </c>
      <c r="H521" s="7657" t="s">
        <v>17</v>
      </c>
      <c r="I521" s="7657" t="s">
        <v>2208</v>
      </c>
      <c r="J521" s="0" t="s">
        <v>17</v>
      </c>
      <c r="K521" s="0" t="s">
        <v>3362</v>
      </c>
      <c r="L521" s="0" t="s">
        <v>3363</v>
      </c>
      <c r="M521" s="0" t="s">
        <v>3364</v>
      </c>
      <c r="N521" s="0" t="s">
        <v>401</v>
      </c>
    </row>
    <row customHeight="1" ht="11.25">
      <c r="A522" s="7657" t="s">
        <v>2195</v>
      </c>
      <c r="B522" s="7657" t="s">
        <v>14</v>
      </c>
      <c r="C522" s="7657" t="s">
        <v>3483</v>
      </c>
      <c r="D522" s="7657" t="s">
        <v>3484</v>
      </c>
      <c r="E522" s="7657" t="s">
        <v>3485</v>
      </c>
      <c r="F522" s="7657" t="s">
        <v>2388</v>
      </c>
      <c r="G522" s="7657" t="s">
        <v>3486</v>
      </c>
      <c r="H522" s="7657" t="s">
        <v>17</v>
      </c>
      <c r="I522" s="7657" t="s">
        <v>2208</v>
      </c>
      <c r="J522" s="0" t="s">
        <v>17</v>
      </c>
      <c r="K522" s="0" t="s">
        <v>3365</v>
      </c>
      <c r="L522" s="0" t="s">
        <v>3363</v>
      </c>
      <c r="M522" s="0" t="s">
        <v>3364</v>
      </c>
      <c r="N522" s="0" t="s">
        <v>401</v>
      </c>
    </row>
    <row customHeight="1" ht="11.25">
      <c r="A523" s="7657" t="s">
        <v>2195</v>
      </c>
      <c r="B523" s="7657" t="s">
        <v>14</v>
      </c>
      <c r="C523" s="7657" t="s">
        <v>2416</v>
      </c>
      <c r="D523" s="7657" t="s">
        <v>2417</v>
      </c>
      <c r="E523" s="7657" t="s">
        <v>2418</v>
      </c>
      <c r="F523" s="7657" t="s">
        <v>2267</v>
      </c>
      <c r="G523" s="7657" t="s">
        <v>17</v>
      </c>
      <c r="H523" s="7657" t="s">
        <v>17</v>
      </c>
      <c r="I523" s="7657" t="s">
        <v>2228</v>
      </c>
      <c r="J523" s="0" t="s">
        <v>17</v>
      </c>
      <c r="K523" s="0" t="s">
        <v>3362</v>
      </c>
      <c r="L523" s="0" t="s">
        <v>3401</v>
      </c>
      <c r="M523" s="0" t="s">
        <v>3402</v>
      </c>
      <c r="N523" s="0" t="s">
        <v>401</v>
      </c>
    </row>
    <row customHeight="1" ht="11.25">
      <c r="A524" s="7657" t="s">
        <v>2195</v>
      </c>
      <c r="B524" s="7657" t="s">
        <v>14</v>
      </c>
      <c r="C524" s="7657" t="s">
        <v>2416</v>
      </c>
      <c r="D524" s="7657" t="s">
        <v>2417</v>
      </c>
      <c r="E524" s="7657" t="s">
        <v>2418</v>
      </c>
      <c r="F524" s="7657" t="s">
        <v>2267</v>
      </c>
      <c r="G524" s="7657" t="s">
        <v>17</v>
      </c>
      <c r="H524" s="7657" t="s">
        <v>17</v>
      </c>
      <c r="I524" s="7657" t="s">
        <v>2228</v>
      </c>
      <c r="J524" s="0" t="s">
        <v>17</v>
      </c>
      <c r="K524" s="0" t="s">
        <v>3365</v>
      </c>
      <c r="L524" s="0" t="s">
        <v>3401</v>
      </c>
      <c r="M524" s="0" t="s">
        <v>3402</v>
      </c>
      <c r="N524" s="0" t="s">
        <v>401</v>
      </c>
    </row>
    <row customHeight="1" ht="11.25">
      <c r="A525" s="7657" t="s">
        <v>2195</v>
      </c>
      <c r="B525" s="7657" t="s">
        <v>14</v>
      </c>
      <c r="C525" s="7657" t="s">
        <v>2419</v>
      </c>
      <c r="D525" s="7657" t="s">
        <v>2420</v>
      </c>
      <c r="E525" s="7657" t="s">
        <v>2421</v>
      </c>
      <c r="F525" s="7657" t="s">
        <v>2232</v>
      </c>
      <c r="G525" s="7657" t="s">
        <v>17</v>
      </c>
      <c r="H525" s="7657" t="s">
        <v>17</v>
      </c>
      <c r="I525" s="7657" t="s">
        <v>2228</v>
      </c>
      <c r="J525" s="0" t="s">
        <v>17</v>
      </c>
      <c r="K525" s="0" t="s">
        <v>3362</v>
      </c>
      <c r="L525" s="0" t="s">
        <v>3401</v>
      </c>
      <c r="M525" s="0" t="s">
        <v>3402</v>
      </c>
      <c r="N525" s="0" t="s">
        <v>401</v>
      </c>
    </row>
    <row customHeight="1" ht="11.25">
      <c r="A526" s="7657" t="s">
        <v>2195</v>
      </c>
      <c r="B526" s="7657" t="s">
        <v>14</v>
      </c>
      <c r="C526" s="7657" t="s">
        <v>2419</v>
      </c>
      <c r="D526" s="7657" t="s">
        <v>2420</v>
      </c>
      <c r="E526" s="7657" t="s">
        <v>2421</v>
      </c>
      <c r="F526" s="7657" t="s">
        <v>2232</v>
      </c>
      <c r="G526" s="7657" t="s">
        <v>17</v>
      </c>
      <c r="H526" s="7657" t="s">
        <v>17</v>
      </c>
      <c r="I526" s="7657" t="s">
        <v>2228</v>
      </c>
      <c r="J526" s="0" t="s">
        <v>17</v>
      </c>
      <c r="K526" s="0" t="s">
        <v>3365</v>
      </c>
      <c r="L526" s="0" t="s">
        <v>3401</v>
      </c>
      <c r="M526" s="0" t="s">
        <v>3402</v>
      </c>
      <c r="N526" s="0" t="s">
        <v>401</v>
      </c>
    </row>
    <row customHeight="1" ht="11.25">
      <c r="A527" s="7657" t="s">
        <v>2195</v>
      </c>
      <c r="B527" s="7657" t="s">
        <v>14</v>
      </c>
      <c r="C527" s="7657" t="s">
        <v>3487</v>
      </c>
      <c r="D527" s="7657" t="s">
        <v>3488</v>
      </c>
      <c r="E527" s="7657" t="s">
        <v>3489</v>
      </c>
      <c r="F527" s="7657" t="s">
        <v>2619</v>
      </c>
      <c r="G527" s="7657" t="s">
        <v>17</v>
      </c>
      <c r="H527" s="7657" t="s">
        <v>17</v>
      </c>
      <c r="I527" s="7657" t="s">
        <v>2426</v>
      </c>
      <c r="J527" s="0" t="s">
        <v>17</v>
      </c>
      <c r="K527" s="0" t="s">
        <v>3362</v>
      </c>
      <c r="L527" s="0" t="s">
        <v>3363</v>
      </c>
      <c r="M527" s="0" t="s">
        <v>3364</v>
      </c>
      <c r="N527" s="0" t="s">
        <v>401</v>
      </c>
    </row>
    <row customHeight="1" ht="11.25">
      <c r="A528" s="7657" t="s">
        <v>2195</v>
      </c>
      <c r="B528" s="7657" t="s">
        <v>14</v>
      </c>
      <c r="C528" s="7657" t="s">
        <v>3487</v>
      </c>
      <c r="D528" s="7657" t="s">
        <v>3488</v>
      </c>
      <c r="E528" s="7657" t="s">
        <v>3489</v>
      </c>
      <c r="F528" s="7657" t="s">
        <v>2619</v>
      </c>
      <c r="G528" s="7657" t="s">
        <v>17</v>
      </c>
      <c r="H528" s="7657" t="s">
        <v>17</v>
      </c>
      <c r="I528" s="7657" t="s">
        <v>2426</v>
      </c>
      <c r="J528" s="0" t="s">
        <v>17</v>
      </c>
      <c r="K528" s="0" t="s">
        <v>3365</v>
      </c>
      <c r="L528" s="0" t="s">
        <v>3363</v>
      </c>
      <c r="M528" s="0" t="s">
        <v>3364</v>
      </c>
      <c r="N528" s="0" t="s">
        <v>401</v>
      </c>
    </row>
    <row customHeight="1" ht="11.25">
      <c r="A529" s="7657" t="s">
        <v>2195</v>
      </c>
      <c r="B529" s="7657" t="s">
        <v>14</v>
      </c>
      <c r="C529" s="7657" t="s">
        <v>2440</v>
      </c>
      <c r="D529" s="7657" t="s">
        <v>2441</v>
      </c>
      <c r="E529" s="7657" t="s">
        <v>2442</v>
      </c>
      <c r="F529" s="7657" t="s">
        <v>2443</v>
      </c>
      <c r="G529" s="7657" t="s">
        <v>2228</v>
      </c>
      <c r="H529" s="7657" t="s">
        <v>17</v>
      </c>
      <c r="I529" s="7657" t="s">
        <v>2228</v>
      </c>
      <c r="J529" s="0" t="s">
        <v>17</v>
      </c>
      <c r="K529" s="0" t="s">
        <v>3362</v>
      </c>
      <c r="L529" s="0" t="s">
        <v>3401</v>
      </c>
      <c r="M529" s="0" t="s">
        <v>3402</v>
      </c>
      <c r="N529" s="0" t="s">
        <v>401</v>
      </c>
    </row>
    <row customHeight="1" ht="11.25">
      <c r="A530" s="7657" t="s">
        <v>2195</v>
      </c>
      <c r="B530" s="7657" t="s">
        <v>14</v>
      </c>
      <c r="C530" s="7657" t="s">
        <v>2440</v>
      </c>
      <c r="D530" s="7657" t="s">
        <v>2441</v>
      </c>
      <c r="E530" s="7657" t="s">
        <v>2442</v>
      </c>
      <c r="F530" s="7657" t="s">
        <v>2443</v>
      </c>
      <c r="G530" s="7657" t="s">
        <v>2228</v>
      </c>
      <c r="H530" s="7657" t="s">
        <v>17</v>
      </c>
      <c r="I530" s="7657" t="s">
        <v>2228</v>
      </c>
      <c r="J530" s="0" t="s">
        <v>17</v>
      </c>
      <c r="K530" s="0" t="s">
        <v>3365</v>
      </c>
      <c r="L530" s="0" t="s">
        <v>3401</v>
      </c>
      <c r="M530" s="0" t="s">
        <v>3402</v>
      </c>
      <c r="N530" s="0" t="s">
        <v>401</v>
      </c>
    </row>
    <row customHeight="1" ht="11.25">
      <c r="A531" s="7657" t="s">
        <v>2195</v>
      </c>
      <c r="B531" s="7657" t="s">
        <v>14</v>
      </c>
      <c r="C531" s="7657" t="s">
        <v>3490</v>
      </c>
      <c r="D531" s="7657" t="s">
        <v>3491</v>
      </c>
      <c r="E531" s="7657" t="s">
        <v>3492</v>
      </c>
      <c r="F531" s="7657" t="s">
        <v>3493</v>
      </c>
      <c r="G531" s="7657" t="s">
        <v>3494</v>
      </c>
      <c r="H531" s="7657" t="s">
        <v>17</v>
      </c>
      <c r="I531" s="7657" t="s">
        <v>3495</v>
      </c>
      <c r="J531" s="0" t="s">
        <v>17</v>
      </c>
      <c r="K531" s="0" t="s">
        <v>3362</v>
      </c>
      <c r="L531" s="0" t="s">
        <v>3363</v>
      </c>
      <c r="M531" s="0" t="s">
        <v>3364</v>
      </c>
      <c r="N531" s="0" t="s">
        <v>401</v>
      </c>
    </row>
    <row customHeight="1" ht="11.25">
      <c r="A532" s="7657" t="s">
        <v>2195</v>
      </c>
      <c r="B532" s="7657" t="s">
        <v>14</v>
      </c>
      <c r="C532" s="7657" t="s">
        <v>3490</v>
      </c>
      <c r="D532" s="7657" t="s">
        <v>3491</v>
      </c>
      <c r="E532" s="7657" t="s">
        <v>3492</v>
      </c>
      <c r="F532" s="7657" t="s">
        <v>3493</v>
      </c>
      <c r="G532" s="7657" t="s">
        <v>3494</v>
      </c>
      <c r="H532" s="7657" t="s">
        <v>17</v>
      </c>
      <c r="I532" s="7657" t="s">
        <v>3495</v>
      </c>
      <c r="J532" s="0" t="s">
        <v>17</v>
      </c>
      <c r="K532" s="0" t="s">
        <v>3365</v>
      </c>
      <c r="L532" s="0" t="s">
        <v>3363</v>
      </c>
      <c r="M532" s="0" t="s">
        <v>3364</v>
      </c>
      <c r="N532" s="0" t="s">
        <v>401</v>
      </c>
    </row>
    <row customHeight="1" ht="11.25">
      <c r="A533" s="7657" t="s">
        <v>2195</v>
      </c>
      <c r="B533" s="7657" t="s">
        <v>14</v>
      </c>
      <c r="C533" s="7657" t="s">
        <v>3496</v>
      </c>
      <c r="D533" s="7657" t="s">
        <v>3497</v>
      </c>
      <c r="E533" s="7657" t="s">
        <v>3498</v>
      </c>
      <c r="F533" s="7657" t="s">
        <v>2425</v>
      </c>
      <c r="G533" s="7657" t="s">
        <v>3499</v>
      </c>
      <c r="H533" s="7657" t="s">
        <v>17</v>
      </c>
      <c r="I533" s="7657" t="s">
        <v>2426</v>
      </c>
      <c r="J533" s="0" t="s">
        <v>17</v>
      </c>
      <c r="K533" s="0" t="s">
        <v>3362</v>
      </c>
      <c r="L533" s="0" t="s">
        <v>3363</v>
      </c>
      <c r="M533" s="0" t="s">
        <v>3364</v>
      </c>
      <c r="N533" s="0" t="s">
        <v>401</v>
      </c>
    </row>
    <row customHeight="1" ht="11.25">
      <c r="A534" s="7657" t="s">
        <v>2195</v>
      </c>
      <c r="B534" s="7657" t="s">
        <v>14</v>
      </c>
      <c r="C534" s="7657" t="s">
        <v>3496</v>
      </c>
      <c r="D534" s="7657" t="s">
        <v>3497</v>
      </c>
      <c r="E534" s="7657" t="s">
        <v>3498</v>
      </c>
      <c r="F534" s="7657" t="s">
        <v>2425</v>
      </c>
      <c r="G534" s="7657" t="s">
        <v>3499</v>
      </c>
      <c r="H534" s="7657" t="s">
        <v>17</v>
      </c>
      <c r="I534" s="7657" t="s">
        <v>2426</v>
      </c>
      <c r="J534" s="0" t="s">
        <v>17</v>
      </c>
      <c r="K534" s="0" t="s">
        <v>3365</v>
      </c>
      <c r="L534" s="0" t="s">
        <v>3363</v>
      </c>
      <c r="M534" s="0" t="s">
        <v>3364</v>
      </c>
      <c r="N534" s="0" t="s">
        <v>401</v>
      </c>
    </row>
    <row customHeight="1" ht="11.25">
      <c r="A535" s="7657" t="s">
        <v>2195</v>
      </c>
      <c r="B535" s="7657" t="s">
        <v>14</v>
      </c>
      <c r="C535" s="7657" t="s">
        <v>3500</v>
      </c>
      <c r="D535" s="7657" t="s">
        <v>3501</v>
      </c>
      <c r="E535" s="7657" t="s">
        <v>3502</v>
      </c>
      <c r="F535" s="7657" t="s">
        <v>1433</v>
      </c>
      <c r="G535" s="7657" t="s">
        <v>3503</v>
      </c>
      <c r="H535" s="7657" t="s">
        <v>17</v>
      </c>
      <c r="I535" s="7657" t="s">
        <v>3385</v>
      </c>
      <c r="J535" s="0" t="s">
        <v>17</v>
      </c>
      <c r="K535" s="0" t="s">
        <v>3362</v>
      </c>
      <c r="L535" s="0" t="s">
        <v>3374</v>
      </c>
      <c r="M535" s="0" t="s">
        <v>3375</v>
      </c>
      <c r="N535" s="0" t="s">
        <v>401</v>
      </c>
    </row>
    <row customHeight="1" ht="11.25">
      <c r="A536" s="7657" t="s">
        <v>2195</v>
      </c>
      <c r="B536" s="7657" t="s">
        <v>14</v>
      </c>
      <c r="C536" s="7657" t="s">
        <v>3504</v>
      </c>
      <c r="D536" s="7657" t="s">
        <v>3505</v>
      </c>
      <c r="E536" s="7657" t="s">
        <v>3506</v>
      </c>
      <c r="F536" s="7657" t="s">
        <v>1433</v>
      </c>
      <c r="G536" s="7657" t="s">
        <v>3507</v>
      </c>
      <c r="H536" s="7657" t="s">
        <v>17</v>
      </c>
      <c r="I536" s="7657" t="s">
        <v>3508</v>
      </c>
      <c r="J536" s="0" t="s">
        <v>17</v>
      </c>
      <c r="K536" s="0" t="s">
        <v>3362</v>
      </c>
      <c r="L536" s="0" t="s">
        <v>3363</v>
      </c>
      <c r="M536" s="0" t="s">
        <v>3364</v>
      </c>
      <c r="N536" s="0" t="s">
        <v>401</v>
      </c>
    </row>
    <row customHeight="1" ht="11.25">
      <c r="A537" s="7657" t="s">
        <v>2195</v>
      </c>
      <c r="B537" s="7657" t="s">
        <v>14</v>
      </c>
      <c r="C537" s="7657" t="s">
        <v>3504</v>
      </c>
      <c r="D537" s="7657" t="s">
        <v>3505</v>
      </c>
      <c r="E537" s="7657" t="s">
        <v>3506</v>
      </c>
      <c r="F537" s="7657" t="s">
        <v>1433</v>
      </c>
      <c r="G537" s="7657" t="s">
        <v>3507</v>
      </c>
      <c r="H537" s="7657" t="s">
        <v>17</v>
      </c>
      <c r="I537" s="7657" t="s">
        <v>3508</v>
      </c>
      <c r="J537" s="0" t="s">
        <v>17</v>
      </c>
      <c r="K537" s="0" t="s">
        <v>3365</v>
      </c>
      <c r="L537" s="0" t="s">
        <v>3363</v>
      </c>
      <c r="M537" s="0" t="s">
        <v>3364</v>
      </c>
      <c r="N537" s="0" t="s">
        <v>401</v>
      </c>
    </row>
    <row customHeight="1" ht="11.25">
      <c r="A538" s="7657" t="s">
        <v>2195</v>
      </c>
      <c r="B538" s="7657" t="s">
        <v>14</v>
      </c>
      <c r="C538" s="7657" t="s">
        <v>3509</v>
      </c>
      <c r="D538" s="7657" t="s">
        <v>3510</v>
      </c>
      <c r="E538" s="7657" t="s">
        <v>3511</v>
      </c>
      <c r="F538" s="7657" t="s">
        <v>1433</v>
      </c>
      <c r="G538" s="7657" t="s">
        <v>3512</v>
      </c>
      <c r="H538" s="7657" t="s">
        <v>17</v>
      </c>
      <c r="I538" s="7657" t="s">
        <v>3513</v>
      </c>
      <c r="J538" s="0" t="s">
        <v>17</v>
      </c>
      <c r="K538" s="0" t="s">
        <v>3362</v>
      </c>
      <c r="L538" s="0" t="s">
        <v>3363</v>
      </c>
      <c r="M538" s="0" t="s">
        <v>3364</v>
      </c>
      <c r="N538" s="0" t="s">
        <v>401</v>
      </c>
    </row>
    <row customHeight="1" ht="11.25">
      <c r="A539" s="7657" t="s">
        <v>2195</v>
      </c>
      <c r="B539" s="7657" t="s">
        <v>14</v>
      </c>
      <c r="C539" s="7657" t="s">
        <v>3509</v>
      </c>
      <c r="D539" s="7657" t="s">
        <v>3510</v>
      </c>
      <c r="E539" s="7657" t="s">
        <v>3511</v>
      </c>
      <c r="F539" s="7657" t="s">
        <v>1433</v>
      </c>
      <c r="G539" s="7657" t="s">
        <v>3512</v>
      </c>
      <c r="H539" s="7657" t="s">
        <v>17</v>
      </c>
      <c r="I539" s="7657" t="s">
        <v>3513</v>
      </c>
      <c r="J539" s="0" t="s">
        <v>17</v>
      </c>
      <c r="K539" s="0" t="s">
        <v>3365</v>
      </c>
      <c r="L539" s="0" t="s">
        <v>3363</v>
      </c>
      <c r="M539" s="0" t="s">
        <v>3364</v>
      </c>
      <c r="N539" s="0" t="s">
        <v>401</v>
      </c>
    </row>
    <row customHeight="1" ht="11.25">
      <c r="A540" s="7657" t="s">
        <v>2195</v>
      </c>
      <c r="B540" s="7657" t="s">
        <v>14</v>
      </c>
      <c r="C540" s="7657" t="s">
        <v>3514</v>
      </c>
      <c r="D540" s="7657" t="s">
        <v>3515</v>
      </c>
      <c r="E540" s="7657" t="s">
        <v>3516</v>
      </c>
      <c r="F540" s="7657" t="s">
        <v>1433</v>
      </c>
      <c r="G540" s="7657" t="s">
        <v>3517</v>
      </c>
      <c r="H540" s="7657" t="s">
        <v>17</v>
      </c>
      <c r="I540" s="7657" t="s">
        <v>3518</v>
      </c>
      <c r="J540" s="0" t="s">
        <v>17</v>
      </c>
      <c r="K540" s="0" t="s">
        <v>3362</v>
      </c>
      <c r="L540" s="0" t="s">
        <v>3519</v>
      </c>
      <c r="M540" s="0" t="s">
        <v>3520</v>
      </c>
      <c r="N540" s="0" t="s">
        <v>401</v>
      </c>
    </row>
    <row customHeight="1" ht="11.25">
      <c r="A541" s="7657" t="s">
        <v>2195</v>
      </c>
      <c r="B541" s="7657" t="s">
        <v>14</v>
      </c>
      <c r="C541" s="7657" t="s">
        <v>3514</v>
      </c>
      <c r="D541" s="7657" t="s">
        <v>3515</v>
      </c>
      <c r="E541" s="7657" t="s">
        <v>3516</v>
      </c>
      <c r="F541" s="7657" t="s">
        <v>1433</v>
      </c>
      <c r="G541" s="7657" t="s">
        <v>3517</v>
      </c>
      <c r="H541" s="7657" t="s">
        <v>17</v>
      </c>
      <c r="I541" s="7657" t="s">
        <v>3518</v>
      </c>
      <c r="J541" s="0" t="s">
        <v>17</v>
      </c>
      <c r="K541" s="0" t="s">
        <v>3365</v>
      </c>
      <c r="L541" s="0" t="s">
        <v>3519</v>
      </c>
      <c r="M541" s="0" t="s">
        <v>3520</v>
      </c>
      <c r="N541" s="0" t="s">
        <v>401</v>
      </c>
    </row>
    <row customHeight="1" ht="11.25">
      <c r="A542" s="7657" t="s">
        <v>2195</v>
      </c>
      <c r="B542" s="7657" t="s">
        <v>14</v>
      </c>
      <c r="C542" s="7657" t="s">
        <v>2455</v>
      </c>
      <c r="D542" s="7657" t="s">
        <v>2456</v>
      </c>
      <c r="E542" s="7657" t="s">
        <v>2457</v>
      </c>
      <c r="F542" s="7657" t="s">
        <v>1433</v>
      </c>
      <c r="G542" s="7657" t="s">
        <v>2458</v>
      </c>
      <c r="H542" s="7657" t="s">
        <v>17</v>
      </c>
      <c r="I542" s="7657" t="s">
        <v>2459</v>
      </c>
      <c r="J542" s="0" t="s">
        <v>17</v>
      </c>
      <c r="K542" s="0" t="s">
        <v>3362</v>
      </c>
      <c r="L542" s="0" t="s">
        <v>3394</v>
      </c>
      <c r="M542" s="0" t="s">
        <v>3471</v>
      </c>
      <c r="N542" s="0" t="s">
        <v>401</v>
      </c>
    </row>
    <row customHeight="1" ht="11.25">
      <c r="A543" s="7657" t="s">
        <v>2195</v>
      </c>
      <c r="B543" s="7657" t="s">
        <v>14</v>
      </c>
      <c r="C543" s="7657" t="s">
        <v>3521</v>
      </c>
      <c r="D543" s="7657" t="s">
        <v>3522</v>
      </c>
      <c r="E543" s="7657" t="s">
        <v>3523</v>
      </c>
      <c r="F543" s="7657" t="s">
        <v>2206</v>
      </c>
      <c r="G543" s="7657" t="s">
        <v>3524</v>
      </c>
      <c r="H543" s="7657" t="s">
        <v>17</v>
      </c>
      <c r="I543" s="7657" t="s">
        <v>2208</v>
      </c>
      <c r="J543" s="0" t="s">
        <v>17</v>
      </c>
      <c r="K543" s="0" t="s">
        <v>3362</v>
      </c>
      <c r="L543" s="0" t="s">
        <v>3363</v>
      </c>
      <c r="M543" s="0" t="s">
        <v>3364</v>
      </c>
      <c r="N543" s="0" t="s">
        <v>401</v>
      </c>
    </row>
    <row customHeight="1" ht="11.25">
      <c r="A544" s="7657" t="s">
        <v>2195</v>
      </c>
      <c r="B544" s="7657" t="s">
        <v>14</v>
      </c>
      <c r="C544" s="7657" t="s">
        <v>3521</v>
      </c>
      <c r="D544" s="7657" t="s">
        <v>3522</v>
      </c>
      <c r="E544" s="7657" t="s">
        <v>3523</v>
      </c>
      <c r="F544" s="7657" t="s">
        <v>2206</v>
      </c>
      <c r="G544" s="7657" t="s">
        <v>3524</v>
      </c>
      <c r="H544" s="7657" t="s">
        <v>17</v>
      </c>
      <c r="I544" s="7657" t="s">
        <v>2208</v>
      </c>
      <c r="J544" s="0" t="s">
        <v>17</v>
      </c>
      <c r="K544" s="0" t="s">
        <v>3365</v>
      </c>
      <c r="L544" s="0" t="s">
        <v>3363</v>
      </c>
      <c r="M544" s="0" t="s">
        <v>3364</v>
      </c>
      <c r="N544" s="0" t="s">
        <v>401</v>
      </c>
    </row>
    <row customHeight="1" ht="11.25">
      <c r="A545" s="7657" t="s">
        <v>2195</v>
      </c>
      <c r="B545" s="7657" t="s">
        <v>14</v>
      </c>
      <c r="C545" s="7657" t="s">
        <v>3525</v>
      </c>
      <c r="D545" s="7657" t="s">
        <v>3526</v>
      </c>
      <c r="E545" s="7657" t="s">
        <v>3527</v>
      </c>
      <c r="F545" s="7657" t="s">
        <v>3528</v>
      </c>
      <c r="G545" s="7657" t="s">
        <v>17</v>
      </c>
      <c r="H545" s="7657" t="s">
        <v>17</v>
      </c>
      <c r="I545" s="7657" t="s">
        <v>3312</v>
      </c>
      <c r="J545" s="0" t="s">
        <v>17</v>
      </c>
      <c r="K545" s="0" t="s">
        <v>3362</v>
      </c>
      <c r="L545" s="0" t="s">
        <v>3401</v>
      </c>
      <c r="M545" s="0" t="s">
        <v>3402</v>
      </c>
      <c r="N545" s="0" t="s">
        <v>401</v>
      </c>
    </row>
    <row customHeight="1" ht="11.25">
      <c r="A546" s="7657" t="s">
        <v>2195</v>
      </c>
      <c r="B546" s="7657" t="s">
        <v>14</v>
      </c>
      <c r="C546" s="7657" t="s">
        <v>3525</v>
      </c>
      <c r="D546" s="7657" t="s">
        <v>3526</v>
      </c>
      <c r="E546" s="7657" t="s">
        <v>3527</v>
      </c>
      <c r="F546" s="7657" t="s">
        <v>3528</v>
      </c>
      <c r="G546" s="7657" t="s">
        <v>17</v>
      </c>
      <c r="H546" s="7657" t="s">
        <v>17</v>
      </c>
      <c r="I546" s="7657" t="s">
        <v>3312</v>
      </c>
      <c r="J546" s="0" t="s">
        <v>17</v>
      </c>
      <c r="K546" s="0" t="s">
        <v>3365</v>
      </c>
      <c r="L546" s="0" t="s">
        <v>3401</v>
      </c>
      <c r="M546" s="0" t="s">
        <v>3402</v>
      </c>
      <c r="N546" s="0" t="s">
        <v>401</v>
      </c>
    </row>
    <row customHeight="1" ht="11.25">
      <c r="A547" s="7657" t="s">
        <v>2195</v>
      </c>
      <c r="B547" s="7657" t="s">
        <v>14</v>
      </c>
      <c r="C547" s="7657" t="s">
        <v>3529</v>
      </c>
      <c r="D547" s="7657" t="s">
        <v>3530</v>
      </c>
      <c r="E547" s="7657" t="s">
        <v>3531</v>
      </c>
      <c r="F547" s="7657" t="s">
        <v>2206</v>
      </c>
      <c r="G547" s="7657" t="s">
        <v>3361</v>
      </c>
      <c r="H547" s="7657" t="s">
        <v>17</v>
      </c>
      <c r="I547" s="7657" t="s">
        <v>2208</v>
      </c>
      <c r="J547" s="0" t="s">
        <v>17</v>
      </c>
      <c r="K547" s="0" t="s">
        <v>3362</v>
      </c>
      <c r="L547" s="0" t="s">
        <v>3363</v>
      </c>
      <c r="M547" s="0" t="s">
        <v>3364</v>
      </c>
      <c r="N547" s="0" t="s">
        <v>401</v>
      </c>
    </row>
    <row customHeight="1" ht="11.25">
      <c r="A548" s="7657" t="s">
        <v>2195</v>
      </c>
      <c r="B548" s="7657" t="s">
        <v>14</v>
      </c>
      <c r="C548" s="7657" t="s">
        <v>3529</v>
      </c>
      <c r="D548" s="7657" t="s">
        <v>3530</v>
      </c>
      <c r="E548" s="7657" t="s">
        <v>3531</v>
      </c>
      <c r="F548" s="7657" t="s">
        <v>2206</v>
      </c>
      <c r="G548" s="7657" t="s">
        <v>3361</v>
      </c>
      <c r="H548" s="7657" t="s">
        <v>17</v>
      </c>
      <c r="I548" s="7657" t="s">
        <v>2208</v>
      </c>
      <c r="J548" s="0" t="s">
        <v>17</v>
      </c>
      <c r="K548" s="0" t="s">
        <v>3365</v>
      </c>
      <c r="L548" s="0" t="s">
        <v>3363</v>
      </c>
      <c r="M548" s="0" t="s">
        <v>3364</v>
      </c>
      <c r="N548" s="0" t="s">
        <v>401</v>
      </c>
    </row>
    <row customHeight="1" ht="11.25">
      <c r="A549" s="7657" t="s">
        <v>2195</v>
      </c>
      <c r="B549" s="7657" t="s">
        <v>14</v>
      </c>
      <c r="C549" s="7657" t="s">
        <v>3532</v>
      </c>
      <c r="D549" s="7657" t="s">
        <v>3533</v>
      </c>
      <c r="E549" s="7657" t="s">
        <v>3534</v>
      </c>
      <c r="F549" s="7657" t="s">
        <v>2619</v>
      </c>
      <c r="G549" s="7657" t="s">
        <v>17</v>
      </c>
      <c r="H549" s="7657" t="s">
        <v>17</v>
      </c>
      <c r="I549" s="7657" t="s">
        <v>2208</v>
      </c>
      <c r="J549" s="0" t="s">
        <v>17</v>
      </c>
      <c r="K549" s="0" t="s">
        <v>3362</v>
      </c>
      <c r="L549" s="0" t="s">
        <v>3374</v>
      </c>
      <c r="M549" s="0" t="s">
        <v>3375</v>
      </c>
      <c r="N549" s="0" t="s">
        <v>401</v>
      </c>
    </row>
    <row customHeight="1" ht="11.25">
      <c r="A550" s="7657" t="s">
        <v>2195</v>
      </c>
      <c r="B550" s="7657" t="s">
        <v>14</v>
      </c>
      <c r="C550" s="7657" t="s">
        <v>3532</v>
      </c>
      <c r="D550" s="7657" t="s">
        <v>3533</v>
      </c>
      <c r="E550" s="7657" t="s">
        <v>3534</v>
      </c>
      <c r="F550" s="7657" t="s">
        <v>2619</v>
      </c>
      <c r="G550" s="7657" t="s">
        <v>17</v>
      </c>
      <c r="H550" s="7657" t="s">
        <v>17</v>
      </c>
      <c r="I550" s="7657" t="s">
        <v>2426</v>
      </c>
      <c r="J550" s="0" t="s">
        <v>17</v>
      </c>
      <c r="K550" s="0" t="s">
        <v>3362</v>
      </c>
      <c r="L550" s="0" t="s">
        <v>3434</v>
      </c>
      <c r="M550" s="0" t="s">
        <v>3475</v>
      </c>
      <c r="N550" s="0" t="s">
        <v>401</v>
      </c>
    </row>
    <row customHeight="1" ht="11.25">
      <c r="A551" s="7657" t="s">
        <v>2195</v>
      </c>
      <c r="B551" s="7657" t="s">
        <v>14</v>
      </c>
      <c r="C551" s="7657" t="s">
        <v>3532</v>
      </c>
      <c r="D551" s="7657" t="s">
        <v>3533</v>
      </c>
      <c r="E551" s="7657" t="s">
        <v>3534</v>
      </c>
      <c r="F551" s="7657" t="s">
        <v>2619</v>
      </c>
      <c r="G551" s="7657" t="s">
        <v>17</v>
      </c>
      <c r="H551" s="7657" t="s">
        <v>17</v>
      </c>
      <c r="I551" s="7657" t="s">
        <v>2426</v>
      </c>
      <c r="J551" s="0" t="s">
        <v>17</v>
      </c>
      <c r="K551" s="0" t="s">
        <v>3365</v>
      </c>
      <c r="L551" s="0" t="s">
        <v>3434</v>
      </c>
      <c r="M551" s="0" t="s">
        <v>3475</v>
      </c>
      <c r="N551" s="0" t="s">
        <v>401</v>
      </c>
    </row>
    <row customHeight="1" ht="11.25">
      <c r="A552" s="7657" t="s">
        <v>2195</v>
      </c>
      <c r="B552" s="7657" t="s">
        <v>14</v>
      </c>
      <c r="C552" s="7657" t="s">
        <v>3532</v>
      </c>
      <c r="D552" s="7657" t="s">
        <v>3533</v>
      </c>
      <c r="E552" s="7657" t="s">
        <v>3534</v>
      </c>
      <c r="F552" s="7657" t="s">
        <v>2619</v>
      </c>
      <c r="G552" s="7657" t="s">
        <v>17</v>
      </c>
      <c r="H552" s="7657" t="s">
        <v>17</v>
      </c>
      <c r="I552" s="7657" t="s">
        <v>2426</v>
      </c>
      <c r="J552" s="0" t="s">
        <v>17</v>
      </c>
      <c r="K552" s="0" t="s">
        <v>3362</v>
      </c>
      <c r="L552" s="0" t="s">
        <v>3363</v>
      </c>
      <c r="M552" s="0" t="s">
        <v>3364</v>
      </c>
      <c r="N552" s="0" t="s">
        <v>401</v>
      </c>
    </row>
    <row customHeight="1" ht="11.25">
      <c r="A553" s="7657" t="s">
        <v>2195</v>
      </c>
      <c r="B553" s="7657" t="s">
        <v>14</v>
      </c>
      <c r="C553" s="7657" t="s">
        <v>3532</v>
      </c>
      <c r="D553" s="7657" t="s">
        <v>3533</v>
      </c>
      <c r="E553" s="7657" t="s">
        <v>3534</v>
      </c>
      <c r="F553" s="7657" t="s">
        <v>2619</v>
      </c>
      <c r="G553" s="7657" t="s">
        <v>17</v>
      </c>
      <c r="H553" s="7657" t="s">
        <v>17</v>
      </c>
      <c r="I553" s="7657" t="s">
        <v>2426</v>
      </c>
      <c r="J553" s="0" t="s">
        <v>17</v>
      </c>
      <c r="K553" s="0" t="s">
        <v>3365</v>
      </c>
      <c r="L553" s="0" t="s">
        <v>3363</v>
      </c>
      <c r="M553" s="0" t="s">
        <v>3364</v>
      </c>
      <c r="N553" s="0" t="s">
        <v>401</v>
      </c>
    </row>
    <row customHeight="1" ht="11.25">
      <c r="A554" s="7657" t="s">
        <v>2195</v>
      </c>
      <c r="B554" s="7657" t="s">
        <v>14</v>
      </c>
      <c r="C554" s="7657" t="s">
        <v>3532</v>
      </c>
      <c r="D554" s="7657" t="s">
        <v>3533</v>
      </c>
      <c r="E554" s="7657" t="s">
        <v>3534</v>
      </c>
      <c r="F554" s="7657" t="s">
        <v>2619</v>
      </c>
      <c r="G554" s="7657" t="s">
        <v>17</v>
      </c>
      <c r="H554" s="7657" t="s">
        <v>17</v>
      </c>
      <c r="I554" s="7657" t="s">
        <v>2360</v>
      </c>
      <c r="J554" s="0" t="s">
        <v>17</v>
      </c>
      <c r="K554" s="0" t="s">
        <v>3362</v>
      </c>
      <c r="L554" s="0" t="s">
        <v>3363</v>
      </c>
      <c r="M554" s="0" t="s">
        <v>3364</v>
      </c>
      <c r="N554" s="0" t="s">
        <v>401</v>
      </c>
    </row>
    <row customHeight="1" ht="11.25">
      <c r="A555" s="7657" t="s">
        <v>2195</v>
      </c>
      <c r="B555" s="7657" t="s">
        <v>14</v>
      </c>
      <c r="C555" s="7657" t="s">
        <v>3532</v>
      </c>
      <c r="D555" s="7657" t="s">
        <v>3533</v>
      </c>
      <c r="E555" s="7657" t="s">
        <v>3534</v>
      </c>
      <c r="F555" s="7657" t="s">
        <v>2619</v>
      </c>
      <c r="G555" s="7657" t="s">
        <v>17</v>
      </c>
      <c r="H555" s="7657" t="s">
        <v>17</v>
      </c>
      <c r="I555" s="7657" t="s">
        <v>2360</v>
      </c>
      <c r="J555" s="0" t="s">
        <v>17</v>
      </c>
      <c r="K555" s="0" t="s">
        <v>3365</v>
      </c>
      <c r="L555" s="0" t="s">
        <v>3363</v>
      </c>
      <c r="M555" s="0" t="s">
        <v>3364</v>
      </c>
      <c r="N555" s="0" t="s">
        <v>401</v>
      </c>
    </row>
    <row customHeight="1" ht="11.25">
      <c r="A556" s="7657" t="s">
        <v>2195</v>
      </c>
      <c r="B556" s="7657" t="s">
        <v>14</v>
      </c>
      <c r="C556" s="7657" t="s">
        <v>3535</v>
      </c>
      <c r="D556" s="7657" t="s">
        <v>3536</v>
      </c>
      <c r="E556" s="7657" t="s">
        <v>3537</v>
      </c>
      <c r="F556" s="7657" t="s">
        <v>2856</v>
      </c>
      <c r="G556" s="7657" t="s">
        <v>3538</v>
      </c>
      <c r="H556" s="7657" t="s">
        <v>17</v>
      </c>
      <c r="I556" s="7657" t="s">
        <v>3539</v>
      </c>
      <c r="J556" s="0" t="s">
        <v>17</v>
      </c>
      <c r="K556" s="0" t="s">
        <v>3362</v>
      </c>
      <c r="L556" s="0" t="s">
        <v>3434</v>
      </c>
      <c r="M556" s="0" t="s">
        <v>3435</v>
      </c>
      <c r="N556" s="0" t="s">
        <v>401</v>
      </c>
    </row>
    <row customHeight="1" ht="11.25">
      <c r="A557" s="7657" t="s">
        <v>2195</v>
      </c>
      <c r="B557" s="7657" t="s">
        <v>14</v>
      </c>
      <c r="C557" s="7657" t="s">
        <v>3540</v>
      </c>
      <c r="D557" s="7657" t="s">
        <v>3541</v>
      </c>
      <c r="E557" s="7657" t="s">
        <v>3542</v>
      </c>
      <c r="F557" s="7657" t="s">
        <v>3421</v>
      </c>
      <c r="G557" s="7657" t="s">
        <v>3543</v>
      </c>
      <c r="H557" s="7657" t="s">
        <v>17</v>
      </c>
      <c r="I557" s="7657" t="s">
        <v>3543</v>
      </c>
      <c r="J557" s="0" t="s">
        <v>17</v>
      </c>
      <c r="K557" s="0" t="s">
        <v>3362</v>
      </c>
      <c r="L557" s="0" t="s">
        <v>3363</v>
      </c>
      <c r="M557" s="0" t="s">
        <v>3364</v>
      </c>
      <c r="N557" s="0" t="s">
        <v>401</v>
      </c>
    </row>
    <row customHeight="1" ht="11.25">
      <c r="A558" s="7657" t="s">
        <v>2195</v>
      </c>
      <c r="B558" s="7657" t="s">
        <v>14</v>
      </c>
      <c r="C558" s="7657" t="s">
        <v>3540</v>
      </c>
      <c r="D558" s="7657" t="s">
        <v>3541</v>
      </c>
      <c r="E558" s="7657" t="s">
        <v>3542</v>
      </c>
      <c r="F558" s="7657" t="s">
        <v>3421</v>
      </c>
      <c r="G558" s="7657" t="s">
        <v>3543</v>
      </c>
      <c r="H558" s="7657" t="s">
        <v>17</v>
      </c>
      <c r="I558" s="7657" t="s">
        <v>3543</v>
      </c>
      <c r="J558" s="0" t="s">
        <v>17</v>
      </c>
      <c r="K558" s="0" t="s">
        <v>3365</v>
      </c>
      <c r="L558" s="0" t="s">
        <v>3363</v>
      </c>
      <c r="M558" s="0" t="s">
        <v>3364</v>
      </c>
      <c r="N558" s="0" t="s">
        <v>401</v>
      </c>
    </row>
    <row customHeight="1" ht="11.25">
      <c r="A559" s="7657" t="s">
        <v>2195</v>
      </c>
      <c r="B559" s="7657" t="s">
        <v>14</v>
      </c>
      <c r="C559" s="7657" t="s">
        <v>3544</v>
      </c>
      <c r="D559" s="7657" t="s">
        <v>3545</v>
      </c>
      <c r="E559" s="7657" t="s">
        <v>3546</v>
      </c>
      <c r="F559" s="7657" t="s">
        <v>2378</v>
      </c>
      <c r="G559" s="7657" t="s">
        <v>3547</v>
      </c>
      <c r="H559" s="7657" t="s">
        <v>17</v>
      </c>
      <c r="I559" s="7657" t="s">
        <v>3157</v>
      </c>
      <c r="J559" s="0" t="s">
        <v>17</v>
      </c>
      <c r="K559" s="0" t="s">
        <v>3362</v>
      </c>
      <c r="L559" s="0" t="s">
        <v>3434</v>
      </c>
      <c r="M559" s="0" t="s">
        <v>3475</v>
      </c>
      <c r="N559" s="0" t="s">
        <v>401</v>
      </c>
    </row>
    <row customHeight="1" ht="11.25">
      <c r="A560" s="7657" t="s">
        <v>2195</v>
      </c>
      <c r="B560" s="7657" t="s">
        <v>14</v>
      </c>
      <c r="C560" s="7657" t="s">
        <v>3544</v>
      </c>
      <c r="D560" s="7657" t="s">
        <v>3545</v>
      </c>
      <c r="E560" s="7657" t="s">
        <v>3546</v>
      </c>
      <c r="F560" s="7657" t="s">
        <v>2378</v>
      </c>
      <c r="G560" s="7657" t="s">
        <v>3547</v>
      </c>
      <c r="H560" s="7657" t="s">
        <v>17</v>
      </c>
      <c r="I560" s="7657" t="s">
        <v>3157</v>
      </c>
      <c r="J560" s="0" t="s">
        <v>17</v>
      </c>
      <c r="K560" s="0" t="s">
        <v>3365</v>
      </c>
      <c r="L560" s="0" t="s">
        <v>3434</v>
      </c>
      <c r="M560" s="0" t="s">
        <v>3475</v>
      </c>
      <c r="N560" s="0" t="s">
        <v>401</v>
      </c>
    </row>
    <row customHeight="1" ht="11.25">
      <c r="A561" s="7657" t="s">
        <v>2195</v>
      </c>
      <c r="B561" s="7657" t="s">
        <v>14</v>
      </c>
      <c r="C561" s="7657" t="s">
        <v>3548</v>
      </c>
      <c r="D561" s="7657" t="s">
        <v>3549</v>
      </c>
      <c r="E561" s="7657" t="s">
        <v>3550</v>
      </c>
      <c r="F561" s="7657" t="s">
        <v>3551</v>
      </c>
      <c r="G561" s="7657" t="s">
        <v>3552</v>
      </c>
      <c r="H561" s="7657" t="s">
        <v>17</v>
      </c>
      <c r="I561" s="7657" t="s">
        <v>2390</v>
      </c>
      <c r="J561" s="0" t="s">
        <v>17</v>
      </c>
      <c r="K561" s="0" t="s">
        <v>3362</v>
      </c>
      <c r="L561" s="0" t="s">
        <v>3434</v>
      </c>
      <c r="M561" s="0" t="s">
        <v>3435</v>
      </c>
      <c r="N561" s="0" t="s">
        <v>401</v>
      </c>
    </row>
    <row customHeight="1" ht="11.25">
      <c r="A562" s="7657" t="s">
        <v>2195</v>
      </c>
      <c r="B562" s="7657" t="s">
        <v>14</v>
      </c>
      <c r="C562" s="7657" t="s">
        <v>3553</v>
      </c>
      <c r="D562" s="7657" t="s">
        <v>3554</v>
      </c>
      <c r="E562" s="7657" t="s">
        <v>3555</v>
      </c>
      <c r="F562" s="7657" t="s">
        <v>2866</v>
      </c>
      <c r="G562" s="7657" t="s">
        <v>3556</v>
      </c>
      <c r="H562" s="7657" t="s">
        <v>17</v>
      </c>
      <c r="I562" s="7657" t="s">
        <v>3556</v>
      </c>
      <c r="J562" s="0" t="s">
        <v>17</v>
      </c>
      <c r="K562" s="0" t="s">
        <v>3362</v>
      </c>
      <c r="L562" s="0" t="s">
        <v>3363</v>
      </c>
      <c r="M562" s="0" t="s">
        <v>3364</v>
      </c>
      <c r="N562" s="0" t="s">
        <v>401</v>
      </c>
    </row>
    <row customHeight="1" ht="11.25">
      <c r="A563" s="7657" t="s">
        <v>2195</v>
      </c>
      <c r="B563" s="7657" t="s">
        <v>14</v>
      </c>
      <c r="C563" s="7657" t="s">
        <v>3553</v>
      </c>
      <c r="D563" s="7657" t="s">
        <v>3554</v>
      </c>
      <c r="E563" s="7657" t="s">
        <v>3555</v>
      </c>
      <c r="F563" s="7657" t="s">
        <v>2866</v>
      </c>
      <c r="G563" s="7657" t="s">
        <v>3556</v>
      </c>
      <c r="H563" s="7657" t="s">
        <v>17</v>
      </c>
      <c r="I563" s="7657" t="s">
        <v>3556</v>
      </c>
      <c r="J563" s="0" t="s">
        <v>17</v>
      </c>
      <c r="K563" s="0" t="s">
        <v>3365</v>
      </c>
      <c r="L563" s="0" t="s">
        <v>3363</v>
      </c>
      <c r="M563" s="0" t="s">
        <v>3364</v>
      </c>
      <c r="N563" s="0" t="s">
        <v>401</v>
      </c>
    </row>
    <row customHeight="1" ht="11.25">
      <c r="A564" s="7657" t="s">
        <v>2195</v>
      </c>
      <c r="B564" s="7657" t="s">
        <v>14</v>
      </c>
      <c r="C564" s="7657" t="s">
        <v>3557</v>
      </c>
      <c r="D564" s="7657" t="s">
        <v>3558</v>
      </c>
      <c r="E564" s="7657" t="s">
        <v>3559</v>
      </c>
      <c r="F564" s="7657" t="s">
        <v>2649</v>
      </c>
      <c r="G564" s="7657" t="s">
        <v>2534</v>
      </c>
      <c r="H564" s="7657" t="s">
        <v>17</v>
      </c>
      <c r="I564" s="7657" t="s">
        <v>2534</v>
      </c>
      <c r="J564" s="0" t="s">
        <v>17</v>
      </c>
      <c r="K564" s="0" t="s">
        <v>3362</v>
      </c>
      <c r="L564" s="0" t="s">
        <v>3401</v>
      </c>
      <c r="M564" s="0" t="s">
        <v>3402</v>
      </c>
      <c r="N564" s="0" t="s">
        <v>401</v>
      </c>
    </row>
    <row customHeight="1" ht="11.25">
      <c r="A565" s="7657" t="s">
        <v>2195</v>
      </c>
      <c r="B565" s="7657" t="s">
        <v>14</v>
      </c>
      <c r="C565" s="7657" t="s">
        <v>3557</v>
      </c>
      <c r="D565" s="7657" t="s">
        <v>3558</v>
      </c>
      <c r="E565" s="7657" t="s">
        <v>3559</v>
      </c>
      <c r="F565" s="7657" t="s">
        <v>2649</v>
      </c>
      <c r="G565" s="7657" t="s">
        <v>2534</v>
      </c>
      <c r="H565" s="7657" t="s">
        <v>17</v>
      </c>
      <c r="I565" s="7657" t="s">
        <v>2534</v>
      </c>
      <c r="J565" s="0" t="s">
        <v>17</v>
      </c>
      <c r="K565" s="0" t="s">
        <v>3365</v>
      </c>
      <c r="L565" s="0" t="s">
        <v>3401</v>
      </c>
      <c r="M565" s="0" t="s">
        <v>3402</v>
      </c>
      <c r="N565" s="0" t="s">
        <v>401</v>
      </c>
    </row>
    <row customHeight="1" ht="11.25">
      <c r="A566" s="7657" t="s">
        <v>2195</v>
      </c>
      <c r="B566" s="7657" t="s">
        <v>14</v>
      </c>
      <c r="C566" s="7657" t="s">
        <v>3560</v>
      </c>
      <c r="D566" s="7657" t="s">
        <v>3561</v>
      </c>
      <c r="E566" s="7657" t="s">
        <v>3562</v>
      </c>
      <c r="F566" s="7657" t="s">
        <v>2649</v>
      </c>
      <c r="G566" s="7657" t="s">
        <v>3157</v>
      </c>
      <c r="H566" s="7657" t="s">
        <v>17</v>
      </c>
      <c r="I566" s="7657" t="s">
        <v>3157</v>
      </c>
      <c r="J566" s="0" t="s">
        <v>17</v>
      </c>
      <c r="K566" s="0" t="s">
        <v>3362</v>
      </c>
      <c r="L566" s="0" t="s">
        <v>3401</v>
      </c>
      <c r="M566" s="0" t="s">
        <v>3402</v>
      </c>
      <c r="N566" s="0" t="s">
        <v>401</v>
      </c>
    </row>
    <row customHeight="1" ht="11.25">
      <c r="A567" s="7657" t="s">
        <v>2195</v>
      </c>
      <c r="B567" s="7657" t="s">
        <v>14</v>
      </c>
      <c r="C567" s="7657" t="s">
        <v>3560</v>
      </c>
      <c r="D567" s="7657" t="s">
        <v>3561</v>
      </c>
      <c r="E567" s="7657" t="s">
        <v>3562</v>
      </c>
      <c r="F567" s="7657" t="s">
        <v>2649</v>
      </c>
      <c r="G567" s="7657" t="s">
        <v>3157</v>
      </c>
      <c r="H567" s="7657" t="s">
        <v>17</v>
      </c>
      <c r="I567" s="7657" t="s">
        <v>3157</v>
      </c>
      <c r="J567" s="0" t="s">
        <v>17</v>
      </c>
      <c r="K567" s="0" t="s">
        <v>3365</v>
      </c>
      <c r="L567" s="0" t="s">
        <v>3401</v>
      </c>
      <c r="M567" s="0" t="s">
        <v>3402</v>
      </c>
      <c r="N567" s="0" t="s">
        <v>401</v>
      </c>
    </row>
    <row customHeight="1" ht="11.25">
      <c r="A568" s="7657" t="s">
        <v>2195</v>
      </c>
      <c r="B568" s="7657" t="s">
        <v>14</v>
      </c>
      <c r="C568" s="7657" t="s">
        <v>3563</v>
      </c>
      <c r="D568" s="7657" t="s">
        <v>3564</v>
      </c>
      <c r="E568" s="7657" t="s">
        <v>3565</v>
      </c>
      <c r="F568" s="7657" t="s">
        <v>3551</v>
      </c>
      <c r="G568" s="7657" t="s">
        <v>3566</v>
      </c>
      <c r="H568" s="7657" t="s">
        <v>17</v>
      </c>
      <c r="I568" s="7657" t="s">
        <v>2340</v>
      </c>
      <c r="J568" s="0" t="s">
        <v>17</v>
      </c>
      <c r="K568" s="0" t="s">
        <v>3362</v>
      </c>
      <c r="L568" s="0" t="s">
        <v>3363</v>
      </c>
      <c r="M568" s="0" t="s">
        <v>3364</v>
      </c>
      <c r="N568" s="0" t="s">
        <v>401</v>
      </c>
    </row>
    <row customHeight="1" ht="11.25">
      <c r="A569" s="7657" t="s">
        <v>2195</v>
      </c>
      <c r="B569" s="7657" t="s">
        <v>14</v>
      </c>
      <c r="C569" s="7657" t="s">
        <v>3563</v>
      </c>
      <c r="D569" s="7657" t="s">
        <v>3564</v>
      </c>
      <c r="E569" s="7657" t="s">
        <v>3565</v>
      </c>
      <c r="F569" s="7657" t="s">
        <v>3551</v>
      </c>
      <c r="G569" s="7657" t="s">
        <v>3566</v>
      </c>
      <c r="H569" s="7657" t="s">
        <v>17</v>
      </c>
      <c r="I569" s="7657" t="s">
        <v>2340</v>
      </c>
      <c r="J569" s="0" t="s">
        <v>17</v>
      </c>
      <c r="K569" s="0" t="s">
        <v>3365</v>
      </c>
      <c r="L569" s="0" t="s">
        <v>3363</v>
      </c>
      <c r="M569" s="0" t="s">
        <v>3364</v>
      </c>
      <c r="N569" s="0" t="s">
        <v>401</v>
      </c>
    </row>
    <row customHeight="1" ht="11.25">
      <c r="A570" s="7657" t="s">
        <v>2195</v>
      </c>
      <c r="B570" s="7657" t="s">
        <v>14</v>
      </c>
      <c r="C570" s="7657" t="s">
        <v>3567</v>
      </c>
      <c r="D570" s="7657" t="s">
        <v>3568</v>
      </c>
      <c r="E570" s="7657" t="s">
        <v>3569</v>
      </c>
      <c r="F570" s="7657" t="s">
        <v>2649</v>
      </c>
      <c r="G570" s="7657" t="s">
        <v>3570</v>
      </c>
      <c r="H570" s="7657" t="s">
        <v>17</v>
      </c>
      <c r="I570" s="7657" t="s">
        <v>3571</v>
      </c>
      <c r="J570" s="0" t="s">
        <v>17</v>
      </c>
      <c r="K570" s="0" t="s">
        <v>3362</v>
      </c>
      <c r="L570" s="0" t="s">
        <v>3401</v>
      </c>
      <c r="M570" s="0" t="s">
        <v>3402</v>
      </c>
      <c r="N570" s="0" t="s">
        <v>401</v>
      </c>
    </row>
    <row customHeight="1" ht="11.25">
      <c r="A571" s="7657" t="s">
        <v>2195</v>
      </c>
      <c r="B571" s="7657" t="s">
        <v>14</v>
      </c>
      <c r="C571" s="7657" t="s">
        <v>3567</v>
      </c>
      <c r="D571" s="7657" t="s">
        <v>3568</v>
      </c>
      <c r="E571" s="7657" t="s">
        <v>3569</v>
      </c>
      <c r="F571" s="7657" t="s">
        <v>2649</v>
      </c>
      <c r="G571" s="7657" t="s">
        <v>3570</v>
      </c>
      <c r="H571" s="7657" t="s">
        <v>17</v>
      </c>
      <c r="I571" s="7657" t="s">
        <v>3571</v>
      </c>
      <c r="J571" s="0" t="s">
        <v>17</v>
      </c>
      <c r="K571" s="0" t="s">
        <v>3365</v>
      </c>
      <c r="L571" s="0" t="s">
        <v>3401</v>
      </c>
      <c r="M571" s="0" t="s">
        <v>3402</v>
      </c>
      <c r="N571" s="0" t="s">
        <v>401</v>
      </c>
    </row>
    <row customHeight="1" ht="11.25">
      <c r="A572" s="7657" t="s">
        <v>2195</v>
      </c>
      <c r="B572" s="7657" t="s">
        <v>14</v>
      </c>
      <c r="C572" s="7657" t="s">
        <v>3572</v>
      </c>
      <c r="D572" s="7657" t="s">
        <v>3573</v>
      </c>
      <c r="E572" s="7657" t="s">
        <v>3574</v>
      </c>
      <c r="F572" s="7657" t="s">
        <v>2649</v>
      </c>
      <c r="G572" s="7657" t="s">
        <v>2534</v>
      </c>
      <c r="H572" s="7657" t="s">
        <v>17</v>
      </c>
      <c r="I572" s="7657" t="s">
        <v>2534</v>
      </c>
      <c r="J572" s="0" t="s">
        <v>17</v>
      </c>
      <c r="K572" s="0" t="s">
        <v>3362</v>
      </c>
      <c r="L572" s="0" t="s">
        <v>3401</v>
      </c>
      <c r="M572" s="0" t="s">
        <v>3402</v>
      </c>
      <c r="N572" s="0" t="s">
        <v>401</v>
      </c>
    </row>
    <row customHeight="1" ht="11.25">
      <c r="A573" s="7657" t="s">
        <v>2195</v>
      </c>
      <c r="B573" s="7657" t="s">
        <v>14</v>
      </c>
      <c r="C573" s="7657" t="s">
        <v>3572</v>
      </c>
      <c r="D573" s="7657" t="s">
        <v>3573</v>
      </c>
      <c r="E573" s="7657" t="s">
        <v>3574</v>
      </c>
      <c r="F573" s="7657" t="s">
        <v>2649</v>
      </c>
      <c r="G573" s="7657" t="s">
        <v>2534</v>
      </c>
      <c r="H573" s="7657" t="s">
        <v>17</v>
      </c>
      <c r="I573" s="7657" t="s">
        <v>2534</v>
      </c>
      <c r="J573" s="0" t="s">
        <v>17</v>
      </c>
      <c r="K573" s="0" t="s">
        <v>3365</v>
      </c>
      <c r="L573" s="0" t="s">
        <v>3401</v>
      </c>
      <c r="M573" s="0" t="s">
        <v>3402</v>
      </c>
      <c r="N573" s="0" t="s">
        <v>401</v>
      </c>
    </row>
    <row customHeight="1" ht="11.25">
      <c r="A574" s="7657" t="s">
        <v>2195</v>
      </c>
      <c r="B574" s="7657" t="s">
        <v>14</v>
      </c>
      <c r="C574" s="7657" t="s">
        <v>3575</v>
      </c>
      <c r="D574" s="7657" t="s">
        <v>3576</v>
      </c>
      <c r="E574" s="7657" t="s">
        <v>3577</v>
      </c>
      <c r="F574" s="7657" t="s">
        <v>2649</v>
      </c>
      <c r="G574" s="7657" t="s">
        <v>2534</v>
      </c>
      <c r="H574" s="7657" t="s">
        <v>17</v>
      </c>
      <c r="I574" s="7657" t="s">
        <v>2534</v>
      </c>
      <c r="J574" s="0" t="s">
        <v>17</v>
      </c>
      <c r="K574" s="0" t="s">
        <v>3362</v>
      </c>
      <c r="L574" s="0" t="s">
        <v>3401</v>
      </c>
      <c r="M574" s="0" t="s">
        <v>3402</v>
      </c>
      <c r="N574" s="0" t="s">
        <v>401</v>
      </c>
    </row>
    <row customHeight="1" ht="11.25">
      <c r="A575" s="7657" t="s">
        <v>2195</v>
      </c>
      <c r="B575" s="7657" t="s">
        <v>14</v>
      </c>
      <c r="C575" s="7657" t="s">
        <v>3575</v>
      </c>
      <c r="D575" s="7657" t="s">
        <v>3576</v>
      </c>
      <c r="E575" s="7657" t="s">
        <v>3577</v>
      </c>
      <c r="F575" s="7657" t="s">
        <v>2649</v>
      </c>
      <c r="G575" s="7657" t="s">
        <v>2534</v>
      </c>
      <c r="H575" s="7657" t="s">
        <v>17</v>
      </c>
      <c r="I575" s="7657" t="s">
        <v>2534</v>
      </c>
      <c r="J575" s="0" t="s">
        <v>17</v>
      </c>
      <c r="K575" s="0" t="s">
        <v>3365</v>
      </c>
      <c r="L575" s="0" t="s">
        <v>3401</v>
      </c>
      <c r="M575" s="0" t="s">
        <v>3402</v>
      </c>
      <c r="N575" s="0" t="s">
        <v>401</v>
      </c>
    </row>
    <row customHeight="1" ht="11.25">
      <c r="A576" s="7657" t="s">
        <v>2195</v>
      </c>
      <c r="B576" s="7657" t="s">
        <v>14</v>
      </c>
      <c r="C576" s="7657" t="s">
        <v>3578</v>
      </c>
      <c r="D576" s="7657" t="s">
        <v>3579</v>
      </c>
      <c r="E576" s="7657" t="s">
        <v>3580</v>
      </c>
      <c r="F576" s="7657" t="s">
        <v>2624</v>
      </c>
      <c r="G576" s="7657" t="s">
        <v>3581</v>
      </c>
      <c r="H576" s="7657" t="s">
        <v>17</v>
      </c>
      <c r="I576" s="7657" t="s">
        <v>3582</v>
      </c>
      <c r="J576" s="0" t="s">
        <v>17</v>
      </c>
      <c r="K576" s="0" t="s">
        <v>3362</v>
      </c>
      <c r="L576" s="0" t="s">
        <v>3386</v>
      </c>
      <c r="M576" s="0" t="s">
        <v>3387</v>
      </c>
      <c r="N576" s="0" t="s">
        <v>401</v>
      </c>
    </row>
    <row customHeight="1" ht="11.25">
      <c r="A577" s="7657" t="s">
        <v>2195</v>
      </c>
      <c r="B577" s="7657" t="s">
        <v>14</v>
      </c>
      <c r="C577" s="7657" t="s">
        <v>3583</v>
      </c>
      <c r="D577" s="7657" t="s">
        <v>3584</v>
      </c>
      <c r="E577" s="7657" t="s">
        <v>3585</v>
      </c>
      <c r="F577" s="7657" t="s">
        <v>2866</v>
      </c>
      <c r="G577" s="7657" t="s">
        <v>3586</v>
      </c>
      <c r="H577" s="7657" t="s">
        <v>17</v>
      </c>
      <c r="I577" s="7657" t="s">
        <v>3587</v>
      </c>
      <c r="J577" s="0" t="s">
        <v>17</v>
      </c>
      <c r="K577" s="0" t="s">
        <v>3362</v>
      </c>
      <c r="L577" s="0" t="s">
        <v>3394</v>
      </c>
      <c r="M577" s="0" t="s">
        <v>3471</v>
      </c>
      <c r="N577" s="0" t="s">
        <v>401</v>
      </c>
    </row>
    <row customHeight="1" ht="11.25">
      <c r="A578" s="7657" t="s">
        <v>2195</v>
      </c>
      <c r="B578" s="7657" t="s">
        <v>14</v>
      </c>
      <c r="C578" s="7657" t="s">
        <v>3588</v>
      </c>
      <c r="D578" s="7657" t="s">
        <v>3589</v>
      </c>
      <c r="E578" s="7657" t="s">
        <v>3590</v>
      </c>
      <c r="F578" s="7657" t="s">
        <v>2699</v>
      </c>
      <c r="G578" s="7657" t="s">
        <v>3591</v>
      </c>
      <c r="H578" s="7657" t="s">
        <v>17</v>
      </c>
      <c r="I578" s="7657" t="s">
        <v>3592</v>
      </c>
      <c r="J578" s="0" t="s">
        <v>17</v>
      </c>
      <c r="K578" s="0" t="s">
        <v>3362</v>
      </c>
      <c r="L578" s="0" t="s">
        <v>3363</v>
      </c>
      <c r="M578" s="0" t="s">
        <v>3364</v>
      </c>
      <c r="N578" s="0" t="s">
        <v>401</v>
      </c>
    </row>
    <row customHeight="1" ht="11.25">
      <c r="A579" s="7657" t="s">
        <v>2195</v>
      </c>
      <c r="B579" s="7657" t="s">
        <v>14</v>
      </c>
      <c r="C579" s="7657" t="s">
        <v>3588</v>
      </c>
      <c r="D579" s="7657" t="s">
        <v>3589</v>
      </c>
      <c r="E579" s="7657" t="s">
        <v>3590</v>
      </c>
      <c r="F579" s="7657" t="s">
        <v>2699</v>
      </c>
      <c r="G579" s="7657" t="s">
        <v>3591</v>
      </c>
      <c r="H579" s="7657" t="s">
        <v>17</v>
      </c>
      <c r="I579" s="7657" t="s">
        <v>3592</v>
      </c>
      <c r="J579" s="0" t="s">
        <v>17</v>
      </c>
      <c r="K579" s="0" t="s">
        <v>3365</v>
      </c>
      <c r="L579" s="0" t="s">
        <v>3363</v>
      </c>
      <c r="M579" s="0" t="s">
        <v>3364</v>
      </c>
      <c r="N579" s="0" t="s">
        <v>401</v>
      </c>
    </row>
    <row customHeight="1" ht="11.25">
      <c r="A580" s="7657" t="s">
        <v>2195</v>
      </c>
      <c r="B580" s="7657" t="s">
        <v>14</v>
      </c>
      <c r="C580" s="7657" t="s">
        <v>3593</v>
      </c>
      <c r="D580" s="7657" t="s">
        <v>3594</v>
      </c>
      <c r="E580" s="7657" t="s">
        <v>3595</v>
      </c>
      <c r="F580" s="7657" t="s">
        <v>2699</v>
      </c>
      <c r="G580" s="7657" t="s">
        <v>3596</v>
      </c>
      <c r="H580" s="7657" t="s">
        <v>17</v>
      </c>
      <c r="I580" s="7657" t="s">
        <v>2426</v>
      </c>
      <c r="J580" s="0" t="s">
        <v>17</v>
      </c>
      <c r="K580" s="0" t="s">
        <v>3362</v>
      </c>
      <c r="L580" s="0" t="s">
        <v>3363</v>
      </c>
      <c r="M580" s="0" t="s">
        <v>3364</v>
      </c>
      <c r="N580" s="0" t="s">
        <v>401</v>
      </c>
    </row>
    <row customHeight="1" ht="11.25">
      <c r="A581" s="7657" t="s">
        <v>2195</v>
      </c>
      <c r="B581" s="7657" t="s">
        <v>14</v>
      </c>
      <c r="C581" s="7657" t="s">
        <v>3593</v>
      </c>
      <c r="D581" s="7657" t="s">
        <v>3594</v>
      </c>
      <c r="E581" s="7657" t="s">
        <v>3595</v>
      </c>
      <c r="F581" s="7657" t="s">
        <v>2699</v>
      </c>
      <c r="G581" s="7657" t="s">
        <v>3596</v>
      </c>
      <c r="H581" s="7657" t="s">
        <v>17</v>
      </c>
      <c r="I581" s="7657" t="s">
        <v>2426</v>
      </c>
      <c r="J581" s="0" t="s">
        <v>17</v>
      </c>
      <c r="K581" s="0" t="s">
        <v>3365</v>
      </c>
      <c r="L581" s="0" t="s">
        <v>3363</v>
      </c>
      <c r="M581" s="0" t="s">
        <v>3364</v>
      </c>
      <c r="N581" s="0" t="s">
        <v>401</v>
      </c>
    </row>
    <row customHeight="1" ht="11.25">
      <c r="A582" s="7657" t="s">
        <v>2195</v>
      </c>
      <c r="B582" s="7657" t="s">
        <v>14</v>
      </c>
      <c r="C582" s="7657" t="s">
        <v>3597</v>
      </c>
      <c r="D582" s="7657" t="s">
        <v>3598</v>
      </c>
      <c r="E582" s="7657" t="s">
        <v>3599</v>
      </c>
      <c r="F582" s="7657" t="s">
        <v>2699</v>
      </c>
      <c r="G582" s="7657" t="s">
        <v>3596</v>
      </c>
      <c r="H582" s="7657" t="s">
        <v>17</v>
      </c>
      <c r="I582" s="7657" t="s">
        <v>2426</v>
      </c>
      <c r="J582" s="0" t="s">
        <v>17</v>
      </c>
      <c r="K582" s="0" t="s">
        <v>3362</v>
      </c>
      <c r="L582" s="0" t="s">
        <v>3363</v>
      </c>
      <c r="M582" s="0" t="s">
        <v>3364</v>
      </c>
      <c r="N582" s="0" t="s">
        <v>401</v>
      </c>
    </row>
    <row customHeight="1" ht="11.25">
      <c r="A583" s="7657" t="s">
        <v>2195</v>
      </c>
      <c r="B583" s="7657" t="s">
        <v>14</v>
      </c>
      <c r="C583" s="7657" t="s">
        <v>3597</v>
      </c>
      <c r="D583" s="7657" t="s">
        <v>3598</v>
      </c>
      <c r="E583" s="7657" t="s">
        <v>3599</v>
      </c>
      <c r="F583" s="7657" t="s">
        <v>2699</v>
      </c>
      <c r="G583" s="7657" t="s">
        <v>3596</v>
      </c>
      <c r="H583" s="7657" t="s">
        <v>17</v>
      </c>
      <c r="I583" s="7657" t="s">
        <v>2426</v>
      </c>
      <c r="J583" s="0" t="s">
        <v>17</v>
      </c>
      <c r="K583" s="0" t="s">
        <v>3365</v>
      </c>
      <c r="L583" s="0" t="s">
        <v>3363</v>
      </c>
      <c r="M583" s="0" t="s">
        <v>3364</v>
      </c>
      <c r="N583" s="0" t="s">
        <v>401</v>
      </c>
    </row>
    <row customHeight="1" ht="11.25">
      <c r="A584" s="7657" t="s">
        <v>2195</v>
      </c>
      <c r="B584" s="7657" t="s">
        <v>14</v>
      </c>
      <c r="C584" s="7657" t="s">
        <v>3600</v>
      </c>
      <c r="D584" s="7657" t="s">
        <v>3601</v>
      </c>
      <c r="E584" s="7657" t="s">
        <v>3602</v>
      </c>
      <c r="F584" s="7657" t="s">
        <v>2699</v>
      </c>
      <c r="G584" s="7657" t="s">
        <v>3603</v>
      </c>
      <c r="H584" s="7657" t="s">
        <v>17</v>
      </c>
      <c r="I584" s="7657" t="s">
        <v>2426</v>
      </c>
      <c r="J584" s="0" t="s">
        <v>17</v>
      </c>
      <c r="K584" s="0" t="s">
        <v>3362</v>
      </c>
      <c r="L584" s="0" t="s">
        <v>3363</v>
      </c>
      <c r="M584" s="0" t="s">
        <v>3364</v>
      </c>
      <c r="N584" s="0" t="s">
        <v>401</v>
      </c>
    </row>
    <row customHeight="1" ht="11.25">
      <c r="A585" s="7657" t="s">
        <v>2195</v>
      </c>
      <c r="B585" s="7657" t="s">
        <v>14</v>
      </c>
      <c r="C585" s="7657" t="s">
        <v>3600</v>
      </c>
      <c r="D585" s="7657" t="s">
        <v>3601</v>
      </c>
      <c r="E585" s="7657" t="s">
        <v>3602</v>
      </c>
      <c r="F585" s="7657" t="s">
        <v>2699</v>
      </c>
      <c r="G585" s="7657" t="s">
        <v>3603</v>
      </c>
      <c r="H585" s="7657" t="s">
        <v>17</v>
      </c>
      <c r="I585" s="7657" t="s">
        <v>2426</v>
      </c>
      <c r="J585" s="0" t="s">
        <v>17</v>
      </c>
      <c r="K585" s="0" t="s">
        <v>3365</v>
      </c>
      <c r="L585" s="0" t="s">
        <v>3363</v>
      </c>
      <c r="M585" s="0" t="s">
        <v>3364</v>
      </c>
      <c r="N585" s="0" t="s">
        <v>401</v>
      </c>
    </row>
    <row customHeight="1" ht="11.25">
      <c r="A586" s="7657" t="s">
        <v>2195</v>
      </c>
      <c r="B586" s="7657" t="s">
        <v>14</v>
      </c>
      <c r="C586" s="7657" t="s">
        <v>3604</v>
      </c>
      <c r="D586" s="7657" t="s">
        <v>3605</v>
      </c>
      <c r="E586" s="7657" t="s">
        <v>3606</v>
      </c>
      <c r="F586" s="7657" t="s">
        <v>2556</v>
      </c>
      <c r="G586" s="7657" t="s">
        <v>3607</v>
      </c>
      <c r="H586" s="7657" t="s">
        <v>17</v>
      </c>
      <c r="I586" s="7657" t="s">
        <v>3608</v>
      </c>
      <c r="J586" s="0" t="s">
        <v>17</v>
      </c>
      <c r="K586" s="0" t="s">
        <v>3362</v>
      </c>
      <c r="L586" s="0" t="s">
        <v>3401</v>
      </c>
      <c r="M586" s="0" t="s">
        <v>3402</v>
      </c>
      <c r="N586" s="0" t="s">
        <v>401</v>
      </c>
    </row>
    <row customHeight="1" ht="11.25">
      <c r="A587" s="7657" t="s">
        <v>2195</v>
      </c>
      <c r="B587" s="7657" t="s">
        <v>14</v>
      </c>
      <c r="C587" s="7657" t="s">
        <v>3604</v>
      </c>
      <c r="D587" s="7657" t="s">
        <v>3605</v>
      </c>
      <c r="E587" s="7657" t="s">
        <v>3606</v>
      </c>
      <c r="F587" s="7657" t="s">
        <v>2556</v>
      </c>
      <c r="G587" s="7657" t="s">
        <v>3607</v>
      </c>
      <c r="H587" s="7657" t="s">
        <v>17</v>
      </c>
      <c r="I587" s="7657" t="s">
        <v>3608</v>
      </c>
      <c r="J587" s="0" t="s">
        <v>17</v>
      </c>
      <c r="K587" s="0" t="s">
        <v>3365</v>
      </c>
      <c r="L587" s="0" t="s">
        <v>3401</v>
      </c>
      <c r="M587" s="0" t="s">
        <v>3402</v>
      </c>
      <c r="N587" s="0" t="s">
        <v>401</v>
      </c>
    </row>
    <row customHeight="1" ht="11.25">
      <c r="A588" s="7657" t="s">
        <v>2195</v>
      </c>
      <c r="B588" s="7657" t="s">
        <v>14</v>
      </c>
      <c r="C588" s="7657" t="s">
        <v>3609</v>
      </c>
      <c r="D588" s="7657" t="s">
        <v>3610</v>
      </c>
      <c r="E588" s="7657" t="s">
        <v>3611</v>
      </c>
      <c r="F588" s="7657" t="s">
        <v>2425</v>
      </c>
      <c r="G588" s="7657" t="s">
        <v>3612</v>
      </c>
      <c r="H588" s="7657" t="s">
        <v>17</v>
      </c>
      <c r="I588" s="7657" t="s">
        <v>3613</v>
      </c>
      <c r="J588" s="0" t="s">
        <v>17</v>
      </c>
      <c r="K588" s="0" t="s">
        <v>3362</v>
      </c>
      <c r="L588" s="0" t="s">
        <v>3363</v>
      </c>
      <c r="M588" s="0" t="s">
        <v>3364</v>
      </c>
      <c r="N588" s="0" t="s">
        <v>401</v>
      </c>
    </row>
    <row customHeight="1" ht="11.25">
      <c r="A589" s="7657" t="s">
        <v>2195</v>
      </c>
      <c r="B589" s="7657" t="s">
        <v>14</v>
      </c>
      <c r="C589" s="7657" t="s">
        <v>3609</v>
      </c>
      <c r="D589" s="7657" t="s">
        <v>3610</v>
      </c>
      <c r="E589" s="7657" t="s">
        <v>3611</v>
      </c>
      <c r="F589" s="7657" t="s">
        <v>2425</v>
      </c>
      <c r="G589" s="7657" t="s">
        <v>3612</v>
      </c>
      <c r="H589" s="7657" t="s">
        <v>17</v>
      </c>
      <c r="I589" s="7657" t="s">
        <v>3613</v>
      </c>
      <c r="J589" s="0" t="s">
        <v>17</v>
      </c>
      <c r="K589" s="0" t="s">
        <v>3365</v>
      </c>
      <c r="L589" s="0" t="s">
        <v>3363</v>
      </c>
      <c r="M589" s="0" t="s">
        <v>3364</v>
      </c>
      <c r="N589" s="0" t="s">
        <v>401</v>
      </c>
    </row>
    <row customHeight="1" ht="11.25">
      <c r="A590" s="7657" t="s">
        <v>2195</v>
      </c>
      <c r="B590" s="7657" t="s">
        <v>14</v>
      </c>
      <c r="C590" s="7657" t="s">
        <v>2486</v>
      </c>
      <c r="D590" s="7657" t="s">
        <v>2487</v>
      </c>
      <c r="E590" s="7657" t="s">
        <v>2488</v>
      </c>
      <c r="F590" s="7657" t="s">
        <v>2489</v>
      </c>
      <c r="G590" s="7657" t="s">
        <v>17</v>
      </c>
      <c r="H590" s="7657" t="s">
        <v>17</v>
      </c>
      <c r="I590" s="7657" t="s">
        <v>3614</v>
      </c>
      <c r="J590" s="0" t="s">
        <v>17</v>
      </c>
      <c r="K590" s="0" t="s">
        <v>3362</v>
      </c>
      <c r="L590" s="0" t="s">
        <v>3363</v>
      </c>
      <c r="M590" s="0" t="s">
        <v>3364</v>
      </c>
      <c r="N590" s="0" t="s">
        <v>401</v>
      </c>
    </row>
    <row customHeight="1" ht="11.25">
      <c r="A591" s="7657" t="s">
        <v>2195</v>
      </c>
      <c r="B591" s="7657" t="s">
        <v>14</v>
      </c>
      <c r="C591" s="7657" t="s">
        <v>2486</v>
      </c>
      <c r="D591" s="7657" t="s">
        <v>2487</v>
      </c>
      <c r="E591" s="7657" t="s">
        <v>2488</v>
      </c>
      <c r="F591" s="7657" t="s">
        <v>2489</v>
      </c>
      <c r="G591" s="7657" t="s">
        <v>17</v>
      </c>
      <c r="H591" s="7657" t="s">
        <v>17</v>
      </c>
      <c r="I591" s="7657" t="s">
        <v>3614</v>
      </c>
      <c r="J591" s="0" t="s">
        <v>17</v>
      </c>
      <c r="K591" s="0" t="s">
        <v>3365</v>
      </c>
      <c r="L591" s="0" t="s">
        <v>3363</v>
      </c>
      <c r="M591" s="0" t="s">
        <v>3364</v>
      </c>
      <c r="N591" s="0" t="s">
        <v>401</v>
      </c>
    </row>
    <row customHeight="1" ht="11.25">
      <c r="A592" s="7657" t="s">
        <v>2195</v>
      </c>
      <c r="B592" s="7657" t="s">
        <v>14</v>
      </c>
      <c r="C592" s="7657" t="s">
        <v>2491</v>
      </c>
      <c r="D592" s="7657" t="s">
        <v>2492</v>
      </c>
      <c r="E592" s="7657" t="s">
        <v>2493</v>
      </c>
      <c r="F592" s="7657" t="s">
        <v>2489</v>
      </c>
      <c r="G592" s="7657" t="s">
        <v>17</v>
      </c>
      <c r="H592" s="7657" t="s">
        <v>17</v>
      </c>
      <c r="I592" s="7657" t="s">
        <v>2208</v>
      </c>
      <c r="J592" s="0" t="s">
        <v>17</v>
      </c>
      <c r="K592" s="0" t="s">
        <v>3362</v>
      </c>
      <c r="L592" s="0" t="s">
        <v>3374</v>
      </c>
      <c r="M592" s="0" t="s">
        <v>3375</v>
      </c>
      <c r="N592" s="0" t="s">
        <v>401</v>
      </c>
    </row>
    <row customHeight="1" ht="11.25">
      <c r="A593" s="7657" t="s">
        <v>2195</v>
      </c>
      <c r="B593" s="7657" t="s">
        <v>14</v>
      </c>
      <c r="C593" s="7657" t="s">
        <v>2491</v>
      </c>
      <c r="D593" s="7657" t="s">
        <v>2492</v>
      </c>
      <c r="E593" s="7657" t="s">
        <v>2493</v>
      </c>
      <c r="F593" s="7657" t="s">
        <v>2489</v>
      </c>
      <c r="G593" s="7657" t="s">
        <v>17</v>
      </c>
      <c r="H593" s="7657" t="s">
        <v>17</v>
      </c>
      <c r="I593" s="7657" t="s">
        <v>2208</v>
      </c>
      <c r="J593" s="0" t="s">
        <v>17</v>
      </c>
      <c r="K593" s="0" t="s">
        <v>3362</v>
      </c>
      <c r="L593" s="0" t="s">
        <v>3363</v>
      </c>
      <c r="M593" s="0" t="s">
        <v>3364</v>
      </c>
      <c r="N593" s="0" t="s">
        <v>401</v>
      </c>
    </row>
    <row customHeight="1" ht="11.25">
      <c r="A594" s="7657" t="s">
        <v>2195</v>
      </c>
      <c r="B594" s="7657" t="s">
        <v>14</v>
      </c>
      <c r="C594" s="7657" t="s">
        <v>2491</v>
      </c>
      <c r="D594" s="7657" t="s">
        <v>2492</v>
      </c>
      <c r="E594" s="7657" t="s">
        <v>2493</v>
      </c>
      <c r="F594" s="7657" t="s">
        <v>2489</v>
      </c>
      <c r="G594" s="7657" t="s">
        <v>17</v>
      </c>
      <c r="H594" s="7657" t="s">
        <v>17</v>
      </c>
      <c r="I594" s="7657" t="s">
        <v>2208</v>
      </c>
      <c r="J594" s="0" t="s">
        <v>17</v>
      </c>
      <c r="K594" s="0" t="s">
        <v>3365</v>
      </c>
      <c r="L594" s="0" t="s">
        <v>3363</v>
      </c>
      <c r="M594" s="0" t="s">
        <v>3364</v>
      </c>
      <c r="N594" s="0" t="s">
        <v>401</v>
      </c>
    </row>
    <row customHeight="1" ht="11.25">
      <c r="A595" s="7657" t="s">
        <v>2195</v>
      </c>
      <c r="B595" s="7657" t="s">
        <v>14</v>
      </c>
      <c r="C595" s="7657" t="s">
        <v>2494</v>
      </c>
      <c r="D595" s="7657" t="s">
        <v>2495</v>
      </c>
      <c r="E595" s="7657" t="s">
        <v>2496</v>
      </c>
      <c r="F595" s="7657" t="s">
        <v>2222</v>
      </c>
      <c r="G595" s="7657" t="s">
        <v>17</v>
      </c>
      <c r="H595" s="7657" t="s">
        <v>17</v>
      </c>
      <c r="I595" s="7657" t="s">
        <v>2208</v>
      </c>
      <c r="J595" s="0" t="s">
        <v>17</v>
      </c>
      <c r="K595" s="0" t="s">
        <v>3362</v>
      </c>
      <c r="L595" s="0" t="s">
        <v>3374</v>
      </c>
      <c r="M595" s="0" t="s">
        <v>3375</v>
      </c>
      <c r="N595" s="0" t="s">
        <v>401</v>
      </c>
    </row>
    <row customHeight="1" ht="11.25">
      <c r="A596" s="7657" t="s">
        <v>2195</v>
      </c>
      <c r="B596" s="7657" t="s">
        <v>14</v>
      </c>
      <c r="C596" s="7657" t="s">
        <v>2494</v>
      </c>
      <c r="D596" s="7657" t="s">
        <v>2495</v>
      </c>
      <c r="E596" s="7657" t="s">
        <v>2496</v>
      </c>
      <c r="F596" s="7657" t="s">
        <v>2222</v>
      </c>
      <c r="G596" s="7657" t="s">
        <v>17</v>
      </c>
      <c r="H596" s="7657" t="s">
        <v>17</v>
      </c>
      <c r="I596" s="7657" t="s">
        <v>3312</v>
      </c>
      <c r="J596" s="0" t="s">
        <v>17</v>
      </c>
      <c r="K596" s="0" t="s">
        <v>3362</v>
      </c>
      <c r="L596" s="0" t="s">
        <v>3401</v>
      </c>
      <c r="M596" s="0" t="s">
        <v>3402</v>
      </c>
      <c r="N596" s="0" t="s">
        <v>401</v>
      </c>
    </row>
    <row customHeight="1" ht="11.25">
      <c r="A597" s="7657" t="s">
        <v>2195</v>
      </c>
      <c r="B597" s="7657" t="s">
        <v>14</v>
      </c>
      <c r="C597" s="7657" t="s">
        <v>2494</v>
      </c>
      <c r="D597" s="7657" t="s">
        <v>2495</v>
      </c>
      <c r="E597" s="7657" t="s">
        <v>2496</v>
      </c>
      <c r="F597" s="7657" t="s">
        <v>2222</v>
      </c>
      <c r="G597" s="7657" t="s">
        <v>17</v>
      </c>
      <c r="H597" s="7657" t="s">
        <v>17</v>
      </c>
      <c r="I597" s="7657" t="s">
        <v>3312</v>
      </c>
      <c r="J597" s="0" t="s">
        <v>17</v>
      </c>
      <c r="K597" s="0" t="s">
        <v>3365</v>
      </c>
      <c r="L597" s="0" t="s">
        <v>3401</v>
      </c>
      <c r="M597" s="0" t="s">
        <v>3402</v>
      </c>
      <c r="N597" s="0" t="s">
        <v>401</v>
      </c>
    </row>
    <row customHeight="1" ht="11.25">
      <c r="A598" s="7657" t="s">
        <v>2195</v>
      </c>
      <c r="B598" s="7657" t="s">
        <v>14</v>
      </c>
      <c r="C598" s="7657" t="s">
        <v>2494</v>
      </c>
      <c r="D598" s="7657" t="s">
        <v>2495</v>
      </c>
      <c r="E598" s="7657" t="s">
        <v>2496</v>
      </c>
      <c r="F598" s="7657" t="s">
        <v>2222</v>
      </c>
      <c r="G598" s="7657" t="s">
        <v>17</v>
      </c>
      <c r="H598" s="7657" t="s">
        <v>17</v>
      </c>
      <c r="I598" s="7657" t="s">
        <v>3615</v>
      </c>
      <c r="J598" s="0" t="s">
        <v>17</v>
      </c>
      <c r="K598" s="0" t="s">
        <v>3362</v>
      </c>
      <c r="L598" s="0" t="s">
        <v>3374</v>
      </c>
      <c r="M598" s="0" t="s">
        <v>3375</v>
      </c>
      <c r="N598" s="0" t="s">
        <v>401</v>
      </c>
    </row>
    <row customHeight="1" ht="11.25">
      <c r="A599" s="7657" t="s">
        <v>2195</v>
      </c>
      <c r="B599" s="7657" t="s">
        <v>14</v>
      </c>
      <c r="C599" s="7657" t="s">
        <v>2499</v>
      </c>
      <c r="D599" s="7657" t="s">
        <v>2500</v>
      </c>
      <c r="E599" s="7657" t="s">
        <v>2501</v>
      </c>
      <c r="F599" s="7657" t="s">
        <v>2502</v>
      </c>
      <c r="G599" s="7657" t="s">
        <v>17</v>
      </c>
      <c r="H599" s="7657" t="s">
        <v>17</v>
      </c>
      <c r="I599" s="7657" t="s">
        <v>2208</v>
      </c>
      <c r="J599" s="0" t="s">
        <v>17</v>
      </c>
      <c r="K599" s="0" t="s">
        <v>3362</v>
      </c>
      <c r="L599" s="0" t="s">
        <v>3363</v>
      </c>
      <c r="M599" s="0" t="s">
        <v>3364</v>
      </c>
      <c r="N599" s="0" t="s">
        <v>401</v>
      </c>
    </row>
    <row customHeight="1" ht="11.25">
      <c r="A600" s="7657" t="s">
        <v>2195</v>
      </c>
      <c r="B600" s="7657" t="s">
        <v>14</v>
      </c>
      <c r="C600" s="7657" t="s">
        <v>2499</v>
      </c>
      <c r="D600" s="7657" t="s">
        <v>2500</v>
      </c>
      <c r="E600" s="7657" t="s">
        <v>2501</v>
      </c>
      <c r="F600" s="7657" t="s">
        <v>2502</v>
      </c>
      <c r="G600" s="7657" t="s">
        <v>17</v>
      </c>
      <c r="H600" s="7657" t="s">
        <v>17</v>
      </c>
      <c r="I600" s="7657" t="s">
        <v>2208</v>
      </c>
      <c r="J600" s="0" t="s">
        <v>17</v>
      </c>
      <c r="K600" s="0" t="s">
        <v>3365</v>
      </c>
      <c r="L600" s="0" t="s">
        <v>3363</v>
      </c>
      <c r="M600" s="0" t="s">
        <v>3364</v>
      </c>
      <c r="N600" s="0" t="s">
        <v>401</v>
      </c>
    </row>
    <row customHeight="1" ht="11.25">
      <c r="A601" s="7657" t="s">
        <v>2195</v>
      </c>
      <c r="B601" s="7657" t="s">
        <v>14</v>
      </c>
      <c r="C601" s="7657" t="s">
        <v>2499</v>
      </c>
      <c r="D601" s="7657" t="s">
        <v>2500</v>
      </c>
      <c r="E601" s="7657" t="s">
        <v>2501</v>
      </c>
      <c r="F601" s="7657" t="s">
        <v>2502</v>
      </c>
      <c r="G601" s="7657" t="s">
        <v>17</v>
      </c>
      <c r="H601" s="7657" t="s">
        <v>17</v>
      </c>
      <c r="I601" s="7657" t="s">
        <v>2426</v>
      </c>
      <c r="J601" s="0" t="s">
        <v>17</v>
      </c>
      <c r="K601" s="0" t="s">
        <v>3362</v>
      </c>
      <c r="L601" s="0" t="s">
        <v>3401</v>
      </c>
      <c r="M601" s="0" t="s">
        <v>3402</v>
      </c>
      <c r="N601" s="0" t="s">
        <v>401</v>
      </c>
    </row>
    <row customHeight="1" ht="11.25">
      <c r="A602" s="7657" t="s">
        <v>2195</v>
      </c>
      <c r="B602" s="7657" t="s">
        <v>14</v>
      </c>
      <c r="C602" s="7657" t="s">
        <v>2499</v>
      </c>
      <c r="D602" s="7657" t="s">
        <v>2500</v>
      </c>
      <c r="E602" s="7657" t="s">
        <v>2501</v>
      </c>
      <c r="F602" s="7657" t="s">
        <v>2502</v>
      </c>
      <c r="G602" s="7657" t="s">
        <v>17</v>
      </c>
      <c r="H602" s="7657" t="s">
        <v>17</v>
      </c>
      <c r="I602" s="7657" t="s">
        <v>2426</v>
      </c>
      <c r="J602" s="0" t="s">
        <v>17</v>
      </c>
      <c r="K602" s="0" t="s">
        <v>3365</v>
      </c>
      <c r="L602" s="0" t="s">
        <v>3401</v>
      </c>
      <c r="M602" s="0" t="s">
        <v>3402</v>
      </c>
      <c r="N602" s="0" t="s">
        <v>401</v>
      </c>
    </row>
    <row customHeight="1" ht="11.25">
      <c r="A603" s="7657" t="s">
        <v>2195</v>
      </c>
      <c r="B603" s="7657" t="s">
        <v>14</v>
      </c>
      <c r="C603" s="7657" t="s">
        <v>3616</v>
      </c>
      <c r="D603" s="7657" t="s">
        <v>3617</v>
      </c>
      <c r="E603" s="7657" t="s">
        <v>3618</v>
      </c>
      <c r="F603" s="7657" t="s">
        <v>2699</v>
      </c>
      <c r="G603" s="7657" t="s">
        <v>3619</v>
      </c>
      <c r="H603" s="7657" t="s">
        <v>17</v>
      </c>
      <c r="I603" s="7657" t="s">
        <v>2534</v>
      </c>
      <c r="J603" s="0" t="s">
        <v>17</v>
      </c>
      <c r="K603" s="0" t="s">
        <v>3362</v>
      </c>
      <c r="L603" s="0" t="s">
        <v>3363</v>
      </c>
      <c r="M603" s="0" t="s">
        <v>3364</v>
      </c>
      <c r="N603" s="0" t="s">
        <v>401</v>
      </c>
    </row>
    <row customHeight="1" ht="11.25">
      <c r="A604" s="7657" t="s">
        <v>2195</v>
      </c>
      <c r="B604" s="7657" t="s">
        <v>14</v>
      </c>
      <c r="C604" s="7657" t="s">
        <v>3616</v>
      </c>
      <c r="D604" s="7657" t="s">
        <v>3617</v>
      </c>
      <c r="E604" s="7657" t="s">
        <v>3618</v>
      </c>
      <c r="F604" s="7657" t="s">
        <v>2699</v>
      </c>
      <c r="G604" s="7657" t="s">
        <v>3619</v>
      </c>
      <c r="H604" s="7657" t="s">
        <v>17</v>
      </c>
      <c r="I604" s="7657" t="s">
        <v>2534</v>
      </c>
      <c r="J604" s="0" t="s">
        <v>17</v>
      </c>
      <c r="K604" s="0" t="s">
        <v>3365</v>
      </c>
      <c r="L604" s="0" t="s">
        <v>3363</v>
      </c>
      <c r="M604" s="0" t="s">
        <v>3364</v>
      </c>
      <c r="N604" s="0" t="s">
        <v>401</v>
      </c>
    </row>
    <row customHeight="1" ht="11.25">
      <c r="A605" s="7657" t="s">
        <v>2195</v>
      </c>
      <c r="B605" s="7657" t="s">
        <v>14</v>
      </c>
      <c r="C605" s="7657" t="s">
        <v>3620</v>
      </c>
      <c r="D605" s="7657" t="s">
        <v>3621</v>
      </c>
      <c r="E605" s="7657" t="s">
        <v>3622</v>
      </c>
      <c r="F605" s="7657" t="s">
        <v>2699</v>
      </c>
      <c r="G605" s="7657" t="s">
        <v>3623</v>
      </c>
      <c r="H605" s="7657" t="s">
        <v>17</v>
      </c>
      <c r="I605" s="7657" t="s">
        <v>2426</v>
      </c>
      <c r="J605" s="0" t="s">
        <v>17</v>
      </c>
      <c r="K605" s="0" t="s">
        <v>3362</v>
      </c>
      <c r="L605" s="0" t="s">
        <v>3363</v>
      </c>
      <c r="M605" s="0" t="s">
        <v>3364</v>
      </c>
      <c r="N605" s="0" t="s">
        <v>401</v>
      </c>
    </row>
    <row customHeight="1" ht="11.25">
      <c r="A606" s="7657" t="s">
        <v>2195</v>
      </c>
      <c r="B606" s="7657" t="s">
        <v>14</v>
      </c>
      <c r="C606" s="7657" t="s">
        <v>3620</v>
      </c>
      <c r="D606" s="7657" t="s">
        <v>3621</v>
      </c>
      <c r="E606" s="7657" t="s">
        <v>3622</v>
      </c>
      <c r="F606" s="7657" t="s">
        <v>2699</v>
      </c>
      <c r="G606" s="7657" t="s">
        <v>3623</v>
      </c>
      <c r="H606" s="7657" t="s">
        <v>17</v>
      </c>
      <c r="I606" s="7657" t="s">
        <v>2426</v>
      </c>
      <c r="J606" s="0" t="s">
        <v>17</v>
      </c>
      <c r="K606" s="0" t="s">
        <v>3365</v>
      </c>
      <c r="L606" s="0" t="s">
        <v>3363</v>
      </c>
      <c r="M606" s="0" t="s">
        <v>3364</v>
      </c>
      <c r="N606" s="0" t="s">
        <v>401</v>
      </c>
    </row>
    <row customHeight="1" ht="11.25">
      <c r="A607" s="7657" t="s">
        <v>2195</v>
      </c>
      <c r="B607" s="7657" t="s">
        <v>14</v>
      </c>
      <c r="C607" s="7657" t="s">
        <v>3624</v>
      </c>
      <c r="D607" s="7657" t="s">
        <v>3625</v>
      </c>
      <c r="E607" s="7657" t="s">
        <v>3626</v>
      </c>
      <c r="F607" s="7657" t="s">
        <v>2699</v>
      </c>
      <c r="G607" s="7657" t="s">
        <v>3627</v>
      </c>
      <c r="H607" s="7657" t="s">
        <v>17</v>
      </c>
      <c r="I607" s="7657" t="s">
        <v>2426</v>
      </c>
      <c r="J607" s="0" t="s">
        <v>17</v>
      </c>
      <c r="K607" s="0" t="s">
        <v>3362</v>
      </c>
      <c r="L607" s="0" t="s">
        <v>3363</v>
      </c>
      <c r="M607" s="0" t="s">
        <v>3364</v>
      </c>
      <c r="N607" s="0" t="s">
        <v>401</v>
      </c>
    </row>
    <row customHeight="1" ht="11.25">
      <c r="A608" s="7657" t="s">
        <v>2195</v>
      </c>
      <c r="B608" s="7657" t="s">
        <v>14</v>
      </c>
      <c r="C608" s="7657" t="s">
        <v>3624</v>
      </c>
      <c r="D608" s="7657" t="s">
        <v>3625</v>
      </c>
      <c r="E608" s="7657" t="s">
        <v>3626</v>
      </c>
      <c r="F608" s="7657" t="s">
        <v>2699</v>
      </c>
      <c r="G608" s="7657" t="s">
        <v>3627</v>
      </c>
      <c r="H608" s="7657" t="s">
        <v>17</v>
      </c>
      <c r="I608" s="7657" t="s">
        <v>2426</v>
      </c>
      <c r="J608" s="0" t="s">
        <v>17</v>
      </c>
      <c r="K608" s="0" t="s">
        <v>3365</v>
      </c>
      <c r="L608" s="0" t="s">
        <v>3363</v>
      </c>
      <c r="M608" s="0" t="s">
        <v>3364</v>
      </c>
      <c r="N608" s="0" t="s">
        <v>401</v>
      </c>
    </row>
    <row customHeight="1" ht="11.25">
      <c r="A609" s="7657" t="s">
        <v>2195</v>
      </c>
      <c r="B609" s="7657" t="s">
        <v>14</v>
      </c>
      <c r="C609" s="7657" t="s">
        <v>2503</v>
      </c>
      <c r="D609" s="7657" t="s">
        <v>2504</v>
      </c>
      <c r="E609" s="7657" t="s">
        <v>2505</v>
      </c>
      <c r="F609" s="7657" t="s">
        <v>2506</v>
      </c>
      <c r="G609" s="7657" t="s">
        <v>2507</v>
      </c>
      <c r="H609" s="7657" t="s">
        <v>17</v>
      </c>
      <c r="I609" s="7657" t="s">
        <v>2507</v>
      </c>
      <c r="J609" s="0" t="s">
        <v>17</v>
      </c>
      <c r="K609" s="0" t="s">
        <v>3362</v>
      </c>
      <c r="L609" s="0" t="s">
        <v>3363</v>
      </c>
      <c r="M609" s="0" t="s">
        <v>3364</v>
      </c>
      <c r="N609" s="0" t="s">
        <v>401</v>
      </c>
    </row>
    <row customHeight="1" ht="11.25">
      <c r="A610" s="7657" t="s">
        <v>2195</v>
      </c>
      <c r="B610" s="7657" t="s">
        <v>14</v>
      </c>
      <c r="C610" s="7657" t="s">
        <v>2503</v>
      </c>
      <c r="D610" s="7657" t="s">
        <v>2504</v>
      </c>
      <c r="E610" s="7657" t="s">
        <v>2505</v>
      </c>
      <c r="F610" s="7657" t="s">
        <v>2506</v>
      </c>
      <c r="G610" s="7657" t="s">
        <v>2507</v>
      </c>
      <c r="H610" s="7657" t="s">
        <v>17</v>
      </c>
      <c r="I610" s="7657" t="s">
        <v>2507</v>
      </c>
      <c r="J610" s="0" t="s">
        <v>17</v>
      </c>
      <c r="K610" s="0" t="s">
        <v>3365</v>
      </c>
      <c r="L610" s="0" t="s">
        <v>3363</v>
      </c>
      <c r="M610" s="0" t="s">
        <v>3364</v>
      </c>
      <c r="N610" s="0" t="s">
        <v>401</v>
      </c>
    </row>
    <row customHeight="1" ht="11.25">
      <c r="A611" s="7657" t="s">
        <v>2195</v>
      </c>
      <c r="B611" s="7657" t="s">
        <v>14</v>
      </c>
      <c r="C611" s="7657" t="s">
        <v>3628</v>
      </c>
      <c r="D611" s="7657" t="s">
        <v>3629</v>
      </c>
      <c r="E611" s="7657" t="s">
        <v>3630</v>
      </c>
      <c r="F611" s="7657" t="s">
        <v>2506</v>
      </c>
      <c r="G611" s="7657" t="s">
        <v>2672</v>
      </c>
      <c r="H611" s="7657" t="s">
        <v>17</v>
      </c>
      <c r="I611" s="7657" t="s">
        <v>2672</v>
      </c>
      <c r="J611" s="0" t="s">
        <v>17</v>
      </c>
      <c r="K611" s="0" t="s">
        <v>3362</v>
      </c>
      <c r="L611" s="0" t="s">
        <v>3363</v>
      </c>
      <c r="M611" s="0" t="s">
        <v>3364</v>
      </c>
      <c r="N611" s="0" t="s">
        <v>401</v>
      </c>
    </row>
    <row customHeight="1" ht="11.25">
      <c r="A612" s="7657" t="s">
        <v>2195</v>
      </c>
      <c r="B612" s="7657" t="s">
        <v>14</v>
      </c>
      <c r="C612" s="7657" t="s">
        <v>3628</v>
      </c>
      <c r="D612" s="7657" t="s">
        <v>3629</v>
      </c>
      <c r="E612" s="7657" t="s">
        <v>3630</v>
      </c>
      <c r="F612" s="7657" t="s">
        <v>2506</v>
      </c>
      <c r="G612" s="7657" t="s">
        <v>2672</v>
      </c>
      <c r="H612" s="7657" t="s">
        <v>17</v>
      </c>
      <c r="I612" s="7657" t="s">
        <v>2672</v>
      </c>
      <c r="J612" s="0" t="s">
        <v>17</v>
      </c>
      <c r="K612" s="0" t="s">
        <v>3365</v>
      </c>
      <c r="L612" s="0" t="s">
        <v>3363</v>
      </c>
      <c r="M612" s="0" t="s">
        <v>3364</v>
      </c>
      <c r="N612" s="0" t="s">
        <v>401</v>
      </c>
    </row>
    <row customHeight="1" ht="11.25">
      <c r="A613" s="7657" t="s">
        <v>2195</v>
      </c>
      <c r="B613" s="7657" t="s">
        <v>14</v>
      </c>
      <c r="C613" s="7657" t="s">
        <v>3631</v>
      </c>
      <c r="D613" s="7657" t="s">
        <v>3632</v>
      </c>
      <c r="E613" s="7657" t="s">
        <v>3633</v>
      </c>
      <c r="F613" s="7657" t="s">
        <v>2513</v>
      </c>
      <c r="G613" s="7657" t="s">
        <v>17</v>
      </c>
      <c r="H613" s="7657" t="s">
        <v>17</v>
      </c>
      <c r="I613" s="7657" t="s">
        <v>2426</v>
      </c>
      <c r="J613" s="0" t="s">
        <v>17</v>
      </c>
      <c r="K613" s="0" t="s">
        <v>3362</v>
      </c>
      <c r="L613" s="0" t="s">
        <v>3363</v>
      </c>
      <c r="M613" s="0" t="s">
        <v>3364</v>
      </c>
      <c r="N613" s="0" t="s">
        <v>401</v>
      </c>
    </row>
    <row customHeight="1" ht="11.25">
      <c r="A614" s="7657" t="s">
        <v>2195</v>
      </c>
      <c r="B614" s="7657" t="s">
        <v>14</v>
      </c>
      <c r="C614" s="7657" t="s">
        <v>3631</v>
      </c>
      <c r="D614" s="7657" t="s">
        <v>3632</v>
      </c>
      <c r="E614" s="7657" t="s">
        <v>3633</v>
      </c>
      <c r="F614" s="7657" t="s">
        <v>2513</v>
      </c>
      <c r="G614" s="7657" t="s">
        <v>17</v>
      </c>
      <c r="H614" s="7657" t="s">
        <v>17</v>
      </c>
      <c r="I614" s="7657" t="s">
        <v>2426</v>
      </c>
      <c r="J614" s="0" t="s">
        <v>17</v>
      </c>
      <c r="K614" s="0" t="s">
        <v>3365</v>
      </c>
      <c r="L614" s="0" t="s">
        <v>3363</v>
      </c>
      <c r="M614" s="0" t="s">
        <v>3364</v>
      </c>
      <c r="N614" s="0" t="s">
        <v>401</v>
      </c>
    </row>
    <row customHeight="1" ht="11.25">
      <c r="A615" s="7657" t="s">
        <v>2195</v>
      </c>
      <c r="B615" s="7657" t="s">
        <v>14</v>
      </c>
      <c r="C615" s="7657" t="s">
        <v>3634</v>
      </c>
      <c r="D615" s="7657" t="s">
        <v>3635</v>
      </c>
      <c r="E615" s="7657" t="s">
        <v>3636</v>
      </c>
      <c r="F615" s="7657" t="s">
        <v>2513</v>
      </c>
      <c r="G615" s="7657" t="s">
        <v>3637</v>
      </c>
      <c r="H615" s="7657" t="s">
        <v>17</v>
      </c>
      <c r="I615" s="7657" t="s">
        <v>2672</v>
      </c>
      <c r="J615" s="0" t="s">
        <v>17</v>
      </c>
      <c r="K615" s="0" t="s">
        <v>3362</v>
      </c>
      <c r="L615" s="0" t="s">
        <v>3363</v>
      </c>
      <c r="M615" s="0" t="s">
        <v>3364</v>
      </c>
      <c r="N615" s="0" t="s">
        <v>401</v>
      </c>
    </row>
    <row customHeight="1" ht="11.25">
      <c r="A616" s="7657" t="s">
        <v>2195</v>
      </c>
      <c r="B616" s="7657" t="s">
        <v>14</v>
      </c>
      <c r="C616" s="7657" t="s">
        <v>3634</v>
      </c>
      <c r="D616" s="7657" t="s">
        <v>3635</v>
      </c>
      <c r="E616" s="7657" t="s">
        <v>3636</v>
      </c>
      <c r="F616" s="7657" t="s">
        <v>2513</v>
      </c>
      <c r="G616" s="7657" t="s">
        <v>3637</v>
      </c>
      <c r="H616" s="7657" t="s">
        <v>17</v>
      </c>
      <c r="I616" s="7657" t="s">
        <v>2672</v>
      </c>
      <c r="J616" s="0" t="s">
        <v>17</v>
      </c>
      <c r="K616" s="0" t="s">
        <v>3365</v>
      </c>
      <c r="L616" s="0" t="s">
        <v>3363</v>
      </c>
      <c r="M616" s="0" t="s">
        <v>3364</v>
      </c>
      <c r="N616" s="0" t="s">
        <v>401</v>
      </c>
    </row>
    <row customHeight="1" ht="11.25">
      <c r="A617" s="7657" t="s">
        <v>2195</v>
      </c>
      <c r="B617" s="7657" t="s">
        <v>14</v>
      </c>
      <c r="C617" s="7657" t="s">
        <v>2510</v>
      </c>
      <c r="D617" s="7657" t="s">
        <v>2511</v>
      </c>
      <c r="E617" s="7657" t="s">
        <v>2512</v>
      </c>
      <c r="F617" s="7657" t="s">
        <v>2513</v>
      </c>
      <c r="G617" s="7657" t="s">
        <v>17</v>
      </c>
      <c r="H617" s="7657" t="s">
        <v>17</v>
      </c>
      <c r="I617" s="7657" t="s">
        <v>2228</v>
      </c>
      <c r="J617" s="0" t="s">
        <v>17</v>
      </c>
      <c r="K617" s="0" t="s">
        <v>3362</v>
      </c>
      <c r="L617" s="0" t="s">
        <v>3363</v>
      </c>
      <c r="M617" s="0" t="s">
        <v>3364</v>
      </c>
      <c r="N617" s="0" t="s">
        <v>401</v>
      </c>
    </row>
    <row customHeight="1" ht="11.25">
      <c r="A618" s="7657" t="s">
        <v>2195</v>
      </c>
      <c r="B618" s="7657" t="s">
        <v>14</v>
      </c>
      <c r="C618" s="7657" t="s">
        <v>2510</v>
      </c>
      <c r="D618" s="7657" t="s">
        <v>2511</v>
      </c>
      <c r="E618" s="7657" t="s">
        <v>2512</v>
      </c>
      <c r="F618" s="7657" t="s">
        <v>2513</v>
      </c>
      <c r="G618" s="7657" t="s">
        <v>17</v>
      </c>
      <c r="H618" s="7657" t="s">
        <v>17</v>
      </c>
      <c r="I618" s="7657" t="s">
        <v>2228</v>
      </c>
      <c r="J618" s="0" t="s">
        <v>17</v>
      </c>
      <c r="K618" s="0" t="s">
        <v>3365</v>
      </c>
      <c r="L618" s="0" t="s">
        <v>3363</v>
      </c>
      <c r="M618" s="0" t="s">
        <v>3364</v>
      </c>
      <c r="N618" s="0" t="s">
        <v>401</v>
      </c>
    </row>
    <row customHeight="1" ht="11.25">
      <c r="A619" s="7657" t="s">
        <v>2195</v>
      </c>
      <c r="B619" s="7657" t="s">
        <v>14</v>
      </c>
      <c r="C619" s="7657" t="s">
        <v>3638</v>
      </c>
      <c r="D619" s="7657" t="s">
        <v>3639</v>
      </c>
      <c r="E619" s="7657" t="s">
        <v>3640</v>
      </c>
      <c r="F619" s="7657" t="s">
        <v>2513</v>
      </c>
      <c r="G619" s="7657" t="s">
        <v>17</v>
      </c>
      <c r="H619" s="7657" t="s">
        <v>17</v>
      </c>
      <c r="I619" s="7657" t="s">
        <v>2426</v>
      </c>
      <c r="J619" s="0" t="s">
        <v>17</v>
      </c>
      <c r="K619" s="0" t="s">
        <v>3362</v>
      </c>
      <c r="L619" s="0" t="s">
        <v>3363</v>
      </c>
      <c r="M619" s="0" t="s">
        <v>3364</v>
      </c>
      <c r="N619" s="0" t="s">
        <v>401</v>
      </c>
    </row>
    <row customHeight="1" ht="11.25">
      <c r="A620" s="7657" t="s">
        <v>2195</v>
      </c>
      <c r="B620" s="7657" t="s">
        <v>14</v>
      </c>
      <c r="C620" s="7657" t="s">
        <v>3638</v>
      </c>
      <c r="D620" s="7657" t="s">
        <v>3639</v>
      </c>
      <c r="E620" s="7657" t="s">
        <v>3640</v>
      </c>
      <c r="F620" s="7657" t="s">
        <v>2513</v>
      </c>
      <c r="G620" s="7657" t="s">
        <v>17</v>
      </c>
      <c r="H620" s="7657" t="s">
        <v>17</v>
      </c>
      <c r="I620" s="7657" t="s">
        <v>2426</v>
      </c>
      <c r="J620" s="0" t="s">
        <v>17</v>
      </c>
      <c r="K620" s="0" t="s">
        <v>3365</v>
      </c>
      <c r="L620" s="0" t="s">
        <v>3363</v>
      </c>
      <c r="M620" s="0" t="s">
        <v>3364</v>
      </c>
      <c r="N620" s="0" t="s">
        <v>401</v>
      </c>
    </row>
    <row customHeight="1" ht="11.25">
      <c r="A621" s="7657" t="s">
        <v>2195</v>
      </c>
      <c r="B621" s="7657" t="s">
        <v>14</v>
      </c>
      <c r="C621" s="7657" t="s">
        <v>3641</v>
      </c>
      <c r="D621" s="7657" t="s">
        <v>3642</v>
      </c>
      <c r="E621" s="7657" t="s">
        <v>3643</v>
      </c>
      <c r="F621" s="7657" t="s">
        <v>2513</v>
      </c>
      <c r="G621" s="7657" t="s">
        <v>17</v>
      </c>
      <c r="H621" s="7657" t="s">
        <v>17</v>
      </c>
      <c r="I621" s="7657" t="s">
        <v>2426</v>
      </c>
      <c r="J621" s="0" t="s">
        <v>17</v>
      </c>
      <c r="K621" s="0" t="s">
        <v>3362</v>
      </c>
      <c r="L621" s="0" t="s">
        <v>3363</v>
      </c>
      <c r="M621" s="0" t="s">
        <v>3364</v>
      </c>
      <c r="N621" s="0" t="s">
        <v>401</v>
      </c>
    </row>
    <row customHeight="1" ht="11.25">
      <c r="A622" s="7657" t="s">
        <v>2195</v>
      </c>
      <c r="B622" s="7657" t="s">
        <v>14</v>
      </c>
      <c r="C622" s="7657" t="s">
        <v>3641</v>
      </c>
      <c r="D622" s="7657" t="s">
        <v>3642</v>
      </c>
      <c r="E622" s="7657" t="s">
        <v>3643</v>
      </c>
      <c r="F622" s="7657" t="s">
        <v>2513</v>
      </c>
      <c r="G622" s="7657" t="s">
        <v>17</v>
      </c>
      <c r="H622" s="7657" t="s">
        <v>17</v>
      </c>
      <c r="I622" s="7657" t="s">
        <v>2426</v>
      </c>
      <c r="J622" s="0" t="s">
        <v>17</v>
      </c>
      <c r="K622" s="0" t="s">
        <v>3365</v>
      </c>
      <c r="L622" s="0" t="s">
        <v>3363</v>
      </c>
      <c r="M622" s="0" t="s">
        <v>3364</v>
      </c>
      <c r="N622" s="0" t="s">
        <v>401</v>
      </c>
    </row>
    <row customHeight="1" ht="11.25">
      <c r="A623" s="7657" t="s">
        <v>2195</v>
      </c>
      <c r="B623" s="7657" t="s">
        <v>14</v>
      </c>
      <c r="C623" s="7657" t="s">
        <v>3644</v>
      </c>
      <c r="D623" s="7657" t="s">
        <v>3645</v>
      </c>
      <c r="E623" s="7657" t="s">
        <v>3646</v>
      </c>
      <c r="F623" s="7657" t="s">
        <v>2711</v>
      </c>
      <c r="G623" s="7657" t="s">
        <v>3647</v>
      </c>
      <c r="H623" s="7657" t="s">
        <v>17</v>
      </c>
      <c r="I623" s="7657" t="s">
        <v>2426</v>
      </c>
      <c r="J623" s="0" t="s">
        <v>17</v>
      </c>
      <c r="K623" s="0" t="s">
        <v>3362</v>
      </c>
      <c r="L623" s="0" t="s">
        <v>3363</v>
      </c>
      <c r="M623" s="0" t="s">
        <v>3364</v>
      </c>
      <c r="N623" s="0" t="s">
        <v>401</v>
      </c>
    </row>
    <row customHeight="1" ht="11.25">
      <c r="A624" s="7657" t="s">
        <v>2195</v>
      </c>
      <c r="B624" s="7657" t="s">
        <v>14</v>
      </c>
      <c r="C624" s="7657" t="s">
        <v>3644</v>
      </c>
      <c r="D624" s="7657" t="s">
        <v>3645</v>
      </c>
      <c r="E624" s="7657" t="s">
        <v>3646</v>
      </c>
      <c r="F624" s="7657" t="s">
        <v>2711</v>
      </c>
      <c r="G624" s="7657" t="s">
        <v>3647</v>
      </c>
      <c r="H624" s="7657" t="s">
        <v>17</v>
      </c>
      <c r="I624" s="7657" t="s">
        <v>2426</v>
      </c>
      <c r="J624" s="0" t="s">
        <v>17</v>
      </c>
      <c r="K624" s="0" t="s">
        <v>3365</v>
      </c>
      <c r="L624" s="0" t="s">
        <v>3363</v>
      </c>
      <c r="M624" s="0" t="s">
        <v>3364</v>
      </c>
      <c r="N624" s="0" t="s">
        <v>401</v>
      </c>
    </row>
    <row customHeight="1" ht="11.25">
      <c r="A625" s="7657" t="s">
        <v>2195</v>
      </c>
      <c r="B625" s="7657" t="s">
        <v>14</v>
      </c>
      <c r="C625" s="7657" t="s">
        <v>3648</v>
      </c>
      <c r="D625" s="7657" t="s">
        <v>3649</v>
      </c>
      <c r="E625" s="7657" t="s">
        <v>3650</v>
      </c>
      <c r="F625" s="7657" t="s">
        <v>2206</v>
      </c>
      <c r="G625" s="7657" t="s">
        <v>3361</v>
      </c>
      <c r="H625" s="7657" t="s">
        <v>17</v>
      </c>
      <c r="I625" s="7657" t="s">
        <v>2208</v>
      </c>
      <c r="J625" s="0" t="s">
        <v>17</v>
      </c>
      <c r="K625" s="0" t="s">
        <v>3362</v>
      </c>
      <c r="L625" s="0" t="s">
        <v>3363</v>
      </c>
      <c r="M625" s="0" t="s">
        <v>3364</v>
      </c>
      <c r="N625" s="0" t="s">
        <v>401</v>
      </c>
    </row>
    <row customHeight="1" ht="11.25">
      <c r="A626" s="7657" t="s">
        <v>2195</v>
      </c>
      <c r="B626" s="7657" t="s">
        <v>14</v>
      </c>
      <c r="C626" s="7657" t="s">
        <v>3648</v>
      </c>
      <c r="D626" s="7657" t="s">
        <v>3649</v>
      </c>
      <c r="E626" s="7657" t="s">
        <v>3650</v>
      </c>
      <c r="F626" s="7657" t="s">
        <v>2206</v>
      </c>
      <c r="G626" s="7657" t="s">
        <v>3361</v>
      </c>
      <c r="H626" s="7657" t="s">
        <v>17</v>
      </c>
      <c r="I626" s="7657" t="s">
        <v>2208</v>
      </c>
      <c r="J626" s="0" t="s">
        <v>17</v>
      </c>
      <c r="K626" s="0" t="s">
        <v>3365</v>
      </c>
      <c r="L626" s="0" t="s">
        <v>3363</v>
      </c>
      <c r="M626" s="0" t="s">
        <v>3364</v>
      </c>
      <c r="N626" s="0" t="s">
        <v>401</v>
      </c>
    </row>
    <row customHeight="1" ht="11.25">
      <c r="A627" s="7657" t="s">
        <v>2195</v>
      </c>
      <c r="B627" s="7657" t="s">
        <v>14</v>
      </c>
      <c r="C627" s="7657" t="s">
        <v>3651</v>
      </c>
      <c r="D627" s="7657" t="s">
        <v>3652</v>
      </c>
      <c r="E627" s="7657" t="s">
        <v>3653</v>
      </c>
      <c r="F627" s="7657" t="s">
        <v>2513</v>
      </c>
      <c r="G627" s="7657" t="s">
        <v>17</v>
      </c>
      <c r="H627" s="7657" t="s">
        <v>17</v>
      </c>
      <c r="I627" s="7657" t="s">
        <v>3654</v>
      </c>
      <c r="J627" s="0" t="s">
        <v>17</v>
      </c>
      <c r="K627" s="0" t="s">
        <v>3362</v>
      </c>
      <c r="L627" s="0" t="s">
        <v>3363</v>
      </c>
      <c r="M627" s="0" t="s">
        <v>3364</v>
      </c>
      <c r="N627" s="0" t="s">
        <v>401</v>
      </c>
    </row>
    <row customHeight="1" ht="11.25">
      <c r="A628" s="7657" t="s">
        <v>2195</v>
      </c>
      <c r="B628" s="7657" t="s">
        <v>14</v>
      </c>
      <c r="C628" s="7657" t="s">
        <v>3651</v>
      </c>
      <c r="D628" s="7657" t="s">
        <v>3652</v>
      </c>
      <c r="E628" s="7657" t="s">
        <v>3653</v>
      </c>
      <c r="F628" s="7657" t="s">
        <v>2513</v>
      </c>
      <c r="G628" s="7657" t="s">
        <v>17</v>
      </c>
      <c r="H628" s="7657" t="s">
        <v>17</v>
      </c>
      <c r="I628" s="7657" t="s">
        <v>3654</v>
      </c>
      <c r="J628" s="0" t="s">
        <v>17</v>
      </c>
      <c r="K628" s="0" t="s">
        <v>3365</v>
      </c>
      <c r="L628" s="0" t="s">
        <v>3363</v>
      </c>
      <c r="M628" s="0" t="s">
        <v>3364</v>
      </c>
      <c r="N628" s="0" t="s">
        <v>401</v>
      </c>
    </row>
    <row customHeight="1" ht="11.25">
      <c r="A629" s="7657" t="s">
        <v>2195</v>
      </c>
      <c r="B629" s="7657" t="s">
        <v>14</v>
      </c>
      <c r="C629" s="7657" t="s">
        <v>3655</v>
      </c>
      <c r="D629" s="7657" t="s">
        <v>3656</v>
      </c>
      <c r="E629" s="7657" t="s">
        <v>3657</v>
      </c>
      <c r="F629" s="7657" t="s">
        <v>2439</v>
      </c>
      <c r="G629" s="7657" t="s">
        <v>17</v>
      </c>
      <c r="H629" s="7657" t="s">
        <v>17</v>
      </c>
      <c r="I629" s="7657" t="s">
        <v>3658</v>
      </c>
      <c r="J629" s="0" t="s">
        <v>17</v>
      </c>
      <c r="K629" s="0" t="s">
        <v>3362</v>
      </c>
      <c r="L629" s="0" t="s">
        <v>3423</v>
      </c>
      <c r="M629" s="0" t="s">
        <v>3659</v>
      </c>
      <c r="N629" s="0" t="s">
        <v>401</v>
      </c>
    </row>
    <row customHeight="1" ht="11.25">
      <c r="A630" s="7657" t="s">
        <v>2195</v>
      </c>
      <c r="B630" s="7657" t="s">
        <v>14</v>
      </c>
      <c r="C630" s="7657" t="s">
        <v>3655</v>
      </c>
      <c r="D630" s="7657" t="s">
        <v>3656</v>
      </c>
      <c r="E630" s="7657" t="s">
        <v>3657</v>
      </c>
      <c r="F630" s="7657" t="s">
        <v>2439</v>
      </c>
      <c r="G630" s="7657" t="s">
        <v>17</v>
      </c>
      <c r="H630" s="7657" t="s">
        <v>17</v>
      </c>
      <c r="I630" s="7657" t="s">
        <v>3658</v>
      </c>
      <c r="J630" s="0" t="s">
        <v>17</v>
      </c>
      <c r="K630" s="0" t="s">
        <v>3365</v>
      </c>
      <c r="L630" s="0" t="s">
        <v>3423</v>
      </c>
      <c r="M630" s="0" t="s">
        <v>3659</v>
      </c>
      <c r="N630" s="0" t="s">
        <v>401</v>
      </c>
    </row>
    <row customHeight="1" ht="11.25">
      <c r="A631" s="7657" t="s">
        <v>2195</v>
      </c>
      <c r="B631" s="7657" t="s">
        <v>14</v>
      </c>
      <c r="C631" s="7657" t="s">
        <v>3655</v>
      </c>
      <c r="D631" s="7657" t="s">
        <v>3656</v>
      </c>
      <c r="E631" s="7657" t="s">
        <v>3657</v>
      </c>
      <c r="F631" s="7657" t="s">
        <v>2439</v>
      </c>
      <c r="G631" s="7657" t="s">
        <v>17</v>
      </c>
      <c r="H631" s="7657" t="s">
        <v>17</v>
      </c>
      <c r="I631" s="7657" t="s">
        <v>3658</v>
      </c>
      <c r="J631" s="0" t="s">
        <v>17</v>
      </c>
      <c r="K631" s="0" t="s">
        <v>3362</v>
      </c>
      <c r="L631" s="0" t="s">
        <v>3519</v>
      </c>
      <c r="M631" s="0" t="s">
        <v>3520</v>
      </c>
      <c r="N631" s="0" t="s">
        <v>401</v>
      </c>
    </row>
    <row customHeight="1" ht="11.25">
      <c r="A632" s="7657" t="s">
        <v>2195</v>
      </c>
      <c r="B632" s="7657" t="s">
        <v>14</v>
      </c>
      <c r="C632" s="7657" t="s">
        <v>3655</v>
      </c>
      <c r="D632" s="7657" t="s">
        <v>3656</v>
      </c>
      <c r="E632" s="7657" t="s">
        <v>3657</v>
      </c>
      <c r="F632" s="7657" t="s">
        <v>2439</v>
      </c>
      <c r="G632" s="7657" t="s">
        <v>17</v>
      </c>
      <c r="H632" s="7657" t="s">
        <v>17</v>
      </c>
      <c r="I632" s="7657" t="s">
        <v>3658</v>
      </c>
      <c r="J632" s="0" t="s">
        <v>17</v>
      </c>
      <c r="K632" s="0" t="s">
        <v>3365</v>
      </c>
      <c r="L632" s="0" t="s">
        <v>3519</v>
      </c>
      <c r="M632" s="0" t="s">
        <v>3520</v>
      </c>
      <c r="N632" s="0" t="s">
        <v>401</v>
      </c>
    </row>
    <row customHeight="1" ht="11.25">
      <c r="A633" s="7657" t="s">
        <v>2195</v>
      </c>
      <c r="B633" s="7657" t="s">
        <v>14</v>
      </c>
      <c r="C633" s="7657" t="s">
        <v>3655</v>
      </c>
      <c r="D633" s="7657" t="s">
        <v>3656</v>
      </c>
      <c r="E633" s="7657" t="s">
        <v>3657</v>
      </c>
      <c r="F633" s="7657" t="s">
        <v>2439</v>
      </c>
      <c r="G633" s="7657" t="s">
        <v>17</v>
      </c>
      <c r="H633" s="7657" t="s">
        <v>17</v>
      </c>
      <c r="I633" s="7657" t="s">
        <v>2340</v>
      </c>
      <c r="J633" s="0" t="s">
        <v>17</v>
      </c>
      <c r="K633" s="0" t="s">
        <v>3362</v>
      </c>
      <c r="L633" s="0" t="s">
        <v>3374</v>
      </c>
      <c r="M633" s="0" t="s">
        <v>3375</v>
      </c>
      <c r="N633" s="0" t="s">
        <v>401</v>
      </c>
    </row>
    <row customHeight="1" ht="11.25">
      <c r="A634" s="7657" t="s">
        <v>2195</v>
      </c>
      <c r="B634" s="7657" t="s">
        <v>14</v>
      </c>
      <c r="C634" s="7657" t="s">
        <v>3655</v>
      </c>
      <c r="D634" s="7657" t="s">
        <v>3656</v>
      </c>
      <c r="E634" s="7657" t="s">
        <v>3657</v>
      </c>
      <c r="F634" s="7657" t="s">
        <v>2439</v>
      </c>
      <c r="G634" s="7657" t="s">
        <v>17</v>
      </c>
      <c r="H634" s="7657" t="s">
        <v>17</v>
      </c>
      <c r="I634" s="7657" t="s">
        <v>2340</v>
      </c>
      <c r="J634" s="0" t="s">
        <v>17</v>
      </c>
      <c r="K634" s="0" t="s">
        <v>3362</v>
      </c>
      <c r="L634" s="0" t="s">
        <v>3660</v>
      </c>
      <c r="M634" s="0" t="s">
        <v>3661</v>
      </c>
      <c r="N634" s="0" t="s">
        <v>401</v>
      </c>
    </row>
    <row customHeight="1" ht="11.25">
      <c r="A635" s="7657" t="s">
        <v>2195</v>
      </c>
      <c r="B635" s="7657" t="s">
        <v>14</v>
      </c>
      <c r="C635" s="7657" t="s">
        <v>3662</v>
      </c>
      <c r="D635" s="7657" t="s">
        <v>3663</v>
      </c>
      <c r="E635" s="7657" t="s">
        <v>3664</v>
      </c>
      <c r="F635" s="7657" t="s">
        <v>2388</v>
      </c>
      <c r="G635" s="7657" t="s">
        <v>3665</v>
      </c>
      <c r="H635" s="7657" t="s">
        <v>17</v>
      </c>
      <c r="I635" s="7657" t="s">
        <v>3666</v>
      </c>
      <c r="J635" s="0" t="s">
        <v>17</v>
      </c>
      <c r="K635" s="0" t="s">
        <v>3362</v>
      </c>
      <c r="L635" s="0" t="s">
        <v>3363</v>
      </c>
      <c r="M635" s="0" t="s">
        <v>3364</v>
      </c>
      <c r="N635" s="0" t="s">
        <v>401</v>
      </c>
    </row>
    <row customHeight="1" ht="11.25">
      <c r="A636" s="7657" t="s">
        <v>2195</v>
      </c>
      <c r="B636" s="7657" t="s">
        <v>14</v>
      </c>
      <c r="C636" s="7657" t="s">
        <v>3662</v>
      </c>
      <c r="D636" s="7657" t="s">
        <v>3663</v>
      </c>
      <c r="E636" s="7657" t="s">
        <v>3664</v>
      </c>
      <c r="F636" s="7657" t="s">
        <v>2388</v>
      </c>
      <c r="G636" s="7657" t="s">
        <v>3665</v>
      </c>
      <c r="H636" s="7657" t="s">
        <v>17</v>
      </c>
      <c r="I636" s="7657" t="s">
        <v>3666</v>
      </c>
      <c r="J636" s="0" t="s">
        <v>17</v>
      </c>
      <c r="K636" s="0" t="s">
        <v>3365</v>
      </c>
      <c r="L636" s="0" t="s">
        <v>3363</v>
      </c>
      <c r="M636" s="0" t="s">
        <v>3364</v>
      </c>
      <c r="N636" s="0" t="s">
        <v>401</v>
      </c>
    </row>
    <row customHeight="1" ht="11.25">
      <c r="A637" s="7657" t="s">
        <v>2195</v>
      </c>
      <c r="B637" s="7657" t="s">
        <v>14</v>
      </c>
      <c r="C637" s="7657" t="s">
        <v>3667</v>
      </c>
      <c r="D637" s="7657" t="s">
        <v>3668</v>
      </c>
      <c r="E637" s="7657" t="s">
        <v>3669</v>
      </c>
      <c r="F637" s="7657" t="s">
        <v>2866</v>
      </c>
      <c r="G637" s="7657" t="s">
        <v>3670</v>
      </c>
      <c r="H637" s="7657" t="s">
        <v>17</v>
      </c>
      <c r="I637" s="7657" t="s">
        <v>3670</v>
      </c>
      <c r="J637" s="0" t="s">
        <v>17</v>
      </c>
      <c r="K637" s="0" t="s">
        <v>3362</v>
      </c>
      <c r="L637" s="0" t="s">
        <v>3363</v>
      </c>
      <c r="M637" s="0" t="s">
        <v>3364</v>
      </c>
      <c r="N637" s="0" t="s">
        <v>401</v>
      </c>
    </row>
    <row customHeight="1" ht="11.25">
      <c r="A638" s="7657" t="s">
        <v>2195</v>
      </c>
      <c r="B638" s="7657" t="s">
        <v>14</v>
      </c>
      <c r="C638" s="7657" t="s">
        <v>3667</v>
      </c>
      <c r="D638" s="7657" t="s">
        <v>3668</v>
      </c>
      <c r="E638" s="7657" t="s">
        <v>3669</v>
      </c>
      <c r="F638" s="7657" t="s">
        <v>2866</v>
      </c>
      <c r="G638" s="7657" t="s">
        <v>3670</v>
      </c>
      <c r="H638" s="7657" t="s">
        <v>17</v>
      </c>
      <c r="I638" s="7657" t="s">
        <v>3670</v>
      </c>
      <c r="J638" s="0" t="s">
        <v>17</v>
      </c>
      <c r="K638" s="0" t="s">
        <v>3365</v>
      </c>
      <c r="L638" s="0" t="s">
        <v>3363</v>
      </c>
      <c r="M638" s="0" t="s">
        <v>3364</v>
      </c>
      <c r="N638" s="0" t="s">
        <v>401</v>
      </c>
    </row>
    <row customHeight="1" ht="11.25">
      <c r="A639" s="7657" t="s">
        <v>2195</v>
      </c>
      <c r="B639" s="7657" t="s">
        <v>14</v>
      </c>
      <c r="C639" s="7657" t="s">
        <v>3671</v>
      </c>
      <c r="D639" s="7657" t="s">
        <v>3672</v>
      </c>
      <c r="E639" s="7657" t="s">
        <v>3673</v>
      </c>
      <c r="F639" s="7657" t="s">
        <v>2907</v>
      </c>
      <c r="G639" s="7657" t="s">
        <v>3674</v>
      </c>
      <c r="H639" s="7657" t="s">
        <v>17</v>
      </c>
      <c r="I639" s="7657" t="s">
        <v>3666</v>
      </c>
      <c r="J639" s="0" t="s">
        <v>17</v>
      </c>
      <c r="K639" s="0" t="s">
        <v>3362</v>
      </c>
      <c r="L639" s="0" t="s">
        <v>3363</v>
      </c>
      <c r="M639" s="0" t="s">
        <v>3364</v>
      </c>
      <c r="N639" s="0" t="s">
        <v>401</v>
      </c>
    </row>
    <row customHeight="1" ht="11.25">
      <c r="A640" s="7657" t="s">
        <v>2195</v>
      </c>
      <c r="B640" s="7657" t="s">
        <v>14</v>
      </c>
      <c r="C640" s="7657" t="s">
        <v>3671</v>
      </c>
      <c r="D640" s="7657" t="s">
        <v>3672</v>
      </c>
      <c r="E640" s="7657" t="s">
        <v>3673</v>
      </c>
      <c r="F640" s="7657" t="s">
        <v>2907</v>
      </c>
      <c r="G640" s="7657" t="s">
        <v>3674</v>
      </c>
      <c r="H640" s="7657" t="s">
        <v>17</v>
      </c>
      <c r="I640" s="7657" t="s">
        <v>3666</v>
      </c>
      <c r="J640" s="0" t="s">
        <v>17</v>
      </c>
      <c r="K640" s="0" t="s">
        <v>3365</v>
      </c>
      <c r="L640" s="0" t="s">
        <v>3363</v>
      </c>
      <c r="M640" s="0" t="s">
        <v>3364</v>
      </c>
      <c r="N640" s="0" t="s">
        <v>401</v>
      </c>
    </row>
    <row customHeight="1" ht="11.25">
      <c r="A641" s="7657" t="s">
        <v>2195</v>
      </c>
      <c r="B641" s="7657" t="s">
        <v>14</v>
      </c>
      <c r="C641" s="7657" t="s">
        <v>3675</v>
      </c>
      <c r="D641" s="7657" t="s">
        <v>3676</v>
      </c>
      <c r="E641" s="7657" t="s">
        <v>3677</v>
      </c>
      <c r="F641" s="7657" t="s">
        <v>2378</v>
      </c>
      <c r="G641" s="7657" t="s">
        <v>3678</v>
      </c>
      <c r="H641" s="7657" t="s">
        <v>17</v>
      </c>
      <c r="I641" s="7657" t="s">
        <v>3679</v>
      </c>
      <c r="J641" s="0" t="s">
        <v>17</v>
      </c>
      <c r="K641" s="0" t="s">
        <v>3362</v>
      </c>
      <c r="L641" s="0" t="s">
        <v>3434</v>
      </c>
      <c r="M641" s="0" t="s">
        <v>3435</v>
      </c>
      <c r="N641" s="0" t="s">
        <v>401</v>
      </c>
    </row>
    <row customHeight="1" ht="11.25">
      <c r="A642" s="7657" t="s">
        <v>2195</v>
      </c>
      <c r="B642" s="7657" t="s">
        <v>14</v>
      </c>
      <c r="C642" s="7657" t="s">
        <v>3680</v>
      </c>
      <c r="D642" s="7657" t="s">
        <v>3681</v>
      </c>
      <c r="E642" s="7657" t="s">
        <v>3682</v>
      </c>
      <c r="F642" s="7657" t="s">
        <v>2517</v>
      </c>
      <c r="G642" s="7657" t="s">
        <v>3683</v>
      </c>
      <c r="H642" s="7657" t="s">
        <v>17</v>
      </c>
      <c r="I642" s="7657" t="s">
        <v>2208</v>
      </c>
      <c r="J642" s="0" t="s">
        <v>17</v>
      </c>
      <c r="K642" s="0" t="s">
        <v>3362</v>
      </c>
      <c r="L642" s="0" t="s">
        <v>3363</v>
      </c>
      <c r="M642" s="0" t="s">
        <v>3364</v>
      </c>
      <c r="N642" s="0" t="s">
        <v>401</v>
      </c>
    </row>
    <row customHeight="1" ht="11.25">
      <c r="A643" s="7657" t="s">
        <v>2195</v>
      </c>
      <c r="B643" s="7657" t="s">
        <v>14</v>
      </c>
      <c r="C643" s="7657" t="s">
        <v>3680</v>
      </c>
      <c r="D643" s="7657" t="s">
        <v>3681</v>
      </c>
      <c r="E643" s="7657" t="s">
        <v>3682</v>
      </c>
      <c r="F643" s="7657" t="s">
        <v>2517</v>
      </c>
      <c r="G643" s="7657" t="s">
        <v>3683</v>
      </c>
      <c r="H643" s="7657" t="s">
        <v>17</v>
      </c>
      <c r="I643" s="7657" t="s">
        <v>2208</v>
      </c>
      <c r="J643" s="0" t="s">
        <v>17</v>
      </c>
      <c r="K643" s="0" t="s">
        <v>3365</v>
      </c>
      <c r="L643" s="0" t="s">
        <v>3363</v>
      </c>
      <c r="M643" s="0" t="s">
        <v>3364</v>
      </c>
      <c r="N643" s="0" t="s">
        <v>401</v>
      </c>
    </row>
    <row customHeight="1" ht="11.25">
      <c r="A644" s="7657" t="s">
        <v>2195</v>
      </c>
      <c r="B644" s="7657" t="s">
        <v>14</v>
      </c>
      <c r="C644" s="7657" t="s">
        <v>3684</v>
      </c>
      <c r="D644" s="7657" t="s">
        <v>3685</v>
      </c>
      <c r="E644" s="7657" t="s">
        <v>3686</v>
      </c>
      <c r="F644" s="7657" t="s">
        <v>2711</v>
      </c>
      <c r="G644" s="7657" t="s">
        <v>3687</v>
      </c>
      <c r="H644" s="7657" t="s">
        <v>17</v>
      </c>
      <c r="I644" s="7657" t="s">
        <v>2426</v>
      </c>
      <c r="J644" s="0" t="s">
        <v>17</v>
      </c>
      <c r="K644" s="0" t="s">
        <v>3362</v>
      </c>
      <c r="L644" s="0" t="s">
        <v>3363</v>
      </c>
      <c r="M644" s="0" t="s">
        <v>3364</v>
      </c>
      <c r="N644" s="0" t="s">
        <v>401</v>
      </c>
    </row>
    <row customHeight="1" ht="11.25">
      <c r="A645" s="7657" t="s">
        <v>2195</v>
      </c>
      <c r="B645" s="7657" t="s">
        <v>14</v>
      </c>
      <c r="C645" s="7657" t="s">
        <v>3684</v>
      </c>
      <c r="D645" s="7657" t="s">
        <v>3685</v>
      </c>
      <c r="E645" s="7657" t="s">
        <v>3686</v>
      </c>
      <c r="F645" s="7657" t="s">
        <v>2711</v>
      </c>
      <c r="G645" s="7657" t="s">
        <v>3687</v>
      </c>
      <c r="H645" s="7657" t="s">
        <v>17</v>
      </c>
      <c r="I645" s="7657" t="s">
        <v>2426</v>
      </c>
      <c r="J645" s="0" t="s">
        <v>17</v>
      </c>
      <c r="K645" s="0" t="s">
        <v>3365</v>
      </c>
      <c r="L645" s="0" t="s">
        <v>3363</v>
      </c>
      <c r="M645" s="0" t="s">
        <v>3364</v>
      </c>
      <c r="N645" s="0" t="s">
        <v>401</v>
      </c>
    </row>
    <row customHeight="1" ht="11.25">
      <c r="A646" s="7657" t="s">
        <v>2195</v>
      </c>
      <c r="B646" s="7657" t="s">
        <v>14</v>
      </c>
      <c r="C646" s="7657" t="s">
        <v>3688</v>
      </c>
      <c r="D646" s="7657" t="s">
        <v>3689</v>
      </c>
      <c r="E646" s="7657" t="s">
        <v>3690</v>
      </c>
      <c r="F646" s="7657" t="s">
        <v>2212</v>
      </c>
      <c r="G646" s="7657" t="s">
        <v>3691</v>
      </c>
      <c r="H646" s="7657" t="s">
        <v>17</v>
      </c>
      <c r="I646" s="7657" t="s">
        <v>3691</v>
      </c>
      <c r="J646" s="0" t="s">
        <v>17</v>
      </c>
      <c r="K646" s="0" t="s">
        <v>3362</v>
      </c>
      <c r="L646" s="0" t="s">
        <v>3363</v>
      </c>
      <c r="M646" s="0" t="s">
        <v>3364</v>
      </c>
      <c r="N646" s="0" t="s">
        <v>401</v>
      </c>
    </row>
    <row customHeight="1" ht="11.25">
      <c r="A647" s="7657" t="s">
        <v>2195</v>
      </c>
      <c r="B647" s="7657" t="s">
        <v>14</v>
      </c>
      <c r="C647" s="7657" t="s">
        <v>3688</v>
      </c>
      <c r="D647" s="7657" t="s">
        <v>3689</v>
      </c>
      <c r="E647" s="7657" t="s">
        <v>3690</v>
      </c>
      <c r="F647" s="7657" t="s">
        <v>2212</v>
      </c>
      <c r="G647" s="7657" t="s">
        <v>3691</v>
      </c>
      <c r="H647" s="7657" t="s">
        <v>17</v>
      </c>
      <c r="I647" s="7657" t="s">
        <v>3691</v>
      </c>
      <c r="J647" s="0" t="s">
        <v>17</v>
      </c>
      <c r="K647" s="0" t="s">
        <v>3365</v>
      </c>
      <c r="L647" s="0" t="s">
        <v>3363</v>
      </c>
      <c r="M647" s="0" t="s">
        <v>3364</v>
      </c>
      <c r="N647" s="0" t="s">
        <v>401</v>
      </c>
    </row>
    <row customHeight="1" ht="11.25">
      <c r="A648" s="7657" t="s">
        <v>2195</v>
      </c>
      <c r="B648" s="7657" t="s">
        <v>14</v>
      </c>
      <c r="C648" s="7657" t="s">
        <v>3692</v>
      </c>
      <c r="D648" s="7657" t="s">
        <v>3689</v>
      </c>
      <c r="E648" s="7657" t="s">
        <v>3693</v>
      </c>
      <c r="F648" s="7657" t="s">
        <v>2425</v>
      </c>
      <c r="G648" s="7657" t="s">
        <v>3694</v>
      </c>
      <c r="H648" s="7657" t="s">
        <v>17</v>
      </c>
      <c r="I648" s="7657" t="s">
        <v>3695</v>
      </c>
      <c r="J648" s="0" t="s">
        <v>17</v>
      </c>
      <c r="K648" s="0" t="s">
        <v>3362</v>
      </c>
      <c r="L648" s="0" t="s">
        <v>3374</v>
      </c>
      <c r="M648" s="0" t="s">
        <v>3375</v>
      </c>
      <c r="N648" s="0" t="s">
        <v>401</v>
      </c>
    </row>
    <row customHeight="1" ht="11.25">
      <c r="A649" s="7657" t="s">
        <v>2195</v>
      </c>
      <c r="B649" s="7657" t="s">
        <v>14</v>
      </c>
      <c r="C649" s="7657" t="s">
        <v>3692</v>
      </c>
      <c r="D649" s="7657" t="s">
        <v>3689</v>
      </c>
      <c r="E649" s="7657" t="s">
        <v>3693</v>
      </c>
      <c r="F649" s="7657" t="s">
        <v>2425</v>
      </c>
      <c r="G649" s="7657" t="s">
        <v>3694</v>
      </c>
      <c r="H649" s="7657" t="s">
        <v>17</v>
      </c>
      <c r="I649" s="7657" t="s">
        <v>3696</v>
      </c>
      <c r="J649" s="0" t="s">
        <v>17</v>
      </c>
      <c r="K649" s="0" t="s">
        <v>3362</v>
      </c>
      <c r="L649" s="0" t="s">
        <v>3434</v>
      </c>
      <c r="M649" s="0" t="s">
        <v>3475</v>
      </c>
      <c r="N649" s="0" t="s">
        <v>401</v>
      </c>
    </row>
    <row customHeight="1" ht="11.25">
      <c r="A650" s="7657" t="s">
        <v>2195</v>
      </c>
      <c r="B650" s="7657" t="s">
        <v>14</v>
      </c>
      <c r="C650" s="7657" t="s">
        <v>3692</v>
      </c>
      <c r="D650" s="7657" t="s">
        <v>3689</v>
      </c>
      <c r="E650" s="7657" t="s">
        <v>3693</v>
      </c>
      <c r="F650" s="7657" t="s">
        <v>2425</v>
      </c>
      <c r="G650" s="7657" t="s">
        <v>3694</v>
      </c>
      <c r="H650" s="7657" t="s">
        <v>17</v>
      </c>
      <c r="I650" s="7657" t="s">
        <v>3696</v>
      </c>
      <c r="J650" s="0" t="s">
        <v>17</v>
      </c>
      <c r="K650" s="0" t="s">
        <v>3365</v>
      </c>
      <c r="L650" s="0" t="s">
        <v>3434</v>
      </c>
      <c r="M650" s="0" t="s">
        <v>3475</v>
      </c>
      <c r="N650" s="0" t="s">
        <v>401</v>
      </c>
    </row>
    <row customHeight="1" ht="11.25">
      <c r="A651" s="7657" t="s">
        <v>2195</v>
      </c>
      <c r="B651" s="7657" t="s">
        <v>14</v>
      </c>
      <c r="C651" s="7657" t="s">
        <v>3697</v>
      </c>
      <c r="D651" s="7657" t="s">
        <v>3698</v>
      </c>
      <c r="E651" s="7657" t="s">
        <v>3699</v>
      </c>
      <c r="F651" s="7657" t="s">
        <v>2649</v>
      </c>
      <c r="G651" s="7657" t="s">
        <v>3700</v>
      </c>
      <c r="H651" s="7657" t="s">
        <v>17</v>
      </c>
      <c r="I651" s="7657" t="s">
        <v>3700</v>
      </c>
      <c r="J651" s="0" t="s">
        <v>17</v>
      </c>
      <c r="K651" s="0" t="s">
        <v>3362</v>
      </c>
      <c r="L651" s="0" t="s">
        <v>3401</v>
      </c>
      <c r="M651" s="0" t="s">
        <v>3402</v>
      </c>
      <c r="N651" s="0" t="s">
        <v>401</v>
      </c>
    </row>
    <row customHeight="1" ht="11.25">
      <c r="A652" s="7657" t="s">
        <v>2195</v>
      </c>
      <c r="B652" s="7657" t="s">
        <v>14</v>
      </c>
      <c r="C652" s="7657" t="s">
        <v>3697</v>
      </c>
      <c r="D652" s="7657" t="s">
        <v>3698</v>
      </c>
      <c r="E652" s="7657" t="s">
        <v>3699</v>
      </c>
      <c r="F652" s="7657" t="s">
        <v>2649</v>
      </c>
      <c r="G652" s="7657" t="s">
        <v>3700</v>
      </c>
      <c r="H652" s="7657" t="s">
        <v>17</v>
      </c>
      <c r="I652" s="7657" t="s">
        <v>3700</v>
      </c>
      <c r="J652" s="0" t="s">
        <v>17</v>
      </c>
      <c r="K652" s="0" t="s">
        <v>3365</v>
      </c>
      <c r="L652" s="0" t="s">
        <v>3401</v>
      </c>
      <c r="M652" s="0" t="s">
        <v>3402</v>
      </c>
      <c r="N652" s="0" t="s">
        <v>401</v>
      </c>
    </row>
    <row customHeight="1" ht="11.25">
      <c r="A653" s="7657" t="s">
        <v>2195</v>
      </c>
      <c r="B653" s="7657" t="s">
        <v>14</v>
      </c>
      <c r="C653" s="7657" t="s">
        <v>3701</v>
      </c>
      <c r="D653" s="7657" t="s">
        <v>3702</v>
      </c>
      <c r="E653" s="7657" t="s">
        <v>3703</v>
      </c>
      <c r="F653" s="7657" t="s">
        <v>3704</v>
      </c>
      <c r="G653" s="7657" t="s">
        <v>17</v>
      </c>
      <c r="H653" s="7657" t="s">
        <v>17</v>
      </c>
      <c r="I653" s="7657" t="s">
        <v>2208</v>
      </c>
      <c r="J653" s="0" t="s">
        <v>17</v>
      </c>
      <c r="K653" s="0" t="s">
        <v>3362</v>
      </c>
      <c r="L653" s="0" t="s">
        <v>3374</v>
      </c>
      <c r="M653" s="0" t="s">
        <v>3375</v>
      </c>
      <c r="N653" s="0" t="s">
        <v>401</v>
      </c>
    </row>
    <row customHeight="1" ht="11.25">
      <c r="A654" s="7657" t="s">
        <v>2195</v>
      </c>
      <c r="B654" s="7657" t="s">
        <v>14</v>
      </c>
      <c r="C654" s="7657" t="s">
        <v>3701</v>
      </c>
      <c r="D654" s="7657" t="s">
        <v>3702</v>
      </c>
      <c r="E654" s="7657" t="s">
        <v>3703</v>
      </c>
      <c r="F654" s="7657" t="s">
        <v>3704</v>
      </c>
      <c r="G654" s="7657" t="s">
        <v>17</v>
      </c>
      <c r="H654" s="7657" t="s">
        <v>17</v>
      </c>
      <c r="I654" s="7657" t="s">
        <v>2426</v>
      </c>
      <c r="J654" s="0" t="s">
        <v>17</v>
      </c>
      <c r="K654" s="0" t="s">
        <v>3362</v>
      </c>
      <c r="L654" s="0" t="s">
        <v>3401</v>
      </c>
      <c r="M654" s="0" t="s">
        <v>3402</v>
      </c>
      <c r="N654" s="0" t="s">
        <v>401</v>
      </c>
    </row>
    <row customHeight="1" ht="11.25">
      <c r="A655" s="7657" t="s">
        <v>2195</v>
      </c>
      <c r="B655" s="7657" t="s">
        <v>14</v>
      </c>
      <c r="C655" s="7657" t="s">
        <v>3701</v>
      </c>
      <c r="D655" s="7657" t="s">
        <v>3702</v>
      </c>
      <c r="E655" s="7657" t="s">
        <v>3703</v>
      </c>
      <c r="F655" s="7657" t="s">
        <v>3704</v>
      </c>
      <c r="G655" s="7657" t="s">
        <v>17</v>
      </c>
      <c r="H655" s="7657" t="s">
        <v>17</v>
      </c>
      <c r="I655" s="7657" t="s">
        <v>2426</v>
      </c>
      <c r="J655" s="0" t="s">
        <v>17</v>
      </c>
      <c r="K655" s="0" t="s">
        <v>3365</v>
      </c>
      <c r="L655" s="0" t="s">
        <v>3401</v>
      </c>
      <c r="M655" s="0" t="s">
        <v>3402</v>
      </c>
      <c r="N655" s="0" t="s">
        <v>401</v>
      </c>
    </row>
    <row customHeight="1" ht="11.25">
      <c r="A656" s="7657" t="s">
        <v>2195</v>
      </c>
      <c r="B656" s="7657" t="s">
        <v>14</v>
      </c>
      <c r="C656" s="7657" t="s">
        <v>3701</v>
      </c>
      <c r="D656" s="7657" t="s">
        <v>3702</v>
      </c>
      <c r="E656" s="7657" t="s">
        <v>3703</v>
      </c>
      <c r="F656" s="7657" t="s">
        <v>3704</v>
      </c>
      <c r="G656" s="7657" t="s">
        <v>17</v>
      </c>
      <c r="H656" s="7657" t="s">
        <v>17</v>
      </c>
      <c r="I656" s="7657" t="s">
        <v>3705</v>
      </c>
      <c r="J656" s="0" t="s">
        <v>17</v>
      </c>
      <c r="K656" s="0" t="s">
        <v>3362</v>
      </c>
      <c r="L656" s="0" t="s">
        <v>3363</v>
      </c>
      <c r="M656" s="0" t="s">
        <v>3364</v>
      </c>
      <c r="N656" s="0" t="s">
        <v>401</v>
      </c>
    </row>
    <row customHeight="1" ht="11.25">
      <c r="A657" s="7657" t="s">
        <v>2195</v>
      </c>
      <c r="B657" s="7657" t="s">
        <v>14</v>
      </c>
      <c r="C657" s="7657" t="s">
        <v>3701</v>
      </c>
      <c r="D657" s="7657" t="s">
        <v>3702</v>
      </c>
      <c r="E657" s="7657" t="s">
        <v>3703</v>
      </c>
      <c r="F657" s="7657" t="s">
        <v>3704</v>
      </c>
      <c r="G657" s="7657" t="s">
        <v>17</v>
      </c>
      <c r="H657" s="7657" t="s">
        <v>17</v>
      </c>
      <c r="I657" s="7657" t="s">
        <v>3705</v>
      </c>
      <c r="J657" s="0" t="s">
        <v>17</v>
      </c>
      <c r="K657" s="0" t="s">
        <v>3365</v>
      </c>
      <c r="L657" s="0" t="s">
        <v>3363</v>
      </c>
      <c r="M657" s="0" t="s">
        <v>3364</v>
      </c>
      <c r="N657" s="0" t="s">
        <v>401</v>
      </c>
    </row>
    <row customHeight="1" ht="11.25">
      <c r="A658" s="7657" t="s">
        <v>2195</v>
      </c>
      <c r="B658" s="7657" t="s">
        <v>14</v>
      </c>
      <c r="C658" s="7657" t="s">
        <v>3706</v>
      </c>
      <c r="D658" s="7657" t="s">
        <v>3707</v>
      </c>
      <c r="E658" s="7657" t="s">
        <v>3708</v>
      </c>
      <c r="F658" s="7657" t="s">
        <v>2388</v>
      </c>
      <c r="G658" s="7657" t="s">
        <v>3709</v>
      </c>
      <c r="H658" s="7657" t="s">
        <v>17</v>
      </c>
      <c r="I658" s="7657" t="s">
        <v>2374</v>
      </c>
      <c r="J658" s="0" t="s">
        <v>17</v>
      </c>
      <c r="K658" s="0" t="s">
        <v>3362</v>
      </c>
      <c r="L658" s="0" t="s">
        <v>3363</v>
      </c>
      <c r="M658" s="0" t="s">
        <v>3364</v>
      </c>
      <c r="N658" s="0" t="s">
        <v>401</v>
      </c>
    </row>
    <row customHeight="1" ht="11.25">
      <c r="A659" s="7657" t="s">
        <v>2195</v>
      </c>
      <c r="B659" s="7657" t="s">
        <v>14</v>
      </c>
      <c r="C659" s="7657" t="s">
        <v>3706</v>
      </c>
      <c r="D659" s="7657" t="s">
        <v>3707</v>
      </c>
      <c r="E659" s="7657" t="s">
        <v>3708</v>
      </c>
      <c r="F659" s="7657" t="s">
        <v>2388</v>
      </c>
      <c r="G659" s="7657" t="s">
        <v>3709</v>
      </c>
      <c r="H659" s="7657" t="s">
        <v>17</v>
      </c>
      <c r="I659" s="7657" t="s">
        <v>2374</v>
      </c>
      <c r="J659" s="0" t="s">
        <v>17</v>
      </c>
      <c r="K659" s="0" t="s">
        <v>3365</v>
      </c>
      <c r="L659" s="0" t="s">
        <v>3363</v>
      </c>
      <c r="M659" s="0" t="s">
        <v>3364</v>
      </c>
      <c r="N659" s="0" t="s">
        <v>401</v>
      </c>
    </row>
    <row customHeight="1" ht="11.25">
      <c r="A660" s="7657" t="s">
        <v>2195</v>
      </c>
      <c r="B660" s="7657" t="s">
        <v>14</v>
      </c>
      <c r="C660" s="7657" t="s">
        <v>3710</v>
      </c>
      <c r="D660" s="7657" t="s">
        <v>3711</v>
      </c>
      <c r="E660" s="7657" t="s">
        <v>3712</v>
      </c>
      <c r="F660" s="7657" t="s">
        <v>2478</v>
      </c>
      <c r="G660" s="7657" t="s">
        <v>3713</v>
      </c>
      <c r="H660" s="7657" t="s">
        <v>17</v>
      </c>
      <c r="I660" s="7657" t="s">
        <v>3713</v>
      </c>
      <c r="J660" s="0" t="s">
        <v>17</v>
      </c>
      <c r="K660" s="0" t="s">
        <v>3362</v>
      </c>
      <c r="L660" s="0" t="s">
        <v>3401</v>
      </c>
      <c r="M660" s="0" t="s">
        <v>3402</v>
      </c>
      <c r="N660" s="0" t="s">
        <v>401</v>
      </c>
    </row>
    <row customHeight="1" ht="11.25">
      <c r="A661" s="7657" t="s">
        <v>2195</v>
      </c>
      <c r="B661" s="7657" t="s">
        <v>14</v>
      </c>
      <c r="C661" s="7657" t="s">
        <v>3710</v>
      </c>
      <c r="D661" s="7657" t="s">
        <v>3711</v>
      </c>
      <c r="E661" s="7657" t="s">
        <v>3712</v>
      </c>
      <c r="F661" s="7657" t="s">
        <v>2478</v>
      </c>
      <c r="G661" s="7657" t="s">
        <v>3713</v>
      </c>
      <c r="H661" s="7657" t="s">
        <v>17</v>
      </c>
      <c r="I661" s="7657" t="s">
        <v>3713</v>
      </c>
      <c r="J661" s="0" t="s">
        <v>17</v>
      </c>
      <c r="K661" s="0" t="s">
        <v>3365</v>
      </c>
      <c r="L661" s="0" t="s">
        <v>3401</v>
      </c>
      <c r="M661" s="0" t="s">
        <v>3402</v>
      </c>
      <c r="N661" s="0" t="s">
        <v>401</v>
      </c>
    </row>
    <row customHeight="1" ht="11.25">
      <c r="A662" s="7657" t="s">
        <v>2195</v>
      </c>
      <c r="B662" s="7657" t="s">
        <v>14</v>
      </c>
      <c r="C662" s="7657" t="s">
        <v>3714</v>
      </c>
      <c r="D662" s="7657" t="s">
        <v>3715</v>
      </c>
      <c r="E662" s="7657" t="s">
        <v>3716</v>
      </c>
      <c r="F662" s="7657" t="s">
        <v>2267</v>
      </c>
      <c r="G662" s="7657" t="s">
        <v>17</v>
      </c>
      <c r="H662" s="7657" t="s">
        <v>17</v>
      </c>
      <c r="I662" s="7657" t="s">
        <v>3717</v>
      </c>
      <c r="J662" s="0" t="s">
        <v>17</v>
      </c>
      <c r="K662" s="0" t="s">
        <v>3362</v>
      </c>
      <c r="L662" s="0" t="s">
        <v>3363</v>
      </c>
      <c r="M662" s="0" t="s">
        <v>3364</v>
      </c>
      <c r="N662" s="0" t="s">
        <v>401</v>
      </c>
    </row>
    <row customHeight="1" ht="11.25">
      <c r="A663" s="7657" t="s">
        <v>2195</v>
      </c>
      <c r="B663" s="7657" t="s">
        <v>14</v>
      </c>
      <c r="C663" s="7657" t="s">
        <v>3714</v>
      </c>
      <c r="D663" s="7657" t="s">
        <v>3715</v>
      </c>
      <c r="E663" s="7657" t="s">
        <v>3716</v>
      </c>
      <c r="F663" s="7657" t="s">
        <v>2267</v>
      </c>
      <c r="G663" s="7657" t="s">
        <v>17</v>
      </c>
      <c r="H663" s="7657" t="s">
        <v>17</v>
      </c>
      <c r="I663" s="7657" t="s">
        <v>3717</v>
      </c>
      <c r="J663" s="0" t="s">
        <v>17</v>
      </c>
      <c r="K663" s="0" t="s">
        <v>3365</v>
      </c>
      <c r="L663" s="0" t="s">
        <v>3363</v>
      </c>
      <c r="M663" s="0" t="s">
        <v>3364</v>
      </c>
      <c r="N663" s="0" t="s">
        <v>401</v>
      </c>
    </row>
    <row customHeight="1" ht="11.25">
      <c r="A664" s="7657" t="s">
        <v>2195</v>
      </c>
      <c r="B664" s="7657" t="s">
        <v>14</v>
      </c>
      <c r="C664" s="7657" t="s">
        <v>3714</v>
      </c>
      <c r="D664" s="7657" t="s">
        <v>3715</v>
      </c>
      <c r="E664" s="7657" t="s">
        <v>3716</v>
      </c>
      <c r="F664" s="7657" t="s">
        <v>2267</v>
      </c>
      <c r="G664" s="7657" t="s">
        <v>17</v>
      </c>
      <c r="H664" s="7657" t="s">
        <v>17</v>
      </c>
      <c r="I664" s="7657" t="s">
        <v>3718</v>
      </c>
      <c r="J664" s="0" t="s">
        <v>17</v>
      </c>
      <c r="K664" s="0" t="s">
        <v>3362</v>
      </c>
      <c r="L664" s="0" t="s">
        <v>3386</v>
      </c>
      <c r="M664" s="0" t="s">
        <v>3387</v>
      </c>
      <c r="N664" s="0" t="s">
        <v>401</v>
      </c>
    </row>
    <row customHeight="1" ht="11.25">
      <c r="A665" s="7657" t="s">
        <v>2195</v>
      </c>
      <c r="B665" s="7657" t="s">
        <v>14</v>
      </c>
      <c r="C665" s="7657" t="s">
        <v>3714</v>
      </c>
      <c r="D665" s="7657" t="s">
        <v>3715</v>
      </c>
      <c r="E665" s="7657" t="s">
        <v>3716</v>
      </c>
      <c r="F665" s="7657" t="s">
        <v>2267</v>
      </c>
      <c r="G665" s="7657" t="s">
        <v>17</v>
      </c>
      <c r="H665" s="7657" t="s">
        <v>17</v>
      </c>
      <c r="I665" s="7657" t="s">
        <v>3719</v>
      </c>
      <c r="J665" s="0" t="s">
        <v>17</v>
      </c>
      <c r="K665" s="0" t="s">
        <v>3362</v>
      </c>
      <c r="L665" s="0" t="s">
        <v>3472</v>
      </c>
      <c r="M665" s="0" t="s">
        <v>3473</v>
      </c>
      <c r="N665" s="0" t="s">
        <v>401</v>
      </c>
    </row>
    <row customHeight="1" ht="11.25">
      <c r="A666" s="7657" t="s">
        <v>2195</v>
      </c>
      <c r="B666" s="7657" t="s">
        <v>14</v>
      </c>
      <c r="C666" s="7657" t="s">
        <v>3720</v>
      </c>
      <c r="D666" s="7657" t="s">
        <v>3721</v>
      </c>
      <c r="E666" s="7657" t="s">
        <v>3722</v>
      </c>
      <c r="F666" s="7657" t="s">
        <v>2590</v>
      </c>
      <c r="G666" s="7657" t="s">
        <v>3723</v>
      </c>
      <c r="H666" s="7657" t="s">
        <v>17</v>
      </c>
      <c r="I666" s="7657" t="s">
        <v>2426</v>
      </c>
      <c r="J666" s="0" t="s">
        <v>17</v>
      </c>
      <c r="K666" s="0" t="s">
        <v>3362</v>
      </c>
      <c r="L666" s="0" t="s">
        <v>3401</v>
      </c>
      <c r="M666" s="0" t="s">
        <v>3402</v>
      </c>
      <c r="N666" s="0" t="s">
        <v>401</v>
      </c>
    </row>
    <row customHeight="1" ht="11.25">
      <c r="A667" s="7657" t="s">
        <v>2195</v>
      </c>
      <c r="B667" s="7657" t="s">
        <v>14</v>
      </c>
      <c r="C667" s="7657" t="s">
        <v>3720</v>
      </c>
      <c r="D667" s="7657" t="s">
        <v>3721</v>
      </c>
      <c r="E667" s="7657" t="s">
        <v>3722</v>
      </c>
      <c r="F667" s="7657" t="s">
        <v>2590</v>
      </c>
      <c r="G667" s="7657" t="s">
        <v>3723</v>
      </c>
      <c r="H667" s="7657" t="s">
        <v>17</v>
      </c>
      <c r="I667" s="7657" t="s">
        <v>2426</v>
      </c>
      <c r="J667" s="0" t="s">
        <v>17</v>
      </c>
      <c r="K667" s="0" t="s">
        <v>3365</v>
      </c>
      <c r="L667" s="0" t="s">
        <v>3401</v>
      </c>
      <c r="M667" s="0" t="s">
        <v>3402</v>
      </c>
      <c r="N667" s="0" t="s">
        <v>401</v>
      </c>
    </row>
    <row customHeight="1" ht="11.25">
      <c r="A668" s="7657" t="s">
        <v>2195</v>
      </c>
      <c r="B668" s="7657" t="s">
        <v>14</v>
      </c>
      <c r="C668" s="7657" t="s">
        <v>3724</v>
      </c>
      <c r="D668" s="7657" t="s">
        <v>3725</v>
      </c>
      <c r="E668" s="7657" t="s">
        <v>3726</v>
      </c>
      <c r="F668" s="7657" t="s">
        <v>2478</v>
      </c>
      <c r="G668" s="7657" t="s">
        <v>3727</v>
      </c>
      <c r="H668" s="7657" t="s">
        <v>17</v>
      </c>
      <c r="I668" s="7657" t="s">
        <v>3728</v>
      </c>
      <c r="J668" s="0" t="s">
        <v>17</v>
      </c>
      <c r="K668" s="0" t="s">
        <v>3362</v>
      </c>
      <c r="L668" s="0" t="s">
        <v>3401</v>
      </c>
      <c r="M668" s="0" t="s">
        <v>3402</v>
      </c>
      <c r="N668" s="0" t="s">
        <v>401</v>
      </c>
    </row>
    <row customHeight="1" ht="11.25">
      <c r="A669" s="7657" t="s">
        <v>2195</v>
      </c>
      <c r="B669" s="7657" t="s">
        <v>14</v>
      </c>
      <c r="C669" s="7657" t="s">
        <v>3724</v>
      </c>
      <c r="D669" s="7657" t="s">
        <v>3725</v>
      </c>
      <c r="E669" s="7657" t="s">
        <v>3726</v>
      </c>
      <c r="F669" s="7657" t="s">
        <v>2478</v>
      </c>
      <c r="G669" s="7657" t="s">
        <v>3727</v>
      </c>
      <c r="H669" s="7657" t="s">
        <v>17</v>
      </c>
      <c r="I669" s="7657" t="s">
        <v>3728</v>
      </c>
      <c r="J669" s="0" t="s">
        <v>17</v>
      </c>
      <c r="K669" s="0" t="s">
        <v>3365</v>
      </c>
      <c r="L669" s="0" t="s">
        <v>3401</v>
      </c>
      <c r="M669" s="0" t="s">
        <v>3402</v>
      </c>
      <c r="N669" s="0" t="s">
        <v>401</v>
      </c>
    </row>
    <row customHeight="1" ht="11.25">
      <c r="A670" s="7657" t="s">
        <v>2195</v>
      </c>
      <c r="B670" s="7657" t="s">
        <v>14</v>
      </c>
      <c r="C670" s="7657" t="s">
        <v>3729</v>
      </c>
      <c r="D670" s="7657" t="s">
        <v>3730</v>
      </c>
      <c r="E670" s="7657" t="s">
        <v>3731</v>
      </c>
      <c r="F670" s="7657" t="s">
        <v>2513</v>
      </c>
      <c r="G670" s="7657" t="s">
        <v>17</v>
      </c>
      <c r="H670" s="7657" t="s">
        <v>17</v>
      </c>
      <c r="I670" s="7657" t="s">
        <v>2426</v>
      </c>
      <c r="J670" s="0" t="s">
        <v>17</v>
      </c>
      <c r="K670" s="0" t="s">
        <v>3362</v>
      </c>
      <c r="L670" s="0" t="s">
        <v>3401</v>
      </c>
      <c r="M670" s="0" t="s">
        <v>3402</v>
      </c>
      <c r="N670" s="0" t="s">
        <v>401</v>
      </c>
    </row>
    <row customHeight="1" ht="11.25">
      <c r="A671" s="7657" t="s">
        <v>2195</v>
      </c>
      <c r="B671" s="7657" t="s">
        <v>14</v>
      </c>
      <c r="C671" s="7657" t="s">
        <v>3729</v>
      </c>
      <c r="D671" s="7657" t="s">
        <v>3730</v>
      </c>
      <c r="E671" s="7657" t="s">
        <v>3731</v>
      </c>
      <c r="F671" s="7657" t="s">
        <v>2513</v>
      </c>
      <c r="G671" s="7657" t="s">
        <v>17</v>
      </c>
      <c r="H671" s="7657" t="s">
        <v>17</v>
      </c>
      <c r="I671" s="7657" t="s">
        <v>2426</v>
      </c>
      <c r="J671" s="0" t="s">
        <v>17</v>
      </c>
      <c r="K671" s="0" t="s">
        <v>3365</v>
      </c>
      <c r="L671" s="0" t="s">
        <v>3401</v>
      </c>
      <c r="M671" s="0" t="s">
        <v>3402</v>
      </c>
      <c r="N671" s="0" t="s">
        <v>401</v>
      </c>
    </row>
    <row customHeight="1" ht="11.25">
      <c r="A672" s="7657" t="s">
        <v>2195</v>
      </c>
      <c r="B672" s="7657" t="s">
        <v>14</v>
      </c>
      <c r="C672" s="7657" t="s">
        <v>3732</v>
      </c>
      <c r="D672" s="7657" t="s">
        <v>3733</v>
      </c>
      <c r="E672" s="7657" t="s">
        <v>3734</v>
      </c>
      <c r="F672" s="7657" t="s">
        <v>2866</v>
      </c>
      <c r="G672" s="7657" t="s">
        <v>3735</v>
      </c>
      <c r="H672" s="7657" t="s">
        <v>17</v>
      </c>
      <c r="I672" s="7657" t="s">
        <v>3735</v>
      </c>
      <c r="J672" s="0" t="s">
        <v>17</v>
      </c>
      <c r="K672" s="0" t="s">
        <v>3362</v>
      </c>
      <c r="L672" s="0" t="s">
        <v>3363</v>
      </c>
      <c r="M672" s="0" t="s">
        <v>3364</v>
      </c>
      <c r="N672" s="0" t="s">
        <v>401</v>
      </c>
    </row>
    <row customHeight="1" ht="11.25">
      <c r="A673" s="7657" t="s">
        <v>2195</v>
      </c>
      <c r="B673" s="7657" t="s">
        <v>14</v>
      </c>
      <c r="C673" s="7657" t="s">
        <v>3732</v>
      </c>
      <c r="D673" s="7657" t="s">
        <v>3733</v>
      </c>
      <c r="E673" s="7657" t="s">
        <v>3734</v>
      </c>
      <c r="F673" s="7657" t="s">
        <v>2866</v>
      </c>
      <c r="G673" s="7657" t="s">
        <v>3735</v>
      </c>
      <c r="H673" s="7657" t="s">
        <v>17</v>
      </c>
      <c r="I673" s="7657" t="s">
        <v>3735</v>
      </c>
      <c r="J673" s="0" t="s">
        <v>17</v>
      </c>
      <c r="K673" s="0" t="s">
        <v>3365</v>
      </c>
      <c r="L673" s="0" t="s">
        <v>3363</v>
      </c>
      <c r="M673" s="0" t="s">
        <v>3364</v>
      </c>
      <c r="N673" s="0" t="s">
        <v>401</v>
      </c>
    </row>
    <row customHeight="1" ht="11.25">
      <c r="A674" s="7657" t="s">
        <v>2195</v>
      </c>
      <c r="B674" s="7657" t="s">
        <v>14</v>
      </c>
      <c r="C674" s="7657" t="s">
        <v>2519</v>
      </c>
      <c r="D674" s="7657" t="s">
        <v>2520</v>
      </c>
      <c r="E674" s="7657" t="s">
        <v>2521</v>
      </c>
      <c r="F674" s="7657" t="s">
        <v>2206</v>
      </c>
      <c r="G674" s="7657" t="s">
        <v>2522</v>
      </c>
      <c r="H674" s="7657" t="s">
        <v>17</v>
      </c>
      <c r="I674" s="7657" t="s">
        <v>2523</v>
      </c>
      <c r="J674" s="0" t="s">
        <v>17</v>
      </c>
      <c r="K674" s="0" t="s">
        <v>3362</v>
      </c>
      <c r="L674" s="0" t="s">
        <v>3363</v>
      </c>
      <c r="M674" s="0" t="s">
        <v>3364</v>
      </c>
      <c r="N674" s="0" t="s">
        <v>401</v>
      </c>
    </row>
    <row customHeight="1" ht="11.25">
      <c r="A675" s="7657" t="s">
        <v>2195</v>
      </c>
      <c r="B675" s="7657" t="s">
        <v>14</v>
      </c>
      <c r="C675" s="7657" t="s">
        <v>2519</v>
      </c>
      <c r="D675" s="7657" t="s">
        <v>2520</v>
      </c>
      <c r="E675" s="7657" t="s">
        <v>2521</v>
      </c>
      <c r="F675" s="7657" t="s">
        <v>2206</v>
      </c>
      <c r="G675" s="7657" t="s">
        <v>2522</v>
      </c>
      <c r="H675" s="7657" t="s">
        <v>17</v>
      </c>
      <c r="I675" s="7657" t="s">
        <v>2523</v>
      </c>
      <c r="J675" s="0" t="s">
        <v>17</v>
      </c>
      <c r="K675" s="0" t="s">
        <v>3365</v>
      </c>
      <c r="L675" s="0" t="s">
        <v>3363</v>
      </c>
      <c r="M675" s="0" t="s">
        <v>3364</v>
      </c>
      <c r="N675" s="0" t="s">
        <v>401</v>
      </c>
    </row>
    <row customHeight="1" ht="11.25">
      <c r="A676" s="7657" t="s">
        <v>2195</v>
      </c>
      <c r="B676" s="7657" t="s">
        <v>14</v>
      </c>
      <c r="C676" s="7657" t="s">
        <v>2524</v>
      </c>
      <c r="D676" s="7657" t="s">
        <v>2525</v>
      </c>
      <c r="E676" s="7657" t="s">
        <v>2526</v>
      </c>
      <c r="F676" s="7657" t="s">
        <v>2527</v>
      </c>
      <c r="G676" s="7657" t="s">
        <v>2528</v>
      </c>
      <c r="H676" s="7657" t="s">
        <v>17</v>
      </c>
      <c r="I676" s="7657" t="s">
        <v>3736</v>
      </c>
      <c r="J676" s="0" t="s">
        <v>17</v>
      </c>
      <c r="K676" s="0" t="s">
        <v>3362</v>
      </c>
      <c r="L676" s="0" t="s">
        <v>3434</v>
      </c>
      <c r="M676" s="0" t="s">
        <v>3435</v>
      </c>
      <c r="N676" s="0" t="s">
        <v>401</v>
      </c>
    </row>
    <row customHeight="1" ht="11.25">
      <c r="A677" s="7657" t="s">
        <v>2195</v>
      </c>
      <c r="B677" s="7657" t="s">
        <v>14</v>
      </c>
      <c r="C677" s="7657" t="s">
        <v>3737</v>
      </c>
      <c r="D677" s="7657" t="s">
        <v>3738</v>
      </c>
      <c r="E677" s="7657" t="s">
        <v>3739</v>
      </c>
      <c r="F677" s="7657" t="s">
        <v>2478</v>
      </c>
      <c r="G677" s="7657" t="s">
        <v>3740</v>
      </c>
      <c r="H677" s="7657" t="s">
        <v>17</v>
      </c>
      <c r="I677" s="7657" t="s">
        <v>3741</v>
      </c>
      <c r="J677" s="0" t="s">
        <v>17</v>
      </c>
      <c r="K677" s="0" t="s">
        <v>3362</v>
      </c>
      <c r="L677" s="0" t="s">
        <v>3363</v>
      </c>
      <c r="M677" s="0" t="s">
        <v>3364</v>
      </c>
      <c r="N677" s="0" t="s">
        <v>401</v>
      </c>
    </row>
    <row customHeight="1" ht="11.25">
      <c r="A678" s="7657" t="s">
        <v>2195</v>
      </c>
      <c r="B678" s="7657" t="s">
        <v>14</v>
      </c>
      <c r="C678" s="7657" t="s">
        <v>3737</v>
      </c>
      <c r="D678" s="7657" t="s">
        <v>3738</v>
      </c>
      <c r="E678" s="7657" t="s">
        <v>3739</v>
      </c>
      <c r="F678" s="7657" t="s">
        <v>2478</v>
      </c>
      <c r="G678" s="7657" t="s">
        <v>3740</v>
      </c>
      <c r="H678" s="7657" t="s">
        <v>17</v>
      </c>
      <c r="I678" s="7657" t="s">
        <v>3741</v>
      </c>
      <c r="J678" s="0" t="s">
        <v>17</v>
      </c>
      <c r="K678" s="0" t="s">
        <v>3365</v>
      </c>
      <c r="L678" s="0" t="s">
        <v>3363</v>
      </c>
      <c r="M678" s="0" t="s">
        <v>3364</v>
      </c>
      <c r="N678" s="0" t="s">
        <v>401</v>
      </c>
    </row>
    <row customHeight="1" ht="11.25">
      <c r="A679" s="7657" t="s">
        <v>2195</v>
      </c>
      <c r="B679" s="7657" t="s">
        <v>14</v>
      </c>
      <c r="C679" s="7657" t="s">
        <v>3742</v>
      </c>
      <c r="D679" s="7657" t="s">
        <v>3743</v>
      </c>
      <c r="E679" s="7657" t="s">
        <v>3744</v>
      </c>
      <c r="F679" s="7657" t="s">
        <v>2388</v>
      </c>
      <c r="G679" s="7657" t="s">
        <v>3745</v>
      </c>
      <c r="H679" s="7657" t="s">
        <v>17</v>
      </c>
      <c r="I679" s="7657" t="s">
        <v>2208</v>
      </c>
      <c r="J679" s="0" t="s">
        <v>17</v>
      </c>
      <c r="K679" s="0" t="s">
        <v>3362</v>
      </c>
      <c r="L679" s="0" t="s">
        <v>3363</v>
      </c>
      <c r="M679" s="0" t="s">
        <v>3364</v>
      </c>
      <c r="N679" s="0" t="s">
        <v>401</v>
      </c>
    </row>
    <row customHeight="1" ht="11.25">
      <c r="A680" s="7657" t="s">
        <v>2195</v>
      </c>
      <c r="B680" s="7657" t="s">
        <v>14</v>
      </c>
      <c r="C680" s="7657" t="s">
        <v>3742</v>
      </c>
      <c r="D680" s="7657" t="s">
        <v>3743</v>
      </c>
      <c r="E680" s="7657" t="s">
        <v>3744</v>
      </c>
      <c r="F680" s="7657" t="s">
        <v>2388</v>
      </c>
      <c r="G680" s="7657" t="s">
        <v>3745</v>
      </c>
      <c r="H680" s="7657" t="s">
        <v>17</v>
      </c>
      <c r="I680" s="7657" t="s">
        <v>2208</v>
      </c>
      <c r="J680" s="0" t="s">
        <v>17</v>
      </c>
      <c r="K680" s="0" t="s">
        <v>3365</v>
      </c>
      <c r="L680" s="0" t="s">
        <v>3363</v>
      </c>
      <c r="M680" s="0" t="s">
        <v>3364</v>
      </c>
      <c r="N680" s="0" t="s">
        <v>401</v>
      </c>
    </row>
    <row customHeight="1" ht="11.25">
      <c r="A681" s="7657" t="s">
        <v>2195</v>
      </c>
      <c r="B681" s="7657" t="s">
        <v>14</v>
      </c>
      <c r="C681" s="7657" t="s">
        <v>3746</v>
      </c>
      <c r="D681" s="7657" t="s">
        <v>3747</v>
      </c>
      <c r="E681" s="7657" t="s">
        <v>3748</v>
      </c>
      <c r="F681" s="7657" t="s">
        <v>2478</v>
      </c>
      <c r="G681" s="7657" t="s">
        <v>3749</v>
      </c>
      <c r="H681" s="7657" t="s">
        <v>17</v>
      </c>
      <c r="I681" s="7657" t="s">
        <v>3750</v>
      </c>
      <c r="J681" s="0" t="s">
        <v>17</v>
      </c>
      <c r="K681" s="0" t="s">
        <v>3362</v>
      </c>
      <c r="L681" s="0" t="s">
        <v>3401</v>
      </c>
      <c r="M681" s="0" t="s">
        <v>3402</v>
      </c>
      <c r="N681" s="0" t="s">
        <v>401</v>
      </c>
    </row>
    <row customHeight="1" ht="11.25">
      <c r="A682" s="7657" t="s">
        <v>2195</v>
      </c>
      <c r="B682" s="7657" t="s">
        <v>14</v>
      </c>
      <c r="C682" s="7657" t="s">
        <v>3746</v>
      </c>
      <c r="D682" s="7657" t="s">
        <v>3747</v>
      </c>
      <c r="E682" s="7657" t="s">
        <v>3748</v>
      </c>
      <c r="F682" s="7657" t="s">
        <v>2478</v>
      </c>
      <c r="G682" s="7657" t="s">
        <v>3749</v>
      </c>
      <c r="H682" s="7657" t="s">
        <v>17</v>
      </c>
      <c r="I682" s="7657" t="s">
        <v>3750</v>
      </c>
      <c r="J682" s="0" t="s">
        <v>17</v>
      </c>
      <c r="K682" s="0" t="s">
        <v>3365</v>
      </c>
      <c r="L682" s="0" t="s">
        <v>3401</v>
      </c>
      <c r="M682" s="0" t="s">
        <v>3402</v>
      </c>
      <c r="N682" s="0" t="s">
        <v>401</v>
      </c>
    </row>
    <row customHeight="1" ht="11.25">
      <c r="A683" s="7657" t="s">
        <v>2195</v>
      </c>
      <c r="B683" s="7657" t="s">
        <v>14</v>
      </c>
      <c r="C683" s="7657" t="s">
        <v>3751</v>
      </c>
      <c r="D683" s="7657" t="s">
        <v>3752</v>
      </c>
      <c r="E683" s="7657" t="s">
        <v>3753</v>
      </c>
      <c r="F683" s="7657" t="s">
        <v>3754</v>
      </c>
      <c r="G683" s="7657" t="s">
        <v>2228</v>
      </c>
      <c r="H683" s="7657" t="s">
        <v>17</v>
      </c>
      <c r="I683" s="7657" t="s">
        <v>2228</v>
      </c>
      <c r="J683" s="0" t="s">
        <v>17</v>
      </c>
      <c r="K683" s="0" t="s">
        <v>3362</v>
      </c>
      <c r="L683" s="0" t="s">
        <v>3401</v>
      </c>
      <c r="M683" s="0" t="s">
        <v>3402</v>
      </c>
      <c r="N683" s="0" t="s">
        <v>401</v>
      </c>
    </row>
    <row customHeight="1" ht="11.25">
      <c r="A684" s="7657" t="s">
        <v>2195</v>
      </c>
      <c r="B684" s="7657" t="s">
        <v>14</v>
      </c>
      <c r="C684" s="7657" t="s">
        <v>3751</v>
      </c>
      <c r="D684" s="7657" t="s">
        <v>3752</v>
      </c>
      <c r="E684" s="7657" t="s">
        <v>3753</v>
      </c>
      <c r="F684" s="7657" t="s">
        <v>3754</v>
      </c>
      <c r="G684" s="7657" t="s">
        <v>2228</v>
      </c>
      <c r="H684" s="7657" t="s">
        <v>17</v>
      </c>
      <c r="I684" s="7657" t="s">
        <v>2228</v>
      </c>
      <c r="J684" s="0" t="s">
        <v>17</v>
      </c>
      <c r="K684" s="0" t="s">
        <v>3365</v>
      </c>
      <c r="L684" s="0" t="s">
        <v>3401</v>
      </c>
      <c r="M684" s="0" t="s">
        <v>3402</v>
      </c>
      <c r="N684" s="0" t="s">
        <v>401</v>
      </c>
    </row>
    <row customHeight="1" ht="11.25">
      <c r="A685" s="7657" t="s">
        <v>2195</v>
      </c>
      <c r="B685" s="7657" t="s">
        <v>14</v>
      </c>
      <c r="C685" s="7657" t="s">
        <v>3755</v>
      </c>
      <c r="D685" s="7657" t="s">
        <v>3756</v>
      </c>
      <c r="E685" s="7657" t="s">
        <v>3757</v>
      </c>
      <c r="F685" s="7657" t="s">
        <v>2478</v>
      </c>
      <c r="G685" s="7657" t="s">
        <v>3758</v>
      </c>
      <c r="H685" s="7657" t="s">
        <v>17</v>
      </c>
      <c r="I685" s="7657" t="s">
        <v>3759</v>
      </c>
      <c r="J685" s="0" t="s">
        <v>17</v>
      </c>
      <c r="K685" s="0" t="s">
        <v>3362</v>
      </c>
      <c r="L685" s="0" t="s">
        <v>3401</v>
      </c>
      <c r="M685" s="0" t="s">
        <v>3402</v>
      </c>
      <c r="N685" s="0" t="s">
        <v>401</v>
      </c>
    </row>
    <row customHeight="1" ht="11.25">
      <c r="A686" s="7657" t="s">
        <v>2195</v>
      </c>
      <c r="B686" s="7657" t="s">
        <v>14</v>
      </c>
      <c r="C686" s="7657" t="s">
        <v>3755</v>
      </c>
      <c r="D686" s="7657" t="s">
        <v>3756</v>
      </c>
      <c r="E686" s="7657" t="s">
        <v>3757</v>
      </c>
      <c r="F686" s="7657" t="s">
        <v>2478</v>
      </c>
      <c r="G686" s="7657" t="s">
        <v>3758</v>
      </c>
      <c r="H686" s="7657" t="s">
        <v>17</v>
      </c>
      <c r="I686" s="7657" t="s">
        <v>3759</v>
      </c>
      <c r="J686" s="0" t="s">
        <v>17</v>
      </c>
      <c r="K686" s="0" t="s">
        <v>3365</v>
      </c>
      <c r="L686" s="0" t="s">
        <v>3401</v>
      </c>
      <c r="M686" s="0" t="s">
        <v>3402</v>
      </c>
      <c r="N686" s="0" t="s">
        <v>401</v>
      </c>
    </row>
    <row customHeight="1" ht="11.25">
      <c r="A687" s="7657" t="s">
        <v>2195</v>
      </c>
      <c r="B687" s="7657" t="s">
        <v>14</v>
      </c>
      <c r="C687" s="7657" t="s">
        <v>2530</v>
      </c>
      <c r="D687" s="7657" t="s">
        <v>2531</v>
      </c>
      <c r="E687" s="7657" t="s">
        <v>2532</v>
      </c>
      <c r="F687" s="7657" t="s">
        <v>2321</v>
      </c>
      <c r="G687" s="7657" t="s">
        <v>2533</v>
      </c>
      <c r="H687" s="7657" t="s">
        <v>17</v>
      </c>
      <c r="I687" s="7657" t="s">
        <v>2534</v>
      </c>
      <c r="J687" s="0" t="s">
        <v>17</v>
      </c>
      <c r="K687" s="0" t="s">
        <v>3362</v>
      </c>
      <c r="L687" s="0" t="s">
        <v>3363</v>
      </c>
      <c r="M687" s="0" t="s">
        <v>3364</v>
      </c>
      <c r="N687" s="0" t="s">
        <v>401</v>
      </c>
    </row>
    <row customHeight="1" ht="11.25">
      <c r="A688" s="7657" t="s">
        <v>2195</v>
      </c>
      <c r="B688" s="7657" t="s">
        <v>14</v>
      </c>
      <c r="C688" s="7657" t="s">
        <v>2530</v>
      </c>
      <c r="D688" s="7657" t="s">
        <v>2531</v>
      </c>
      <c r="E688" s="7657" t="s">
        <v>2532</v>
      </c>
      <c r="F688" s="7657" t="s">
        <v>2321</v>
      </c>
      <c r="G688" s="7657" t="s">
        <v>2533</v>
      </c>
      <c r="H688" s="7657" t="s">
        <v>17</v>
      </c>
      <c r="I688" s="7657" t="s">
        <v>2534</v>
      </c>
      <c r="J688" s="0" t="s">
        <v>17</v>
      </c>
      <c r="K688" s="0" t="s">
        <v>3365</v>
      </c>
      <c r="L688" s="0" t="s">
        <v>3363</v>
      </c>
      <c r="M688" s="0" t="s">
        <v>3364</v>
      </c>
      <c r="N688" s="0" t="s">
        <v>401</v>
      </c>
    </row>
    <row customHeight="1" ht="11.25">
      <c r="A689" s="7657" t="s">
        <v>2195</v>
      </c>
      <c r="B689" s="7657" t="s">
        <v>14</v>
      </c>
      <c r="C689" s="7657" t="s">
        <v>3760</v>
      </c>
      <c r="D689" s="7657" t="s">
        <v>3761</v>
      </c>
      <c r="E689" s="7657" t="s">
        <v>3762</v>
      </c>
      <c r="F689" s="7657" t="s">
        <v>2719</v>
      </c>
      <c r="G689" s="7657" t="s">
        <v>3763</v>
      </c>
      <c r="H689" s="7657" t="s">
        <v>17</v>
      </c>
      <c r="I689" s="7657" t="s">
        <v>3764</v>
      </c>
      <c r="J689" s="0" t="s">
        <v>17</v>
      </c>
      <c r="K689" s="0" t="s">
        <v>3362</v>
      </c>
      <c r="L689" s="0" t="s">
        <v>3363</v>
      </c>
      <c r="M689" s="0" t="s">
        <v>3364</v>
      </c>
      <c r="N689" s="0" t="s">
        <v>401</v>
      </c>
    </row>
    <row customHeight="1" ht="11.25">
      <c r="A690" s="7657" t="s">
        <v>2195</v>
      </c>
      <c r="B690" s="7657" t="s">
        <v>14</v>
      </c>
      <c r="C690" s="7657" t="s">
        <v>3760</v>
      </c>
      <c r="D690" s="7657" t="s">
        <v>3761</v>
      </c>
      <c r="E690" s="7657" t="s">
        <v>3762</v>
      </c>
      <c r="F690" s="7657" t="s">
        <v>2719</v>
      </c>
      <c r="G690" s="7657" t="s">
        <v>3763</v>
      </c>
      <c r="H690" s="7657" t="s">
        <v>17</v>
      </c>
      <c r="I690" s="7657" t="s">
        <v>3764</v>
      </c>
      <c r="J690" s="0" t="s">
        <v>17</v>
      </c>
      <c r="K690" s="0" t="s">
        <v>3365</v>
      </c>
      <c r="L690" s="0" t="s">
        <v>3363</v>
      </c>
      <c r="M690" s="0" t="s">
        <v>3364</v>
      </c>
      <c r="N690" s="0" t="s">
        <v>401</v>
      </c>
    </row>
    <row customHeight="1" ht="11.25">
      <c r="A691" s="7657" t="s">
        <v>2195</v>
      </c>
      <c r="B691" s="7657" t="s">
        <v>14</v>
      </c>
      <c r="C691" s="7657" t="s">
        <v>2535</v>
      </c>
      <c r="D691" s="7657" t="s">
        <v>2536</v>
      </c>
      <c r="E691" s="7657" t="s">
        <v>2537</v>
      </c>
      <c r="F691" s="7657" t="s">
        <v>2478</v>
      </c>
      <c r="G691" s="7657" t="s">
        <v>2538</v>
      </c>
      <c r="H691" s="7657" t="s">
        <v>17</v>
      </c>
      <c r="I691" s="7657" t="s">
        <v>3765</v>
      </c>
      <c r="J691" s="0" t="s">
        <v>17</v>
      </c>
      <c r="K691" s="0" t="s">
        <v>3362</v>
      </c>
      <c r="L691" s="0" t="s">
        <v>3401</v>
      </c>
      <c r="M691" s="0" t="s">
        <v>3402</v>
      </c>
      <c r="N691" s="0" t="s">
        <v>401</v>
      </c>
    </row>
    <row customHeight="1" ht="11.25">
      <c r="A692" s="7657" t="s">
        <v>2195</v>
      </c>
      <c r="B692" s="7657" t="s">
        <v>14</v>
      </c>
      <c r="C692" s="7657" t="s">
        <v>2535</v>
      </c>
      <c r="D692" s="7657" t="s">
        <v>2536</v>
      </c>
      <c r="E692" s="7657" t="s">
        <v>2537</v>
      </c>
      <c r="F692" s="7657" t="s">
        <v>2478</v>
      </c>
      <c r="G692" s="7657" t="s">
        <v>2538</v>
      </c>
      <c r="H692" s="7657" t="s">
        <v>17</v>
      </c>
      <c r="I692" s="7657" t="s">
        <v>3765</v>
      </c>
      <c r="J692" s="0" t="s">
        <v>17</v>
      </c>
      <c r="K692" s="0" t="s">
        <v>3365</v>
      </c>
      <c r="L692" s="0" t="s">
        <v>3401</v>
      </c>
      <c r="M692" s="0" t="s">
        <v>3402</v>
      </c>
      <c r="N692" s="0" t="s">
        <v>401</v>
      </c>
    </row>
    <row customHeight="1" ht="11.25">
      <c r="A693" s="7657" t="s">
        <v>2195</v>
      </c>
      <c r="B693" s="7657" t="s">
        <v>14</v>
      </c>
      <c r="C693" s="7657" t="s">
        <v>3766</v>
      </c>
      <c r="D693" s="7657" t="s">
        <v>3767</v>
      </c>
      <c r="E693" s="7657" t="s">
        <v>3768</v>
      </c>
      <c r="F693" s="7657" t="s">
        <v>3754</v>
      </c>
      <c r="G693" s="7657" t="s">
        <v>3769</v>
      </c>
      <c r="H693" s="7657" t="s">
        <v>17</v>
      </c>
      <c r="I693" s="7657" t="s">
        <v>3769</v>
      </c>
      <c r="J693" s="0" t="s">
        <v>17</v>
      </c>
      <c r="K693" s="0" t="s">
        <v>3362</v>
      </c>
      <c r="L693" s="0" t="s">
        <v>3401</v>
      </c>
      <c r="M693" s="0" t="s">
        <v>3402</v>
      </c>
      <c r="N693" s="0" t="s">
        <v>401</v>
      </c>
    </row>
    <row customHeight="1" ht="11.25">
      <c r="A694" s="7657" t="s">
        <v>2195</v>
      </c>
      <c r="B694" s="7657" t="s">
        <v>14</v>
      </c>
      <c r="C694" s="7657" t="s">
        <v>3766</v>
      </c>
      <c r="D694" s="7657" t="s">
        <v>3767</v>
      </c>
      <c r="E694" s="7657" t="s">
        <v>3768</v>
      </c>
      <c r="F694" s="7657" t="s">
        <v>3754</v>
      </c>
      <c r="G694" s="7657" t="s">
        <v>3769</v>
      </c>
      <c r="H694" s="7657" t="s">
        <v>17</v>
      </c>
      <c r="I694" s="7657" t="s">
        <v>3769</v>
      </c>
      <c r="J694" s="0" t="s">
        <v>17</v>
      </c>
      <c r="K694" s="0" t="s">
        <v>3365</v>
      </c>
      <c r="L694" s="0" t="s">
        <v>3401</v>
      </c>
      <c r="M694" s="0" t="s">
        <v>3402</v>
      </c>
      <c r="N694" s="0" t="s">
        <v>401</v>
      </c>
    </row>
    <row customHeight="1" ht="11.25">
      <c r="A695" s="7657" t="s">
        <v>2195</v>
      </c>
      <c r="B695" s="7657" t="s">
        <v>14</v>
      </c>
      <c r="C695" s="7657" t="s">
        <v>2539</v>
      </c>
      <c r="D695" s="7657" t="s">
        <v>2540</v>
      </c>
      <c r="E695" s="7657" t="s">
        <v>2541</v>
      </c>
      <c r="F695" s="7657" t="s">
        <v>2542</v>
      </c>
      <c r="G695" s="7657" t="s">
        <v>2543</v>
      </c>
      <c r="H695" s="7657" t="s">
        <v>17</v>
      </c>
      <c r="I695" s="7657" t="s">
        <v>3770</v>
      </c>
      <c r="J695" s="0" t="s">
        <v>17</v>
      </c>
      <c r="K695" s="0" t="s">
        <v>3362</v>
      </c>
      <c r="L695" s="0" t="s">
        <v>3394</v>
      </c>
      <c r="M695" s="0" t="s">
        <v>3471</v>
      </c>
      <c r="N695" s="0" t="s">
        <v>401</v>
      </c>
    </row>
    <row customHeight="1" ht="11.25">
      <c r="A696" s="7657" t="s">
        <v>2195</v>
      </c>
      <c r="B696" s="7657" t="s">
        <v>14</v>
      </c>
      <c r="C696" s="7657" t="s">
        <v>2539</v>
      </c>
      <c r="D696" s="7657" t="s">
        <v>2540</v>
      </c>
      <c r="E696" s="7657" t="s">
        <v>2541</v>
      </c>
      <c r="F696" s="7657" t="s">
        <v>2542</v>
      </c>
      <c r="G696" s="7657" t="s">
        <v>2543</v>
      </c>
      <c r="H696" s="7657" t="s">
        <v>17</v>
      </c>
      <c r="I696" s="7657" t="s">
        <v>3771</v>
      </c>
      <c r="J696" s="0" t="s">
        <v>17</v>
      </c>
      <c r="K696" s="0" t="s">
        <v>3365</v>
      </c>
      <c r="L696" s="0" t="s">
        <v>3374</v>
      </c>
      <c r="M696" s="0" t="s">
        <v>3772</v>
      </c>
      <c r="N696" s="0" t="s">
        <v>401</v>
      </c>
    </row>
    <row customHeight="1" ht="11.25">
      <c r="A697" s="7657" t="s">
        <v>2195</v>
      </c>
      <c r="B697" s="7657" t="s">
        <v>14</v>
      </c>
      <c r="C697" s="7657" t="s">
        <v>2539</v>
      </c>
      <c r="D697" s="7657" t="s">
        <v>2540</v>
      </c>
      <c r="E697" s="7657" t="s">
        <v>2541</v>
      </c>
      <c r="F697" s="7657" t="s">
        <v>2542</v>
      </c>
      <c r="G697" s="7657" t="s">
        <v>2543</v>
      </c>
      <c r="H697" s="7657" t="s">
        <v>17</v>
      </c>
      <c r="I697" s="7657" t="s">
        <v>3773</v>
      </c>
      <c r="J697" s="0" t="s">
        <v>17</v>
      </c>
      <c r="K697" s="0" t="s">
        <v>3362</v>
      </c>
      <c r="L697" s="0" t="s">
        <v>3401</v>
      </c>
      <c r="M697" s="0" t="s">
        <v>3402</v>
      </c>
      <c r="N697" s="0" t="s">
        <v>401</v>
      </c>
    </row>
    <row customHeight="1" ht="11.25">
      <c r="A698" s="7657" t="s">
        <v>2195</v>
      </c>
      <c r="B698" s="7657" t="s">
        <v>14</v>
      </c>
      <c r="C698" s="7657" t="s">
        <v>2539</v>
      </c>
      <c r="D698" s="7657" t="s">
        <v>2540</v>
      </c>
      <c r="E698" s="7657" t="s">
        <v>2541</v>
      </c>
      <c r="F698" s="7657" t="s">
        <v>2542</v>
      </c>
      <c r="G698" s="7657" t="s">
        <v>2543</v>
      </c>
      <c r="H698" s="7657" t="s">
        <v>17</v>
      </c>
      <c r="I698" s="7657" t="s">
        <v>3773</v>
      </c>
      <c r="J698" s="0" t="s">
        <v>17</v>
      </c>
      <c r="K698" s="0" t="s">
        <v>3365</v>
      </c>
      <c r="L698" s="0" t="s">
        <v>3401</v>
      </c>
      <c r="M698" s="0" t="s">
        <v>3402</v>
      </c>
      <c r="N698" s="0" t="s">
        <v>401</v>
      </c>
    </row>
    <row customHeight="1" ht="11.25">
      <c r="A699" s="7657" t="s">
        <v>2195</v>
      </c>
      <c r="B699" s="7657" t="s">
        <v>14</v>
      </c>
      <c r="C699" s="7657" t="s">
        <v>2539</v>
      </c>
      <c r="D699" s="7657" t="s">
        <v>2540</v>
      </c>
      <c r="E699" s="7657" t="s">
        <v>2541</v>
      </c>
      <c r="F699" s="7657" t="s">
        <v>2542</v>
      </c>
      <c r="G699" s="7657" t="s">
        <v>2543</v>
      </c>
      <c r="H699" s="7657" t="s">
        <v>17</v>
      </c>
      <c r="I699" s="7657" t="s">
        <v>3774</v>
      </c>
      <c r="J699" s="0" t="s">
        <v>17</v>
      </c>
      <c r="K699" s="0" t="s">
        <v>3362</v>
      </c>
      <c r="L699" s="0" t="s">
        <v>3394</v>
      </c>
      <c r="M699" s="0" t="s">
        <v>3471</v>
      </c>
      <c r="N699" s="0" t="s">
        <v>401</v>
      </c>
    </row>
    <row customHeight="1" ht="11.25">
      <c r="A700" s="7657" t="s">
        <v>2195</v>
      </c>
      <c r="B700" s="7657" t="s">
        <v>14</v>
      </c>
      <c r="C700" s="7657" t="s">
        <v>2539</v>
      </c>
      <c r="D700" s="7657" t="s">
        <v>2540</v>
      </c>
      <c r="E700" s="7657" t="s">
        <v>2541</v>
      </c>
      <c r="F700" s="7657" t="s">
        <v>2542</v>
      </c>
      <c r="G700" s="7657" t="s">
        <v>2543</v>
      </c>
      <c r="H700" s="7657" t="s">
        <v>17</v>
      </c>
      <c r="I700" s="7657" t="s">
        <v>3775</v>
      </c>
      <c r="J700" s="0" t="s">
        <v>17</v>
      </c>
      <c r="K700" s="0" t="s">
        <v>3362</v>
      </c>
      <c r="L700" s="0" t="s">
        <v>3363</v>
      </c>
      <c r="M700" s="0" t="s">
        <v>3364</v>
      </c>
      <c r="N700" s="0" t="s">
        <v>401</v>
      </c>
    </row>
    <row customHeight="1" ht="11.25">
      <c r="A701" s="7657" t="s">
        <v>2195</v>
      </c>
      <c r="B701" s="7657" t="s">
        <v>14</v>
      </c>
      <c r="C701" s="7657" t="s">
        <v>2539</v>
      </c>
      <c r="D701" s="7657" t="s">
        <v>2540</v>
      </c>
      <c r="E701" s="7657" t="s">
        <v>2541</v>
      </c>
      <c r="F701" s="7657" t="s">
        <v>2542</v>
      </c>
      <c r="G701" s="7657" t="s">
        <v>2543</v>
      </c>
      <c r="H701" s="7657" t="s">
        <v>17</v>
      </c>
      <c r="I701" s="7657" t="s">
        <v>3775</v>
      </c>
      <c r="J701" s="0" t="s">
        <v>17</v>
      </c>
      <c r="K701" s="0" t="s">
        <v>3365</v>
      </c>
      <c r="L701" s="0" t="s">
        <v>3363</v>
      </c>
      <c r="M701" s="0" t="s">
        <v>3364</v>
      </c>
      <c r="N701" s="0" t="s">
        <v>401</v>
      </c>
    </row>
    <row customHeight="1" ht="11.25">
      <c r="A702" s="7657" t="s">
        <v>2195</v>
      </c>
      <c r="B702" s="7657" t="s">
        <v>14</v>
      </c>
      <c r="C702" s="7657" t="s">
        <v>3776</v>
      </c>
      <c r="D702" s="7657" t="s">
        <v>3777</v>
      </c>
      <c r="E702" s="7657" t="s">
        <v>3778</v>
      </c>
      <c r="F702" s="7657" t="s">
        <v>2321</v>
      </c>
      <c r="G702" s="7657" t="s">
        <v>3779</v>
      </c>
      <c r="H702" s="7657" t="s">
        <v>17</v>
      </c>
      <c r="I702" s="7657" t="s">
        <v>2228</v>
      </c>
      <c r="J702" s="0" t="s">
        <v>17</v>
      </c>
      <c r="K702" s="0" t="s">
        <v>3362</v>
      </c>
      <c r="L702" s="0" t="s">
        <v>3363</v>
      </c>
      <c r="M702" s="0" t="s">
        <v>3364</v>
      </c>
      <c r="N702" s="0" t="s">
        <v>401</v>
      </c>
    </row>
    <row customHeight="1" ht="11.25">
      <c r="A703" s="7657" t="s">
        <v>2195</v>
      </c>
      <c r="B703" s="7657" t="s">
        <v>14</v>
      </c>
      <c r="C703" s="7657" t="s">
        <v>3776</v>
      </c>
      <c r="D703" s="7657" t="s">
        <v>3777</v>
      </c>
      <c r="E703" s="7657" t="s">
        <v>3778</v>
      </c>
      <c r="F703" s="7657" t="s">
        <v>2321</v>
      </c>
      <c r="G703" s="7657" t="s">
        <v>3779</v>
      </c>
      <c r="H703" s="7657" t="s">
        <v>17</v>
      </c>
      <c r="I703" s="7657" t="s">
        <v>2228</v>
      </c>
      <c r="J703" s="0" t="s">
        <v>17</v>
      </c>
      <c r="K703" s="0" t="s">
        <v>3365</v>
      </c>
      <c r="L703" s="0" t="s">
        <v>3363</v>
      </c>
      <c r="M703" s="0" t="s">
        <v>3364</v>
      </c>
      <c r="N703" s="0" t="s">
        <v>401</v>
      </c>
    </row>
    <row customHeight="1" ht="11.25">
      <c r="A704" s="7657" t="s">
        <v>2195</v>
      </c>
      <c r="B704" s="7657" t="s">
        <v>14</v>
      </c>
      <c r="C704" s="7657" t="s">
        <v>3776</v>
      </c>
      <c r="D704" s="7657" t="s">
        <v>3777</v>
      </c>
      <c r="E704" s="7657" t="s">
        <v>3778</v>
      </c>
      <c r="F704" s="7657" t="s">
        <v>2321</v>
      </c>
      <c r="G704" s="7657" t="s">
        <v>3779</v>
      </c>
      <c r="H704" s="7657" t="s">
        <v>17</v>
      </c>
      <c r="I704" s="7657" t="s">
        <v>2208</v>
      </c>
      <c r="J704" s="0" t="s">
        <v>17</v>
      </c>
      <c r="K704" s="0" t="s">
        <v>3362</v>
      </c>
      <c r="L704" s="0" t="s">
        <v>3363</v>
      </c>
      <c r="M704" s="0" t="s">
        <v>3364</v>
      </c>
      <c r="N704" s="0" t="s">
        <v>401</v>
      </c>
    </row>
    <row customHeight="1" ht="11.25">
      <c r="A705" s="7657" t="s">
        <v>2195</v>
      </c>
      <c r="B705" s="7657" t="s">
        <v>14</v>
      </c>
      <c r="C705" s="7657" t="s">
        <v>3776</v>
      </c>
      <c r="D705" s="7657" t="s">
        <v>3777</v>
      </c>
      <c r="E705" s="7657" t="s">
        <v>3778</v>
      </c>
      <c r="F705" s="7657" t="s">
        <v>2321</v>
      </c>
      <c r="G705" s="7657" t="s">
        <v>3779</v>
      </c>
      <c r="H705" s="7657" t="s">
        <v>17</v>
      </c>
      <c r="I705" s="7657" t="s">
        <v>2208</v>
      </c>
      <c r="J705" s="0" t="s">
        <v>17</v>
      </c>
      <c r="K705" s="0" t="s">
        <v>3365</v>
      </c>
      <c r="L705" s="0" t="s">
        <v>3363</v>
      </c>
      <c r="M705" s="0" t="s">
        <v>3364</v>
      </c>
      <c r="N705" s="0" t="s">
        <v>401</v>
      </c>
    </row>
    <row customHeight="1" ht="11.25">
      <c r="A706" s="7657" t="s">
        <v>2195</v>
      </c>
      <c r="B706" s="7657" t="s">
        <v>14</v>
      </c>
      <c r="C706" s="7657" t="s">
        <v>3776</v>
      </c>
      <c r="D706" s="7657" t="s">
        <v>3777</v>
      </c>
      <c r="E706" s="7657" t="s">
        <v>3778</v>
      </c>
      <c r="F706" s="7657" t="s">
        <v>2321</v>
      </c>
      <c r="G706" s="7657" t="s">
        <v>3779</v>
      </c>
      <c r="H706" s="7657" t="s">
        <v>17</v>
      </c>
      <c r="I706" s="7657" t="s">
        <v>3780</v>
      </c>
      <c r="J706" s="0" t="s">
        <v>17</v>
      </c>
      <c r="K706" s="0" t="s">
        <v>3362</v>
      </c>
      <c r="L706" s="0" t="s">
        <v>3401</v>
      </c>
      <c r="M706" s="0" t="s">
        <v>3402</v>
      </c>
      <c r="N706" s="0" t="s">
        <v>401</v>
      </c>
    </row>
    <row customHeight="1" ht="11.25">
      <c r="A707" s="7657" t="s">
        <v>2195</v>
      </c>
      <c r="B707" s="7657" t="s">
        <v>14</v>
      </c>
      <c r="C707" s="7657" t="s">
        <v>3776</v>
      </c>
      <c r="D707" s="7657" t="s">
        <v>3777</v>
      </c>
      <c r="E707" s="7657" t="s">
        <v>3778</v>
      </c>
      <c r="F707" s="7657" t="s">
        <v>2321</v>
      </c>
      <c r="G707" s="7657" t="s">
        <v>3779</v>
      </c>
      <c r="H707" s="7657" t="s">
        <v>17</v>
      </c>
      <c r="I707" s="7657" t="s">
        <v>3780</v>
      </c>
      <c r="J707" s="0" t="s">
        <v>17</v>
      </c>
      <c r="K707" s="0" t="s">
        <v>3365</v>
      </c>
      <c r="L707" s="0" t="s">
        <v>3401</v>
      </c>
      <c r="M707" s="0" t="s">
        <v>3402</v>
      </c>
      <c r="N707" s="0" t="s">
        <v>401</v>
      </c>
    </row>
    <row customHeight="1" ht="11.25">
      <c r="A708" s="7657" t="s">
        <v>2195</v>
      </c>
      <c r="B708" s="7657" t="s">
        <v>14</v>
      </c>
      <c r="C708" s="7657" t="s">
        <v>3776</v>
      </c>
      <c r="D708" s="7657" t="s">
        <v>3777</v>
      </c>
      <c r="E708" s="7657" t="s">
        <v>3778</v>
      </c>
      <c r="F708" s="7657" t="s">
        <v>2321</v>
      </c>
      <c r="G708" s="7657" t="s">
        <v>3779</v>
      </c>
      <c r="H708" s="7657" t="s">
        <v>17</v>
      </c>
      <c r="I708" s="7657" t="s">
        <v>3780</v>
      </c>
      <c r="J708" s="0" t="s">
        <v>17</v>
      </c>
      <c r="K708" s="0" t="s">
        <v>3362</v>
      </c>
      <c r="L708" s="0" t="s">
        <v>3391</v>
      </c>
      <c r="M708" s="0" t="s">
        <v>3392</v>
      </c>
      <c r="N708" s="0" t="s">
        <v>401</v>
      </c>
    </row>
    <row customHeight="1" ht="11.25">
      <c r="A709" s="7657" t="s">
        <v>2195</v>
      </c>
      <c r="B709" s="7657" t="s">
        <v>14</v>
      </c>
      <c r="C709" s="7657" t="s">
        <v>3776</v>
      </c>
      <c r="D709" s="7657" t="s">
        <v>3777</v>
      </c>
      <c r="E709" s="7657" t="s">
        <v>3778</v>
      </c>
      <c r="F709" s="7657" t="s">
        <v>2321</v>
      </c>
      <c r="G709" s="7657" t="s">
        <v>3779</v>
      </c>
      <c r="H709" s="7657" t="s">
        <v>17</v>
      </c>
      <c r="I709" s="7657" t="s">
        <v>3781</v>
      </c>
      <c r="J709" s="0" t="s">
        <v>17</v>
      </c>
      <c r="K709" s="0" t="s">
        <v>3362</v>
      </c>
      <c r="L709" s="0" t="s">
        <v>3386</v>
      </c>
      <c r="M709" s="0" t="s">
        <v>3387</v>
      </c>
      <c r="N709" s="0" t="s">
        <v>401</v>
      </c>
    </row>
    <row customHeight="1" ht="11.25">
      <c r="A710" s="7657" t="s">
        <v>2195</v>
      </c>
      <c r="B710" s="7657" t="s">
        <v>14</v>
      </c>
      <c r="C710" s="7657" t="s">
        <v>3782</v>
      </c>
      <c r="D710" s="7657" t="s">
        <v>3783</v>
      </c>
      <c r="E710" s="7657" t="s">
        <v>3784</v>
      </c>
      <c r="F710" s="7657" t="s">
        <v>2483</v>
      </c>
      <c r="G710" s="7657" t="s">
        <v>17</v>
      </c>
      <c r="H710" s="7657" t="s">
        <v>17</v>
      </c>
      <c r="I710" s="7657" t="s">
        <v>2426</v>
      </c>
      <c r="J710" s="0" t="s">
        <v>17</v>
      </c>
      <c r="K710" s="0" t="s">
        <v>3362</v>
      </c>
      <c r="L710" s="0" t="s">
        <v>3401</v>
      </c>
      <c r="M710" s="0" t="s">
        <v>3402</v>
      </c>
      <c r="N710" s="0" t="s">
        <v>401</v>
      </c>
    </row>
    <row customHeight="1" ht="11.25">
      <c r="A711" s="7657" t="s">
        <v>2195</v>
      </c>
      <c r="B711" s="7657" t="s">
        <v>14</v>
      </c>
      <c r="C711" s="7657" t="s">
        <v>3782</v>
      </c>
      <c r="D711" s="7657" t="s">
        <v>3783</v>
      </c>
      <c r="E711" s="7657" t="s">
        <v>3784</v>
      </c>
      <c r="F711" s="7657" t="s">
        <v>2483</v>
      </c>
      <c r="G711" s="7657" t="s">
        <v>17</v>
      </c>
      <c r="H711" s="7657" t="s">
        <v>17</v>
      </c>
      <c r="I711" s="7657" t="s">
        <v>2426</v>
      </c>
      <c r="J711" s="0" t="s">
        <v>17</v>
      </c>
      <c r="K711" s="0" t="s">
        <v>3365</v>
      </c>
      <c r="L711" s="0" t="s">
        <v>3401</v>
      </c>
      <c r="M711" s="0" t="s">
        <v>3402</v>
      </c>
      <c r="N711" s="0" t="s">
        <v>401</v>
      </c>
    </row>
    <row customHeight="1" ht="11.25">
      <c r="A712" s="7657" t="s">
        <v>2195</v>
      </c>
      <c r="B712" s="7657" t="s">
        <v>14</v>
      </c>
      <c r="C712" s="7657" t="s">
        <v>3785</v>
      </c>
      <c r="D712" s="7657" t="s">
        <v>3786</v>
      </c>
      <c r="E712" s="7657" t="s">
        <v>3787</v>
      </c>
      <c r="F712" s="7657" t="s">
        <v>2483</v>
      </c>
      <c r="G712" s="7657" t="s">
        <v>17</v>
      </c>
      <c r="H712" s="7657" t="s">
        <v>17</v>
      </c>
      <c r="I712" s="7657" t="s">
        <v>2534</v>
      </c>
      <c r="J712" s="0" t="s">
        <v>17</v>
      </c>
      <c r="K712" s="0" t="s">
        <v>3362</v>
      </c>
      <c r="L712" s="0" t="s">
        <v>3401</v>
      </c>
      <c r="M712" s="0" t="s">
        <v>3402</v>
      </c>
      <c r="N712" s="0" t="s">
        <v>401</v>
      </c>
    </row>
    <row customHeight="1" ht="11.25">
      <c r="A713" s="7657" t="s">
        <v>2195</v>
      </c>
      <c r="B713" s="7657" t="s">
        <v>14</v>
      </c>
      <c r="C713" s="7657" t="s">
        <v>3785</v>
      </c>
      <c r="D713" s="7657" t="s">
        <v>3786</v>
      </c>
      <c r="E713" s="7657" t="s">
        <v>3787</v>
      </c>
      <c r="F713" s="7657" t="s">
        <v>2483</v>
      </c>
      <c r="G713" s="7657" t="s">
        <v>17</v>
      </c>
      <c r="H713" s="7657" t="s">
        <v>17</v>
      </c>
      <c r="I713" s="7657" t="s">
        <v>2534</v>
      </c>
      <c r="J713" s="0" t="s">
        <v>17</v>
      </c>
      <c r="K713" s="0" t="s">
        <v>3365</v>
      </c>
      <c r="L713" s="0" t="s">
        <v>3401</v>
      </c>
      <c r="M713" s="0" t="s">
        <v>3402</v>
      </c>
      <c r="N713" s="0" t="s">
        <v>401</v>
      </c>
    </row>
    <row customHeight="1" ht="11.25">
      <c r="A714" s="7657" t="s">
        <v>2195</v>
      </c>
      <c r="B714" s="7657" t="s">
        <v>14</v>
      </c>
      <c r="C714" s="7657" t="s">
        <v>3788</v>
      </c>
      <c r="D714" s="7657" t="s">
        <v>3789</v>
      </c>
      <c r="E714" s="7657" t="s">
        <v>3790</v>
      </c>
      <c r="F714" s="7657" t="s">
        <v>2483</v>
      </c>
      <c r="G714" s="7657" t="s">
        <v>17</v>
      </c>
      <c r="H714" s="7657" t="s">
        <v>17</v>
      </c>
      <c r="I714" s="7657" t="s">
        <v>2534</v>
      </c>
      <c r="J714" s="0" t="s">
        <v>17</v>
      </c>
      <c r="K714" s="0" t="s">
        <v>3362</v>
      </c>
      <c r="L714" s="0" t="s">
        <v>3401</v>
      </c>
      <c r="M714" s="0" t="s">
        <v>3402</v>
      </c>
      <c r="N714" s="0" t="s">
        <v>401</v>
      </c>
    </row>
    <row customHeight="1" ht="11.25">
      <c r="A715" s="7657" t="s">
        <v>2195</v>
      </c>
      <c r="B715" s="7657" t="s">
        <v>14</v>
      </c>
      <c r="C715" s="7657" t="s">
        <v>3788</v>
      </c>
      <c r="D715" s="7657" t="s">
        <v>3789</v>
      </c>
      <c r="E715" s="7657" t="s">
        <v>3790</v>
      </c>
      <c r="F715" s="7657" t="s">
        <v>2483</v>
      </c>
      <c r="G715" s="7657" t="s">
        <v>17</v>
      </c>
      <c r="H715" s="7657" t="s">
        <v>17</v>
      </c>
      <c r="I715" s="7657" t="s">
        <v>2534</v>
      </c>
      <c r="J715" s="0" t="s">
        <v>17</v>
      </c>
      <c r="K715" s="0" t="s">
        <v>3365</v>
      </c>
      <c r="L715" s="0" t="s">
        <v>3401</v>
      </c>
      <c r="M715" s="0" t="s">
        <v>3402</v>
      </c>
      <c r="N715" s="0" t="s">
        <v>401</v>
      </c>
    </row>
    <row customHeight="1" ht="11.25">
      <c r="A716" s="7657" t="s">
        <v>2195</v>
      </c>
      <c r="B716" s="7657" t="s">
        <v>14</v>
      </c>
      <c r="C716" s="7657" t="s">
        <v>3791</v>
      </c>
      <c r="D716" s="7657" t="s">
        <v>3792</v>
      </c>
      <c r="E716" s="7657" t="s">
        <v>3793</v>
      </c>
      <c r="F716" s="7657" t="s">
        <v>2483</v>
      </c>
      <c r="G716" s="7657" t="s">
        <v>17</v>
      </c>
      <c r="H716" s="7657" t="s">
        <v>17</v>
      </c>
      <c r="I716" s="7657" t="s">
        <v>2534</v>
      </c>
      <c r="J716" s="0" t="s">
        <v>17</v>
      </c>
      <c r="K716" s="0" t="s">
        <v>3362</v>
      </c>
      <c r="L716" s="0" t="s">
        <v>3401</v>
      </c>
      <c r="M716" s="0" t="s">
        <v>3402</v>
      </c>
      <c r="N716" s="0" t="s">
        <v>401</v>
      </c>
    </row>
    <row customHeight="1" ht="11.25">
      <c r="A717" s="7657" t="s">
        <v>2195</v>
      </c>
      <c r="B717" s="7657" t="s">
        <v>14</v>
      </c>
      <c r="C717" s="7657" t="s">
        <v>3791</v>
      </c>
      <c r="D717" s="7657" t="s">
        <v>3792</v>
      </c>
      <c r="E717" s="7657" t="s">
        <v>3793</v>
      </c>
      <c r="F717" s="7657" t="s">
        <v>2483</v>
      </c>
      <c r="G717" s="7657" t="s">
        <v>17</v>
      </c>
      <c r="H717" s="7657" t="s">
        <v>17</v>
      </c>
      <c r="I717" s="7657" t="s">
        <v>2534</v>
      </c>
      <c r="J717" s="0" t="s">
        <v>17</v>
      </c>
      <c r="K717" s="0" t="s">
        <v>3365</v>
      </c>
      <c r="L717" s="0" t="s">
        <v>3401</v>
      </c>
      <c r="M717" s="0" t="s">
        <v>3402</v>
      </c>
      <c r="N717" s="0" t="s">
        <v>401</v>
      </c>
    </row>
    <row customHeight="1" ht="11.25">
      <c r="A718" s="7657" t="s">
        <v>2195</v>
      </c>
      <c r="B718" s="7657" t="s">
        <v>14</v>
      </c>
      <c r="C718" s="7657" t="s">
        <v>3794</v>
      </c>
      <c r="D718" s="7657" t="s">
        <v>3795</v>
      </c>
      <c r="E718" s="7657" t="s">
        <v>3796</v>
      </c>
      <c r="F718" s="7657" t="s">
        <v>3421</v>
      </c>
      <c r="G718" s="7657" t="s">
        <v>3797</v>
      </c>
      <c r="H718" s="7657" t="s">
        <v>17</v>
      </c>
      <c r="I718" s="7657" t="s">
        <v>3797</v>
      </c>
      <c r="J718" s="0" t="s">
        <v>17</v>
      </c>
      <c r="K718" s="0" t="s">
        <v>3362</v>
      </c>
      <c r="L718" s="0" t="s">
        <v>3363</v>
      </c>
      <c r="M718" s="0" t="s">
        <v>3364</v>
      </c>
      <c r="N718" s="0" t="s">
        <v>401</v>
      </c>
    </row>
    <row customHeight="1" ht="11.25">
      <c r="A719" s="7657" t="s">
        <v>2195</v>
      </c>
      <c r="B719" s="7657" t="s">
        <v>14</v>
      </c>
      <c r="C719" s="7657" t="s">
        <v>3794</v>
      </c>
      <c r="D719" s="7657" t="s">
        <v>3795</v>
      </c>
      <c r="E719" s="7657" t="s">
        <v>3796</v>
      </c>
      <c r="F719" s="7657" t="s">
        <v>3421</v>
      </c>
      <c r="G719" s="7657" t="s">
        <v>3797</v>
      </c>
      <c r="H719" s="7657" t="s">
        <v>17</v>
      </c>
      <c r="I719" s="7657" t="s">
        <v>3797</v>
      </c>
      <c r="J719" s="0" t="s">
        <v>17</v>
      </c>
      <c r="K719" s="0" t="s">
        <v>3365</v>
      </c>
      <c r="L719" s="0" t="s">
        <v>3363</v>
      </c>
      <c r="M719" s="0" t="s">
        <v>3364</v>
      </c>
      <c r="N719" s="0" t="s">
        <v>401</v>
      </c>
    </row>
    <row customHeight="1" ht="11.25">
      <c r="A720" s="7657" t="s">
        <v>2195</v>
      </c>
      <c r="B720" s="7657" t="s">
        <v>14</v>
      </c>
      <c r="C720" s="7657" t="s">
        <v>3798</v>
      </c>
      <c r="D720" s="7657" t="s">
        <v>3799</v>
      </c>
      <c r="E720" s="7657" t="s">
        <v>3800</v>
      </c>
      <c r="F720" s="7657" t="s">
        <v>2556</v>
      </c>
      <c r="G720" s="7657" t="s">
        <v>3801</v>
      </c>
      <c r="H720" s="7657" t="s">
        <v>17</v>
      </c>
      <c r="I720" s="7657" t="s">
        <v>3608</v>
      </c>
      <c r="J720" s="0" t="s">
        <v>17</v>
      </c>
      <c r="K720" s="0" t="s">
        <v>3362</v>
      </c>
      <c r="L720" s="0" t="s">
        <v>3401</v>
      </c>
      <c r="M720" s="0" t="s">
        <v>3402</v>
      </c>
      <c r="N720" s="0" t="s">
        <v>401</v>
      </c>
    </row>
    <row customHeight="1" ht="11.25">
      <c r="A721" s="7657" t="s">
        <v>2195</v>
      </c>
      <c r="B721" s="7657" t="s">
        <v>14</v>
      </c>
      <c r="C721" s="7657" t="s">
        <v>3798</v>
      </c>
      <c r="D721" s="7657" t="s">
        <v>3799</v>
      </c>
      <c r="E721" s="7657" t="s">
        <v>3800</v>
      </c>
      <c r="F721" s="7657" t="s">
        <v>2556</v>
      </c>
      <c r="G721" s="7657" t="s">
        <v>3801</v>
      </c>
      <c r="H721" s="7657" t="s">
        <v>17</v>
      </c>
      <c r="I721" s="7657" t="s">
        <v>3608</v>
      </c>
      <c r="J721" s="0" t="s">
        <v>17</v>
      </c>
      <c r="K721" s="0" t="s">
        <v>3365</v>
      </c>
      <c r="L721" s="0" t="s">
        <v>3401</v>
      </c>
      <c r="M721" s="0" t="s">
        <v>3402</v>
      </c>
      <c r="N721" s="0" t="s">
        <v>401</v>
      </c>
    </row>
    <row customHeight="1" ht="11.25">
      <c r="A722" s="7657" t="s">
        <v>2195</v>
      </c>
      <c r="B722" s="7657" t="s">
        <v>14</v>
      </c>
      <c r="C722" s="7657" t="s">
        <v>3802</v>
      </c>
      <c r="D722" s="7657" t="s">
        <v>3803</v>
      </c>
      <c r="E722" s="7657" t="s">
        <v>3804</v>
      </c>
      <c r="F722" s="7657" t="s">
        <v>2378</v>
      </c>
      <c r="G722" s="7657" t="s">
        <v>3805</v>
      </c>
      <c r="H722" s="7657" t="s">
        <v>17</v>
      </c>
      <c r="I722" s="7657" t="s">
        <v>3385</v>
      </c>
      <c r="J722" s="0" t="s">
        <v>17</v>
      </c>
      <c r="K722" s="0" t="s">
        <v>3362</v>
      </c>
      <c r="L722" s="0" t="s">
        <v>3401</v>
      </c>
      <c r="M722" s="0" t="s">
        <v>3402</v>
      </c>
      <c r="N722" s="0" t="s">
        <v>401</v>
      </c>
    </row>
    <row customHeight="1" ht="11.25">
      <c r="A723" s="7657" t="s">
        <v>2195</v>
      </c>
      <c r="B723" s="7657" t="s">
        <v>14</v>
      </c>
      <c r="C723" s="7657" t="s">
        <v>3802</v>
      </c>
      <c r="D723" s="7657" t="s">
        <v>3803</v>
      </c>
      <c r="E723" s="7657" t="s">
        <v>3804</v>
      </c>
      <c r="F723" s="7657" t="s">
        <v>2378</v>
      </c>
      <c r="G723" s="7657" t="s">
        <v>3805</v>
      </c>
      <c r="H723" s="7657" t="s">
        <v>17</v>
      </c>
      <c r="I723" s="7657" t="s">
        <v>3385</v>
      </c>
      <c r="J723" s="0" t="s">
        <v>17</v>
      </c>
      <c r="K723" s="0" t="s">
        <v>3365</v>
      </c>
      <c r="L723" s="0" t="s">
        <v>3401</v>
      </c>
      <c r="M723" s="0" t="s">
        <v>3402</v>
      </c>
      <c r="N723" s="0" t="s">
        <v>401</v>
      </c>
    </row>
    <row customHeight="1" ht="11.25">
      <c r="A724" s="7657" t="s">
        <v>2195</v>
      </c>
      <c r="B724" s="7657" t="s">
        <v>14</v>
      </c>
      <c r="C724" s="7657" t="s">
        <v>3806</v>
      </c>
      <c r="D724" s="7657" t="s">
        <v>2545</v>
      </c>
      <c r="E724" s="7657" t="s">
        <v>3807</v>
      </c>
      <c r="F724" s="7657" t="s">
        <v>2378</v>
      </c>
      <c r="G724" s="7657" t="s">
        <v>3808</v>
      </c>
      <c r="H724" s="7657" t="s">
        <v>17</v>
      </c>
      <c r="I724" s="7657" t="s">
        <v>3809</v>
      </c>
      <c r="J724" s="0" t="s">
        <v>17</v>
      </c>
      <c r="K724" s="0" t="s">
        <v>3362</v>
      </c>
      <c r="L724" s="0" t="s">
        <v>3434</v>
      </c>
      <c r="M724" s="0" t="s">
        <v>3435</v>
      </c>
      <c r="N724" s="0" t="s">
        <v>401</v>
      </c>
    </row>
    <row customHeight="1" ht="11.25">
      <c r="A725" s="7657" t="s">
        <v>2195</v>
      </c>
      <c r="B725" s="7657" t="s">
        <v>14</v>
      </c>
      <c r="C725" s="7657" t="s">
        <v>2549</v>
      </c>
      <c r="D725" s="7657" t="s">
        <v>2550</v>
      </c>
      <c r="E725" s="7657" t="s">
        <v>2551</v>
      </c>
      <c r="F725" s="7657" t="s">
        <v>2506</v>
      </c>
      <c r="G725" s="7657" t="s">
        <v>17</v>
      </c>
      <c r="H725" s="7657" t="s">
        <v>17</v>
      </c>
      <c r="I725" s="7657" t="s">
        <v>3810</v>
      </c>
      <c r="J725" s="0" t="s">
        <v>17</v>
      </c>
      <c r="K725" s="0" t="s">
        <v>3362</v>
      </c>
      <c r="L725" s="0" t="s">
        <v>3363</v>
      </c>
      <c r="M725" s="0" t="s">
        <v>3364</v>
      </c>
      <c r="N725" s="0" t="s">
        <v>401</v>
      </c>
    </row>
    <row customHeight="1" ht="11.25">
      <c r="A726" s="7657" t="s">
        <v>2195</v>
      </c>
      <c r="B726" s="7657" t="s">
        <v>14</v>
      </c>
      <c r="C726" s="7657" t="s">
        <v>2549</v>
      </c>
      <c r="D726" s="7657" t="s">
        <v>2550</v>
      </c>
      <c r="E726" s="7657" t="s">
        <v>2551</v>
      </c>
      <c r="F726" s="7657" t="s">
        <v>2506</v>
      </c>
      <c r="G726" s="7657" t="s">
        <v>17</v>
      </c>
      <c r="H726" s="7657" t="s">
        <v>17</v>
      </c>
      <c r="I726" s="7657" t="s">
        <v>3810</v>
      </c>
      <c r="J726" s="0" t="s">
        <v>17</v>
      </c>
      <c r="K726" s="0" t="s">
        <v>3365</v>
      </c>
      <c r="L726" s="0" t="s">
        <v>3363</v>
      </c>
      <c r="M726" s="0" t="s">
        <v>3364</v>
      </c>
      <c r="N726" s="0" t="s">
        <v>401</v>
      </c>
    </row>
    <row customHeight="1" ht="11.25">
      <c r="A727" s="7657" t="s">
        <v>2195</v>
      </c>
      <c r="B727" s="7657" t="s">
        <v>14</v>
      </c>
      <c r="C727" s="7657" t="s">
        <v>3811</v>
      </c>
      <c r="D727" s="7657" t="s">
        <v>3812</v>
      </c>
      <c r="E727" s="7657" t="s">
        <v>3813</v>
      </c>
      <c r="F727" s="7657" t="s">
        <v>2556</v>
      </c>
      <c r="G727" s="7657" t="s">
        <v>3801</v>
      </c>
      <c r="H727" s="7657" t="s">
        <v>17</v>
      </c>
      <c r="I727" s="7657" t="s">
        <v>3608</v>
      </c>
      <c r="J727" s="0" t="s">
        <v>17</v>
      </c>
      <c r="K727" s="0" t="s">
        <v>3362</v>
      </c>
      <c r="L727" s="0" t="s">
        <v>3401</v>
      </c>
      <c r="M727" s="0" t="s">
        <v>3402</v>
      </c>
      <c r="N727" s="0" t="s">
        <v>401</v>
      </c>
    </row>
    <row customHeight="1" ht="11.25">
      <c r="A728" s="7657" t="s">
        <v>2195</v>
      </c>
      <c r="B728" s="7657" t="s">
        <v>14</v>
      </c>
      <c r="C728" s="7657" t="s">
        <v>3811</v>
      </c>
      <c r="D728" s="7657" t="s">
        <v>3812</v>
      </c>
      <c r="E728" s="7657" t="s">
        <v>3813</v>
      </c>
      <c r="F728" s="7657" t="s">
        <v>2556</v>
      </c>
      <c r="G728" s="7657" t="s">
        <v>3801</v>
      </c>
      <c r="H728" s="7657" t="s">
        <v>17</v>
      </c>
      <c r="I728" s="7657" t="s">
        <v>3608</v>
      </c>
      <c r="J728" s="0" t="s">
        <v>17</v>
      </c>
      <c r="K728" s="0" t="s">
        <v>3365</v>
      </c>
      <c r="L728" s="0" t="s">
        <v>3401</v>
      </c>
      <c r="M728" s="0" t="s">
        <v>3402</v>
      </c>
      <c r="N728" s="0" t="s">
        <v>401</v>
      </c>
    </row>
    <row customHeight="1" ht="11.25">
      <c r="A729" s="7657" t="s">
        <v>2195</v>
      </c>
      <c r="B729" s="7657" t="s">
        <v>14</v>
      </c>
      <c r="C729" s="7657" t="s">
        <v>3814</v>
      </c>
      <c r="D729" s="7657" t="s">
        <v>3815</v>
      </c>
      <c r="E729" s="7657" t="s">
        <v>3816</v>
      </c>
      <c r="F729" s="7657" t="s">
        <v>2332</v>
      </c>
      <c r="G729" s="7657" t="s">
        <v>3817</v>
      </c>
      <c r="H729" s="7657" t="s">
        <v>17</v>
      </c>
      <c r="I729" s="7657" t="s">
        <v>2426</v>
      </c>
      <c r="J729" s="0" t="s">
        <v>17</v>
      </c>
      <c r="K729" s="0" t="s">
        <v>3362</v>
      </c>
      <c r="L729" s="0" t="s">
        <v>3519</v>
      </c>
      <c r="M729" s="0" t="s">
        <v>3520</v>
      </c>
      <c r="N729" s="0" t="s">
        <v>401</v>
      </c>
    </row>
    <row customHeight="1" ht="11.25">
      <c r="A730" s="7657" t="s">
        <v>2195</v>
      </c>
      <c r="B730" s="7657" t="s">
        <v>14</v>
      </c>
      <c r="C730" s="7657" t="s">
        <v>3814</v>
      </c>
      <c r="D730" s="7657" t="s">
        <v>3815</v>
      </c>
      <c r="E730" s="7657" t="s">
        <v>3816</v>
      </c>
      <c r="F730" s="7657" t="s">
        <v>2332</v>
      </c>
      <c r="G730" s="7657" t="s">
        <v>3817</v>
      </c>
      <c r="H730" s="7657" t="s">
        <v>17</v>
      </c>
      <c r="I730" s="7657" t="s">
        <v>2426</v>
      </c>
      <c r="J730" s="0" t="s">
        <v>17</v>
      </c>
      <c r="K730" s="0" t="s">
        <v>3365</v>
      </c>
      <c r="L730" s="0" t="s">
        <v>3519</v>
      </c>
      <c r="M730" s="0" t="s">
        <v>3520</v>
      </c>
      <c r="N730" s="0" t="s">
        <v>401</v>
      </c>
    </row>
    <row customHeight="1" ht="11.25">
      <c r="A731" s="7657" t="s">
        <v>2195</v>
      </c>
      <c r="B731" s="7657" t="s">
        <v>14</v>
      </c>
      <c r="C731" s="7657" t="s">
        <v>3818</v>
      </c>
      <c r="D731" s="7657" t="s">
        <v>3819</v>
      </c>
      <c r="E731" s="7657" t="s">
        <v>3820</v>
      </c>
      <c r="F731" s="7657" t="s">
        <v>3016</v>
      </c>
      <c r="G731" s="7657" t="s">
        <v>17</v>
      </c>
      <c r="H731" s="7657" t="s">
        <v>17</v>
      </c>
      <c r="I731" s="7657" t="s">
        <v>2426</v>
      </c>
      <c r="J731" s="0" t="s">
        <v>17</v>
      </c>
      <c r="K731" s="0" t="s">
        <v>3362</v>
      </c>
      <c r="L731" s="0" t="s">
        <v>3363</v>
      </c>
      <c r="M731" s="0" t="s">
        <v>3364</v>
      </c>
      <c r="N731" s="0" t="s">
        <v>401</v>
      </c>
    </row>
    <row customHeight="1" ht="11.25">
      <c r="A732" s="7657" t="s">
        <v>2195</v>
      </c>
      <c r="B732" s="7657" t="s">
        <v>14</v>
      </c>
      <c r="C732" s="7657" t="s">
        <v>3818</v>
      </c>
      <c r="D732" s="7657" t="s">
        <v>3819</v>
      </c>
      <c r="E732" s="7657" t="s">
        <v>3820</v>
      </c>
      <c r="F732" s="7657" t="s">
        <v>3016</v>
      </c>
      <c r="G732" s="7657" t="s">
        <v>17</v>
      </c>
      <c r="H732" s="7657" t="s">
        <v>17</v>
      </c>
      <c r="I732" s="7657" t="s">
        <v>2426</v>
      </c>
      <c r="J732" s="0" t="s">
        <v>17</v>
      </c>
      <c r="K732" s="0" t="s">
        <v>3365</v>
      </c>
      <c r="L732" s="0" t="s">
        <v>3363</v>
      </c>
      <c r="M732" s="0" t="s">
        <v>3364</v>
      </c>
      <c r="N732" s="0" t="s">
        <v>401</v>
      </c>
    </row>
    <row customHeight="1" ht="11.25">
      <c r="A733" s="7657" t="s">
        <v>2195</v>
      </c>
      <c r="B733" s="7657" t="s">
        <v>14</v>
      </c>
      <c r="C733" s="7657" t="s">
        <v>3821</v>
      </c>
      <c r="D733" s="7657" t="s">
        <v>3822</v>
      </c>
      <c r="E733" s="7657" t="s">
        <v>3823</v>
      </c>
      <c r="F733" s="7657" t="s">
        <v>2575</v>
      </c>
      <c r="G733" s="7657" t="s">
        <v>3824</v>
      </c>
      <c r="H733" s="7657" t="s">
        <v>17</v>
      </c>
      <c r="I733" s="7657" t="s">
        <v>3824</v>
      </c>
      <c r="J733" s="0" t="s">
        <v>17</v>
      </c>
      <c r="K733" s="0" t="s">
        <v>3362</v>
      </c>
      <c r="L733" s="0" t="s">
        <v>3363</v>
      </c>
      <c r="M733" s="0" t="s">
        <v>3364</v>
      </c>
      <c r="N733" s="0" t="s">
        <v>401</v>
      </c>
    </row>
    <row customHeight="1" ht="11.25">
      <c r="A734" s="7657" t="s">
        <v>2195</v>
      </c>
      <c r="B734" s="7657" t="s">
        <v>14</v>
      </c>
      <c r="C734" s="7657" t="s">
        <v>3821</v>
      </c>
      <c r="D734" s="7657" t="s">
        <v>3822</v>
      </c>
      <c r="E734" s="7657" t="s">
        <v>3823</v>
      </c>
      <c r="F734" s="7657" t="s">
        <v>2575</v>
      </c>
      <c r="G734" s="7657" t="s">
        <v>3824</v>
      </c>
      <c r="H734" s="7657" t="s">
        <v>17</v>
      </c>
      <c r="I734" s="7657" t="s">
        <v>3824</v>
      </c>
      <c r="J734" s="0" t="s">
        <v>17</v>
      </c>
      <c r="K734" s="0" t="s">
        <v>3365</v>
      </c>
      <c r="L734" s="0" t="s">
        <v>3363</v>
      </c>
      <c r="M734" s="0" t="s">
        <v>3364</v>
      </c>
      <c r="N734" s="0" t="s">
        <v>401</v>
      </c>
    </row>
    <row customHeight="1" ht="11.25">
      <c r="A735" s="7657" t="s">
        <v>2195</v>
      </c>
      <c r="B735" s="7657" t="s">
        <v>14</v>
      </c>
      <c r="C735" s="7657" t="s">
        <v>3825</v>
      </c>
      <c r="D735" s="7657" t="s">
        <v>3826</v>
      </c>
      <c r="E735" s="7657" t="s">
        <v>3827</v>
      </c>
      <c r="F735" s="7657" t="s">
        <v>2711</v>
      </c>
      <c r="G735" s="7657" t="s">
        <v>3828</v>
      </c>
      <c r="H735" s="7657" t="s">
        <v>17</v>
      </c>
      <c r="I735" s="7657" t="s">
        <v>2426</v>
      </c>
      <c r="J735" s="0" t="s">
        <v>17</v>
      </c>
      <c r="K735" s="0" t="s">
        <v>3362</v>
      </c>
      <c r="L735" s="0" t="s">
        <v>3363</v>
      </c>
      <c r="M735" s="0" t="s">
        <v>3364</v>
      </c>
      <c r="N735" s="0" t="s">
        <v>401</v>
      </c>
    </row>
    <row customHeight="1" ht="11.25">
      <c r="A736" s="7657" t="s">
        <v>2195</v>
      </c>
      <c r="B736" s="7657" t="s">
        <v>14</v>
      </c>
      <c r="C736" s="7657" t="s">
        <v>3825</v>
      </c>
      <c r="D736" s="7657" t="s">
        <v>3826</v>
      </c>
      <c r="E736" s="7657" t="s">
        <v>3827</v>
      </c>
      <c r="F736" s="7657" t="s">
        <v>2711</v>
      </c>
      <c r="G736" s="7657" t="s">
        <v>3828</v>
      </c>
      <c r="H736" s="7657" t="s">
        <v>17</v>
      </c>
      <c r="I736" s="7657" t="s">
        <v>2426</v>
      </c>
      <c r="J736" s="0" t="s">
        <v>17</v>
      </c>
      <c r="K736" s="0" t="s">
        <v>3365</v>
      </c>
      <c r="L736" s="0" t="s">
        <v>3363</v>
      </c>
      <c r="M736" s="0" t="s">
        <v>3364</v>
      </c>
      <c r="N736" s="0" t="s">
        <v>401</v>
      </c>
    </row>
    <row customHeight="1" ht="11.25">
      <c r="A737" s="7657" t="s">
        <v>2195</v>
      </c>
      <c r="B737" s="7657" t="s">
        <v>14</v>
      </c>
      <c r="C737" s="7657" t="s">
        <v>3829</v>
      </c>
      <c r="D737" s="7657" t="s">
        <v>3830</v>
      </c>
      <c r="E737" s="7657" t="s">
        <v>3831</v>
      </c>
      <c r="F737" s="7657" t="s">
        <v>2478</v>
      </c>
      <c r="G737" s="7657" t="s">
        <v>3832</v>
      </c>
      <c r="H737" s="7657" t="s">
        <v>17</v>
      </c>
      <c r="I737" s="7657" t="s">
        <v>3832</v>
      </c>
      <c r="J737" s="0" t="s">
        <v>17</v>
      </c>
      <c r="K737" s="0" t="s">
        <v>3362</v>
      </c>
      <c r="L737" s="0" t="s">
        <v>3363</v>
      </c>
      <c r="M737" s="0" t="s">
        <v>3364</v>
      </c>
      <c r="N737" s="0" t="s">
        <v>401</v>
      </c>
    </row>
    <row customHeight="1" ht="11.25">
      <c r="A738" s="7657" t="s">
        <v>2195</v>
      </c>
      <c r="B738" s="7657" t="s">
        <v>14</v>
      </c>
      <c r="C738" s="7657" t="s">
        <v>3829</v>
      </c>
      <c r="D738" s="7657" t="s">
        <v>3830</v>
      </c>
      <c r="E738" s="7657" t="s">
        <v>3831</v>
      </c>
      <c r="F738" s="7657" t="s">
        <v>2478</v>
      </c>
      <c r="G738" s="7657" t="s">
        <v>3832</v>
      </c>
      <c r="H738" s="7657" t="s">
        <v>17</v>
      </c>
      <c r="I738" s="7657" t="s">
        <v>3832</v>
      </c>
      <c r="J738" s="0" t="s">
        <v>17</v>
      </c>
      <c r="K738" s="0" t="s">
        <v>3365</v>
      </c>
      <c r="L738" s="0" t="s">
        <v>3363</v>
      </c>
      <c r="M738" s="0" t="s">
        <v>3364</v>
      </c>
      <c r="N738" s="0" t="s">
        <v>401</v>
      </c>
    </row>
    <row customHeight="1" ht="11.25">
      <c r="A739" s="7657" t="s">
        <v>2195</v>
      </c>
      <c r="B739" s="7657" t="s">
        <v>14</v>
      </c>
      <c r="C739" s="7657" t="s">
        <v>3833</v>
      </c>
      <c r="D739" s="7657" t="s">
        <v>3834</v>
      </c>
      <c r="E739" s="7657" t="s">
        <v>3835</v>
      </c>
      <c r="F739" s="7657" t="s">
        <v>2711</v>
      </c>
      <c r="G739" s="7657" t="s">
        <v>3836</v>
      </c>
      <c r="H739" s="7657" t="s">
        <v>17</v>
      </c>
      <c r="I739" s="7657" t="s">
        <v>2426</v>
      </c>
      <c r="J739" s="0" t="s">
        <v>17</v>
      </c>
      <c r="K739" s="0" t="s">
        <v>3362</v>
      </c>
      <c r="L739" s="0" t="s">
        <v>3363</v>
      </c>
      <c r="M739" s="0" t="s">
        <v>3364</v>
      </c>
      <c r="N739" s="0" t="s">
        <v>401</v>
      </c>
    </row>
    <row customHeight="1" ht="11.25">
      <c r="A740" s="7657" t="s">
        <v>2195</v>
      </c>
      <c r="B740" s="7657" t="s">
        <v>14</v>
      </c>
      <c r="C740" s="7657" t="s">
        <v>3833</v>
      </c>
      <c r="D740" s="7657" t="s">
        <v>3834</v>
      </c>
      <c r="E740" s="7657" t="s">
        <v>3835</v>
      </c>
      <c r="F740" s="7657" t="s">
        <v>2711</v>
      </c>
      <c r="G740" s="7657" t="s">
        <v>3836</v>
      </c>
      <c r="H740" s="7657" t="s">
        <v>17</v>
      </c>
      <c r="I740" s="7657" t="s">
        <v>2426</v>
      </c>
      <c r="J740" s="0" t="s">
        <v>17</v>
      </c>
      <c r="K740" s="0" t="s">
        <v>3365</v>
      </c>
      <c r="L740" s="0" t="s">
        <v>3363</v>
      </c>
      <c r="M740" s="0" t="s">
        <v>3364</v>
      </c>
      <c r="N740" s="0" t="s">
        <v>401</v>
      </c>
    </row>
    <row customHeight="1" ht="11.25">
      <c r="A741" s="7657" t="s">
        <v>2195</v>
      </c>
      <c r="B741" s="7657" t="s">
        <v>14</v>
      </c>
      <c r="C741" s="7657" t="s">
        <v>3837</v>
      </c>
      <c r="D741" s="7657" t="s">
        <v>3838</v>
      </c>
      <c r="E741" s="7657" t="s">
        <v>3839</v>
      </c>
      <c r="F741" s="7657" t="s">
        <v>2556</v>
      </c>
      <c r="G741" s="7657" t="s">
        <v>3840</v>
      </c>
      <c r="H741" s="7657" t="s">
        <v>17</v>
      </c>
      <c r="I741" s="7657" t="s">
        <v>3840</v>
      </c>
      <c r="J741" s="0" t="s">
        <v>17</v>
      </c>
      <c r="K741" s="0" t="s">
        <v>3362</v>
      </c>
      <c r="L741" s="0" t="s">
        <v>3363</v>
      </c>
      <c r="M741" s="0" t="s">
        <v>3364</v>
      </c>
      <c r="N741" s="0" t="s">
        <v>401</v>
      </c>
    </row>
    <row customHeight="1" ht="11.25">
      <c r="A742" s="7657" t="s">
        <v>2195</v>
      </c>
      <c r="B742" s="7657" t="s">
        <v>14</v>
      </c>
      <c r="C742" s="7657" t="s">
        <v>3837</v>
      </c>
      <c r="D742" s="7657" t="s">
        <v>3838</v>
      </c>
      <c r="E742" s="7657" t="s">
        <v>3839</v>
      </c>
      <c r="F742" s="7657" t="s">
        <v>2556</v>
      </c>
      <c r="G742" s="7657" t="s">
        <v>3840</v>
      </c>
      <c r="H742" s="7657" t="s">
        <v>17</v>
      </c>
      <c r="I742" s="7657" t="s">
        <v>3840</v>
      </c>
      <c r="J742" s="0" t="s">
        <v>17</v>
      </c>
      <c r="K742" s="0" t="s">
        <v>3365</v>
      </c>
      <c r="L742" s="0" t="s">
        <v>3363</v>
      </c>
      <c r="M742" s="0" t="s">
        <v>3364</v>
      </c>
      <c r="N742" s="0" t="s">
        <v>401</v>
      </c>
    </row>
    <row customHeight="1" ht="11.25">
      <c r="A743" s="7657" t="s">
        <v>2195</v>
      </c>
      <c r="B743" s="7657" t="s">
        <v>14</v>
      </c>
      <c r="C743" s="7657" t="s">
        <v>2553</v>
      </c>
      <c r="D743" s="7657" t="s">
        <v>2554</v>
      </c>
      <c r="E743" s="7657" t="s">
        <v>2555</v>
      </c>
      <c r="F743" s="7657" t="s">
        <v>2556</v>
      </c>
      <c r="G743" s="7657" t="s">
        <v>2557</v>
      </c>
      <c r="H743" s="7657" t="s">
        <v>17</v>
      </c>
      <c r="I743" s="7657" t="s">
        <v>3841</v>
      </c>
      <c r="J743" s="0" t="s">
        <v>3842</v>
      </c>
      <c r="K743" s="0" t="s">
        <v>3362</v>
      </c>
      <c r="L743" s="0" t="s">
        <v>3363</v>
      </c>
      <c r="M743" s="0" t="s">
        <v>3364</v>
      </c>
      <c r="N743" s="0" t="s">
        <v>401</v>
      </c>
    </row>
    <row customHeight="1" ht="11.25">
      <c r="A744" s="7657" t="s">
        <v>2195</v>
      </c>
      <c r="B744" s="7657" t="s">
        <v>14</v>
      </c>
      <c r="C744" s="7657" t="s">
        <v>2553</v>
      </c>
      <c r="D744" s="7657" t="s">
        <v>2554</v>
      </c>
      <c r="E744" s="7657" t="s">
        <v>2555</v>
      </c>
      <c r="F744" s="7657" t="s">
        <v>2556</v>
      </c>
      <c r="G744" s="7657" t="s">
        <v>2557</v>
      </c>
      <c r="H744" s="7657" t="s">
        <v>17</v>
      </c>
      <c r="I744" s="7657" t="s">
        <v>3841</v>
      </c>
      <c r="J744" s="0" t="s">
        <v>3842</v>
      </c>
      <c r="K744" s="0" t="s">
        <v>3365</v>
      </c>
      <c r="L744" s="0" t="s">
        <v>3363</v>
      </c>
      <c r="M744" s="0" t="s">
        <v>3364</v>
      </c>
      <c r="N744" s="0" t="s">
        <v>401</v>
      </c>
    </row>
    <row customHeight="1" ht="11.25">
      <c r="A745" s="7657" t="s">
        <v>2195</v>
      </c>
      <c r="B745" s="7657" t="s">
        <v>14</v>
      </c>
      <c r="C745" s="7657" t="s">
        <v>3843</v>
      </c>
      <c r="D745" s="7657" t="s">
        <v>3844</v>
      </c>
      <c r="E745" s="7657" t="s">
        <v>3845</v>
      </c>
      <c r="F745" s="7657" t="s">
        <v>2425</v>
      </c>
      <c r="G745" s="7657" t="s">
        <v>17</v>
      </c>
      <c r="H745" s="7657" t="s">
        <v>17</v>
      </c>
      <c r="I745" s="7657" t="s">
        <v>2426</v>
      </c>
      <c r="J745" s="0" t="s">
        <v>17</v>
      </c>
      <c r="K745" s="0" t="s">
        <v>3362</v>
      </c>
      <c r="L745" s="0" t="s">
        <v>3401</v>
      </c>
      <c r="M745" s="0" t="s">
        <v>3402</v>
      </c>
      <c r="N745" s="0" t="s">
        <v>401</v>
      </c>
    </row>
    <row customHeight="1" ht="11.25">
      <c r="A746" s="7657" t="s">
        <v>2195</v>
      </c>
      <c r="B746" s="7657" t="s">
        <v>14</v>
      </c>
      <c r="C746" s="7657" t="s">
        <v>3843</v>
      </c>
      <c r="D746" s="7657" t="s">
        <v>3844</v>
      </c>
      <c r="E746" s="7657" t="s">
        <v>3845</v>
      </c>
      <c r="F746" s="7657" t="s">
        <v>2425</v>
      </c>
      <c r="G746" s="7657" t="s">
        <v>17</v>
      </c>
      <c r="H746" s="7657" t="s">
        <v>17</v>
      </c>
      <c r="I746" s="7657" t="s">
        <v>2426</v>
      </c>
      <c r="J746" s="0" t="s">
        <v>17</v>
      </c>
      <c r="K746" s="0" t="s">
        <v>3365</v>
      </c>
      <c r="L746" s="0" t="s">
        <v>3401</v>
      </c>
      <c r="M746" s="0" t="s">
        <v>3402</v>
      </c>
      <c r="N746" s="0" t="s">
        <v>401</v>
      </c>
    </row>
    <row customHeight="1" ht="11.25">
      <c r="A747" s="7657" t="s">
        <v>2195</v>
      </c>
      <c r="B747" s="7657" t="s">
        <v>14</v>
      </c>
      <c r="C747" s="7657" t="s">
        <v>3846</v>
      </c>
      <c r="D747" s="7657" t="s">
        <v>3847</v>
      </c>
      <c r="E747" s="7657" t="s">
        <v>3848</v>
      </c>
      <c r="F747" s="7657" t="s">
        <v>2321</v>
      </c>
      <c r="G747" s="7657" t="s">
        <v>17</v>
      </c>
      <c r="H747" s="7657" t="s">
        <v>17</v>
      </c>
      <c r="I747" s="7657" t="s">
        <v>3849</v>
      </c>
      <c r="J747" s="0" t="s">
        <v>17</v>
      </c>
      <c r="K747" s="0" t="s">
        <v>3362</v>
      </c>
      <c r="L747" s="0" t="s">
        <v>3434</v>
      </c>
      <c r="M747" s="0" t="s">
        <v>3435</v>
      </c>
      <c r="N747" s="0" t="s">
        <v>401</v>
      </c>
    </row>
    <row customHeight="1" ht="11.25">
      <c r="A748" s="7657" t="s">
        <v>2195</v>
      </c>
      <c r="B748" s="7657" t="s">
        <v>14</v>
      </c>
      <c r="C748" s="7657" t="s">
        <v>3850</v>
      </c>
      <c r="D748" s="7657" t="s">
        <v>3851</v>
      </c>
      <c r="E748" s="7657" t="s">
        <v>3852</v>
      </c>
      <c r="F748" s="7657" t="s">
        <v>2425</v>
      </c>
      <c r="G748" s="7657" t="s">
        <v>3853</v>
      </c>
      <c r="H748" s="7657" t="s">
        <v>17</v>
      </c>
      <c r="I748" s="7657" t="s">
        <v>3157</v>
      </c>
      <c r="J748" s="0" t="s">
        <v>17</v>
      </c>
      <c r="K748" s="0" t="s">
        <v>3362</v>
      </c>
      <c r="L748" s="0" t="s">
        <v>3519</v>
      </c>
      <c r="M748" s="0" t="s">
        <v>3520</v>
      </c>
      <c r="N748" s="0" t="s">
        <v>401</v>
      </c>
    </row>
    <row customHeight="1" ht="11.25">
      <c r="A749" s="7657" t="s">
        <v>2195</v>
      </c>
      <c r="B749" s="7657" t="s">
        <v>14</v>
      </c>
      <c r="C749" s="7657" t="s">
        <v>3850</v>
      </c>
      <c r="D749" s="7657" t="s">
        <v>3851</v>
      </c>
      <c r="E749" s="7657" t="s">
        <v>3852</v>
      </c>
      <c r="F749" s="7657" t="s">
        <v>2425</v>
      </c>
      <c r="G749" s="7657" t="s">
        <v>3853</v>
      </c>
      <c r="H749" s="7657" t="s">
        <v>17</v>
      </c>
      <c r="I749" s="7657" t="s">
        <v>3157</v>
      </c>
      <c r="J749" s="0" t="s">
        <v>17</v>
      </c>
      <c r="K749" s="0" t="s">
        <v>3365</v>
      </c>
      <c r="L749" s="0" t="s">
        <v>3519</v>
      </c>
      <c r="M749" s="0" t="s">
        <v>3520</v>
      </c>
      <c r="N749" s="0" t="s">
        <v>401</v>
      </c>
    </row>
    <row customHeight="1" ht="11.25">
      <c r="A750" s="7657" t="s">
        <v>2195</v>
      </c>
      <c r="B750" s="7657" t="s">
        <v>14</v>
      </c>
      <c r="C750" s="7657" t="s">
        <v>3854</v>
      </c>
      <c r="D750" s="7657" t="s">
        <v>3855</v>
      </c>
      <c r="E750" s="7657" t="s">
        <v>3856</v>
      </c>
      <c r="F750" s="7657" t="s">
        <v>2388</v>
      </c>
      <c r="G750" s="7657" t="s">
        <v>3857</v>
      </c>
      <c r="H750" s="7657" t="s">
        <v>17</v>
      </c>
      <c r="I750" s="7657" t="s">
        <v>2208</v>
      </c>
      <c r="J750" s="0" t="s">
        <v>17</v>
      </c>
      <c r="K750" s="0" t="s">
        <v>3362</v>
      </c>
      <c r="L750" s="0" t="s">
        <v>3363</v>
      </c>
      <c r="M750" s="0" t="s">
        <v>3364</v>
      </c>
      <c r="N750" s="0" t="s">
        <v>401</v>
      </c>
    </row>
    <row customHeight="1" ht="11.25">
      <c r="A751" s="7657" t="s">
        <v>2195</v>
      </c>
      <c r="B751" s="7657" t="s">
        <v>14</v>
      </c>
      <c r="C751" s="7657" t="s">
        <v>3854</v>
      </c>
      <c r="D751" s="7657" t="s">
        <v>3855</v>
      </c>
      <c r="E751" s="7657" t="s">
        <v>3856</v>
      </c>
      <c r="F751" s="7657" t="s">
        <v>2388</v>
      </c>
      <c r="G751" s="7657" t="s">
        <v>3857</v>
      </c>
      <c r="H751" s="7657" t="s">
        <v>17</v>
      </c>
      <c r="I751" s="7657" t="s">
        <v>2208</v>
      </c>
      <c r="J751" s="0" t="s">
        <v>17</v>
      </c>
      <c r="K751" s="0" t="s">
        <v>3365</v>
      </c>
      <c r="L751" s="0" t="s">
        <v>3363</v>
      </c>
      <c r="M751" s="0" t="s">
        <v>3364</v>
      </c>
      <c r="N751" s="0" t="s">
        <v>401</v>
      </c>
    </row>
    <row customHeight="1" ht="11.25">
      <c r="A752" s="7657" t="s">
        <v>2195</v>
      </c>
      <c r="B752" s="7657" t="s">
        <v>14</v>
      </c>
      <c r="C752" s="7657" t="s">
        <v>3858</v>
      </c>
      <c r="D752" s="7657" t="s">
        <v>3859</v>
      </c>
      <c r="E752" s="7657" t="s">
        <v>3860</v>
      </c>
      <c r="F752" s="7657" t="s">
        <v>2527</v>
      </c>
      <c r="G752" s="7657" t="s">
        <v>3861</v>
      </c>
      <c r="H752" s="7657" t="s">
        <v>17</v>
      </c>
      <c r="I752" s="7657" t="s">
        <v>3862</v>
      </c>
      <c r="J752" s="0" t="s">
        <v>17</v>
      </c>
      <c r="K752" s="0" t="s">
        <v>3362</v>
      </c>
      <c r="L752" s="0" t="s">
        <v>3363</v>
      </c>
      <c r="M752" s="0" t="s">
        <v>3364</v>
      </c>
      <c r="N752" s="0" t="s">
        <v>401</v>
      </c>
    </row>
    <row customHeight="1" ht="11.25">
      <c r="A753" s="7657" t="s">
        <v>2195</v>
      </c>
      <c r="B753" s="7657" t="s">
        <v>14</v>
      </c>
      <c r="C753" s="7657" t="s">
        <v>3858</v>
      </c>
      <c r="D753" s="7657" t="s">
        <v>3859</v>
      </c>
      <c r="E753" s="7657" t="s">
        <v>3860</v>
      </c>
      <c r="F753" s="7657" t="s">
        <v>2527</v>
      </c>
      <c r="G753" s="7657" t="s">
        <v>3861</v>
      </c>
      <c r="H753" s="7657" t="s">
        <v>17</v>
      </c>
      <c r="I753" s="7657" t="s">
        <v>3862</v>
      </c>
      <c r="J753" s="0" t="s">
        <v>17</v>
      </c>
      <c r="K753" s="0" t="s">
        <v>3365</v>
      </c>
      <c r="L753" s="0" t="s">
        <v>3363</v>
      </c>
      <c r="M753" s="0" t="s">
        <v>3364</v>
      </c>
      <c r="N753" s="0" t="s">
        <v>401</v>
      </c>
    </row>
    <row customHeight="1" ht="11.25">
      <c r="A754" s="7657" t="s">
        <v>2195</v>
      </c>
      <c r="B754" s="7657" t="s">
        <v>14</v>
      </c>
      <c r="C754" s="7657" t="s">
        <v>3863</v>
      </c>
      <c r="D754" s="7657" t="s">
        <v>3864</v>
      </c>
      <c r="E754" s="7657" t="s">
        <v>3865</v>
      </c>
      <c r="F754" s="7657" t="s">
        <v>2478</v>
      </c>
      <c r="G754" s="7657" t="s">
        <v>3866</v>
      </c>
      <c r="H754" s="7657" t="s">
        <v>17</v>
      </c>
      <c r="I754" s="7657" t="s">
        <v>3867</v>
      </c>
      <c r="J754" s="0" t="s">
        <v>17</v>
      </c>
      <c r="K754" s="0" t="s">
        <v>3362</v>
      </c>
      <c r="L754" s="0" t="s">
        <v>3401</v>
      </c>
      <c r="M754" s="0" t="s">
        <v>3402</v>
      </c>
      <c r="N754" s="0" t="s">
        <v>401</v>
      </c>
    </row>
    <row customHeight="1" ht="11.25">
      <c r="A755" s="7657" t="s">
        <v>2195</v>
      </c>
      <c r="B755" s="7657" t="s">
        <v>14</v>
      </c>
      <c r="C755" s="7657" t="s">
        <v>3863</v>
      </c>
      <c r="D755" s="7657" t="s">
        <v>3864</v>
      </c>
      <c r="E755" s="7657" t="s">
        <v>3865</v>
      </c>
      <c r="F755" s="7657" t="s">
        <v>2478</v>
      </c>
      <c r="G755" s="7657" t="s">
        <v>3866</v>
      </c>
      <c r="H755" s="7657" t="s">
        <v>17</v>
      </c>
      <c r="I755" s="7657" t="s">
        <v>3867</v>
      </c>
      <c r="J755" s="0" t="s">
        <v>17</v>
      </c>
      <c r="K755" s="0" t="s">
        <v>3365</v>
      </c>
      <c r="L755" s="0" t="s">
        <v>3401</v>
      </c>
      <c r="M755" s="0" t="s">
        <v>3402</v>
      </c>
      <c r="N755" s="0" t="s">
        <v>401</v>
      </c>
    </row>
    <row customHeight="1" ht="11.25">
      <c r="A756" s="7657" t="s">
        <v>2195</v>
      </c>
      <c r="B756" s="7657" t="s">
        <v>14</v>
      </c>
      <c r="C756" s="7657" t="s">
        <v>3868</v>
      </c>
      <c r="D756" s="7657" t="s">
        <v>3869</v>
      </c>
      <c r="E756" s="7657" t="s">
        <v>3870</v>
      </c>
      <c r="F756" s="7657" t="s">
        <v>2443</v>
      </c>
      <c r="G756" s="7657" t="s">
        <v>3871</v>
      </c>
      <c r="H756" s="7657" t="s">
        <v>17</v>
      </c>
      <c r="I756" s="7657" t="s">
        <v>3871</v>
      </c>
      <c r="J756" s="0" t="s">
        <v>17</v>
      </c>
      <c r="K756" s="0" t="s">
        <v>3362</v>
      </c>
      <c r="L756" s="0" t="s">
        <v>3401</v>
      </c>
      <c r="M756" s="0" t="s">
        <v>3402</v>
      </c>
      <c r="N756" s="0" t="s">
        <v>401</v>
      </c>
    </row>
    <row customHeight="1" ht="11.25">
      <c r="A757" s="7657" t="s">
        <v>2195</v>
      </c>
      <c r="B757" s="7657" t="s">
        <v>14</v>
      </c>
      <c r="C757" s="7657" t="s">
        <v>3868</v>
      </c>
      <c r="D757" s="7657" t="s">
        <v>3869</v>
      </c>
      <c r="E757" s="7657" t="s">
        <v>3870</v>
      </c>
      <c r="F757" s="7657" t="s">
        <v>2443</v>
      </c>
      <c r="G757" s="7657" t="s">
        <v>3871</v>
      </c>
      <c r="H757" s="7657" t="s">
        <v>17</v>
      </c>
      <c r="I757" s="7657" t="s">
        <v>3871</v>
      </c>
      <c r="J757" s="0" t="s">
        <v>17</v>
      </c>
      <c r="K757" s="0" t="s">
        <v>3365</v>
      </c>
      <c r="L757" s="0" t="s">
        <v>3401</v>
      </c>
      <c r="M757" s="0" t="s">
        <v>3402</v>
      </c>
      <c r="N757" s="0" t="s">
        <v>401</v>
      </c>
    </row>
    <row customHeight="1" ht="11.25">
      <c r="A758" s="7657" t="s">
        <v>2195</v>
      </c>
      <c r="B758" s="7657" t="s">
        <v>14</v>
      </c>
      <c r="C758" s="7657" t="s">
        <v>3872</v>
      </c>
      <c r="D758" s="7657" t="s">
        <v>3873</v>
      </c>
      <c r="E758" s="7657" t="s">
        <v>3874</v>
      </c>
      <c r="F758" s="7657" t="s">
        <v>2478</v>
      </c>
      <c r="G758" s="7657" t="s">
        <v>3875</v>
      </c>
      <c r="H758" s="7657" t="s">
        <v>17</v>
      </c>
      <c r="I758" s="7657" t="s">
        <v>3750</v>
      </c>
      <c r="J758" s="0" t="s">
        <v>17</v>
      </c>
      <c r="K758" s="0" t="s">
        <v>3362</v>
      </c>
      <c r="L758" s="0" t="s">
        <v>3401</v>
      </c>
      <c r="M758" s="0" t="s">
        <v>3402</v>
      </c>
      <c r="N758" s="0" t="s">
        <v>401</v>
      </c>
    </row>
    <row customHeight="1" ht="11.25">
      <c r="A759" s="7657" t="s">
        <v>2195</v>
      </c>
      <c r="B759" s="7657" t="s">
        <v>14</v>
      </c>
      <c r="C759" s="7657" t="s">
        <v>3872</v>
      </c>
      <c r="D759" s="7657" t="s">
        <v>3873</v>
      </c>
      <c r="E759" s="7657" t="s">
        <v>3874</v>
      </c>
      <c r="F759" s="7657" t="s">
        <v>2478</v>
      </c>
      <c r="G759" s="7657" t="s">
        <v>3875</v>
      </c>
      <c r="H759" s="7657" t="s">
        <v>17</v>
      </c>
      <c r="I759" s="7657" t="s">
        <v>3750</v>
      </c>
      <c r="J759" s="0" t="s">
        <v>17</v>
      </c>
      <c r="K759" s="0" t="s">
        <v>3365</v>
      </c>
      <c r="L759" s="0" t="s">
        <v>3401</v>
      </c>
      <c r="M759" s="0" t="s">
        <v>3402</v>
      </c>
      <c r="N759" s="0" t="s">
        <v>401</v>
      </c>
    </row>
    <row customHeight="1" ht="11.25">
      <c r="A760" s="7657" t="s">
        <v>2195</v>
      </c>
      <c r="B760" s="7657" t="s">
        <v>14</v>
      </c>
      <c r="C760" s="7657" t="s">
        <v>3876</v>
      </c>
      <c r="D760" s="7657" t="s">
        <v>3877</v>
      </c>
      <c r="E760" s="7657" t="s">
        <v>3878</v>
      </c>
      <c r="F760" s="7657" t="s">
        <v>2443</v>
      </c>
      <c r="G760" s="7657" t="s">
        <v>3867</v>
      </c>
      <c r="H760" s="7657" t="s">
        <v>17</v>
      </c>
      <c r="I760" s="7657" t="s">
        <v>3867</v>
      </c>
      <c r="J760" s="0" t="s">
        <v>17</v>
      </c>
      <c r="K760" s="0" t="s">
        <v>3362</v>
      </c>
      <c r="L760" s="0" t="s">
        <v>3401</v>
      </c>
      <c r="M760" s="0" t="s">
        <v>3402</v>
      </c>
      <c r="N760" s="0" t="s">
        <v>401</v>
      </c>
    </row>
    <row customHeight="1" ht="11.25">
      <c r="A761" s="7657" t="s">
        <v>2195</v>
      </c>
      <c r="B761" s="7657" t="s">
        <v>14</v>
      </c>
      <c r="C761" s="7657" t="s">
        <v>3876</v>
      </c>
      <c r="D761" s="7657" t="s">
        <v>3877</v>
      </c>
      <c r="E761" s="7657" t="s">
        <v>3878</v>
      </c>
      <c r="F761" s="7657" t="s">
        <v>2443</v>
      </c>
      <c r="G761" s="7657" t="s">
        <v>3867</v>
      </c>
      <c r="H761" s="7657" t="s">
        <v>17</v>
      </c>
      <c r="I761" s="7657" t="s">
        <v>3867</v>
      </c>
      <c r="J761" s="0" t="s">
        <v>17</v>
      </c>
      <c r="K761" s="0" t="s">
        <v>3365</v>
      </c>
      <c r="L761" s="0" t="s">
        <v>3401</v>
      </c>
      <c r="M761" s="0" t="s">
        <v>3402</v>
      </c>
      <c r="N761" s="0" t="s">
        <v>401</v>
      </c>
    </row>
    <row customHeight="1" ht="11.25">
      <c r="A762" s="7657" t="s">
        <v>2195</v>
      </c>
      <c r="B762" s="7657" t="s">
        <v>14</v>
      </c>
      <c r="C762" s="7657" t="s">
        <v>3879</v>
      </c>
      <c r="D762" s="7657" t="s">
        <v>3880</v>
      </c>
      <c r="E762" s="7657" t="s">
        <v>3881</v>
      </c>
      <c r="F762" s="7657" t="s">
        <v>2443</v>
      </c>
      <c r="G762" s="7657" t="s">
        <v>3882</v>
      </c>
      <c r="H762" s="7657" t="s">
        <v>17</v>
      </c>
      <c r="I762" s="7657" t="s">
        <v>2374</v>
      </c>
      <c r="J762" s="0" t="s">
        <v>17</v>
      </c>
      <c r="K762" s="0" t="s">
        <v>3362</v>
      </c>
      <c r="L762" s="0" t="s">
        <v>3401</v>
      </c>
      <c r="M762" s="0" t="s">
        <v>3402</v>
      </c>
      <c r="N762" s="0" t="s">
        <v>401</v>
      </c>
    </row>
    <row customHeight="1" ht="11.25">
      <c r="A763" s="7657" t="s">
        <v>2195</v>
      </c>
      <c r="B763" s="7657" t="s">
        <v>14</v>
      </c>
      <c r="C763" s="7657" t="s">
        <v>3879</v>
      </c>
      <c r="D763" s="7657" t="s">
        <v>3880</v>
      </c>
      <c r="E763" s="7657" t="s">
        <v>3881</v>
      </c>
      <c r="F763" s="7657" t="s">
        <v>2443</v>
      </c>
      <c r="G763" s="7657" t="s">
        <v>3882</v>
      </c>
      <c r="H763" s="7657" t="s">
        <v>17</v>
      </c>
      <c r="I763" s="7657" t="s">
        <v>2374</v>
      </c>
      <c r="J763" s="0" t="s">
        <v>17</v>
      </c>
      <c r="K763" s="0" t="s">
        <v>3365</v>
      </c>
      <c r="L763" s="0" t="s">
        <v>3401</v>
      </c>
      <c r="M763" s="0" t="s">
        <v>3402</v>
      </c>
      <c r="N763" s="0" t="s">
        <v>401</v>
      </c>
    </row>
    <row customHeight="1" ht="11.25">
      <c r="A764" s="7657" t="s">
        <v>2195</v>
      </c>
      <c r="B764" s="7657" t="s">
        <v>14</v>
      </c>
      <c r="C764" s="7657" t="s">
        <v>3883</v>
      </c>
      <c r="D764" s="7657" t="s">
        <v>3884</v>
      </c>
      <c r="E764" s="7657" t="s">
        <v>3885</v>
      </c>
      <c r="F764" s="7657" t="s">
        <v>2542</v>
      </c>
      <c r="G764" s="7657" t="s">
        <v>2557</v>
      </c>
      <c r="H764" s="7657" t="s">
        <v>17</v>
      </c>
      <c r="I764" s="7657" t="s">
        <v>3886</v>
      </c>
      <c r="J764" s="0" t="s">
        <v>17</v>
      </c>
      <c r="K764" s="0" t="s">
        <v>3362</v>
      </c>
      <c r="L764" s="0" t="s">
        <v>3363</v>
      </c>
      <c r="M764" s="0" t="s">
        <v>3364</v>
      </c>
      <c r="N764" s="0" t="s">
        <v>401</v>
      </c>
    </row>
    <row customHeight="1" ht="11.25">
      <c r="A765" s="7657" t="s">
        <v>2195</v>
      </c>
      <c r="B765" s="7657" t="s">
        <v>14</v>
      </c>
      <c r="C765" s="7657" t="s">
        <v>3883</v>
      </c>
      <c r="D765" s="7657" t="s">
        <v>3884</v>
      </c>
      <c r="E765" s="7657" t="s">
        <v>3885</v>
      </c>
      <c r="F765" s="7657" t="s">
        <v>2542</v>
      </c>
      <c r="G765" s="7657" t="s">
        <v>2557</v>
      </c>
      <c r="H765" s="7657" t="s">
        <v>17</v>
      </c>
      <c r="I765" s="7657" t="s">
        <v>3886</v>
      </c>
      <c r="J765" s="0" t="s">
        <v>17</v>
      </c>
      <c r="K765" s="0" t="s">
        <v>3365</v>
      </c>
      <c r="L765" s="0" t="s">
        <v>3363</v>
      </c>
      <c r="M765" s="0" t="s">
        <v>3364</v>
      </c>
      <c r="N765" s="0" t="s">
        <v>401</v>
      </c>
    </row>
    <row customHeight="1" ht="11.25">
      <c r="A766" s="7657" t="s">
        <v>2195</v>
      </c>
      <c r="B766" s="7657" t="s">
        <v>14</v>
      </c>
      <c r="C766" s="7657" t="s">
        <v>3887</v>
      </c>
      <c r="D766" s="7657" t="s">
        <v>3888</v>
      </c>
      <c r="E766" s="7657" t="s">
        <v>3889</v>
      </c>
      <c r="F766" s="7657" t="s">
        <v>2478</v>
      </c>
      <c r="G766" s="7657" t="s">
        <v>3890</v>
      </c>
      <c r="H766" s="7657" t="s">
        <v>17</v>
      </c>
      <c r="I766" s="7657" t="s">
        <v>3891</v>
      </c>
      <c r="J766" s="0" t="s">
        <v>17</v>
      </c>
      <c r="K766" s="0" t="s">
        <v>3362</v>
      </c>
      <c r="L766" s="0" t="s">
        <v>3363</v>
      </c>
      <c r="M766" s="0" t="s">
        <v>3364</v>
      </c>
      <c r="N766" s="0" t="s">
        <v>401</v>
      </c>
    </row>
    <row customHeight="1" ht="11.25">
      <c r="A767" s="7657" t="s">
        <v>2195</v>
      </c>
      <c r="B767" s="7657" t="s">
        <v>14</v>
      </c>
      <c r="C767" s="7657" t="s">
        <v>3887</v>
      </c>
      <c r="D767" s="7657" t="s">
        <v>3888</v>
      </c>
      <c r="E767" s="7657" t="s">
        <v>3889</v>
      </c>
      <c r="F767" s="7657" t="s">
        <v>2478</v>
      </c>
      <c r="G767" s="7657" t="s">
        <v>3890</v>
      </c>
      <c r="H767" s="7657" t="s">
        <v>17</v>
      </c>
      <c r="I767" s="7657" t="s">
        <v>3891</v>
      </c>
      <c r="J767" s="0" t="s">
        <v>17</v>
      </c>
      <c r="K767" s="0" t="s">
        <v>3365</v>
      </c>
      <c r="L767" s="0" t="s">
        <v>3363</v>
      </c>
      <c r="M767" s="0" t="s">
        <v>3364</v>
      </c>
      <c r="N767" s="0" t="s">
        <v>401</v>
      </c>
    </row>
    <row customHeight="1" ht="11.25">
      <c r="A768" s="7657" t="s">
        <v>2195</v>
      </c>
      <c r="B768" s="7657" t="s">
        <v>14</v>
      </c>
      <c r="C768" s="7657" t="s">
        <v>3892</v>
      </c>
      <c r="D768" s="7657" t="s">
        <v>3893</v>
      </c>
      <c r="E768" s="7657" t="s">
        <v>3894</v>
      </c>
      <c r="F768" s="7657" t="s">
        <v>3050</v>
      </c>
      <c r="G768" s="7657" t="s">
        <v>3607</v>
      </c>
      <c r="H768" s="7657" t="s">
        <v>17</v>
      </c>
      <c r="I768" s="7657" t="s">
        <v>3895</v>
      </c>
      <c r="J768" s="0" t="s">
        <v>17</v>
      </c>
      <c r="K768" s="0" t="s">
        <v>3362</v>
      </c>
      <c r="L768" s="0" t="s">
        <v>3401</v>
      </c>
      <c r="M768" s="0" t="s">
        <v>3402</v>
      </c>
      <c r="N768" s="0" t="s">
        <v>401</v>
      </c>
    </row>
    <row customHeight="1" ht="11.25">
      <c r="A769" s="7657" t="s">
        <v>2195</v>
      </c>
      <c r="B769" s="7657" t="s">
        <v>14</v>
      </c>
      <c r="C769" s="7657" t="s">
        <v>3892</v>
      </c>
      <c r="D769" s="7657" t="s">
        <v>3893</v>
      </c>
      <c r="E769" s="7657" t="s">
        <v>3894</v>
      </c>
      <c r="F769" s="7657" t="s">
        <v>3050</v>
      </c>
      <c r="G769" s="7657" t="s">
        <v>3607</v>
      </c>
      <c r="H769" s="7657" t="s">
        <v>17</v>
      </c>
      <c r="I769" s="7657" t="s">
        <v>3895</v>
      </c>
      <c r="J769" s="0" t="s">
        <v>17</v>
      </c>
      <c r="K769" s="0" t="s">
        <v>3365</v>
      </c>
      <c r="L769" s="0" t="s">
        <v>3401</v>
      </c>
      <c r="M769" s="0" t="s">
        <v>3402</v>
      </c>
      <c r="N769" s="0" t="s">
        <v>401</v>
      </c>
    </row>
    <row customHeight="1" ht="11.25">
      <c r="A770" s="7657" t="s">
        <v>2195</v>
      </c>
      <c r="B770" s="7657" t="s">
        <v>14</v>
      </c>
      <c r="C770" s="7657" t="s">
        <v>3896</v>
      </c>
      <c r="D770" s="7657" t="s">
        <v>3897</v>
      </c>
      <c r="E770" s="7657" t="s">
        <v>3898</v>
      </c>
      <c r="F770" s="7657" t="s">
        <v>2711</v>
      </c>
      <c r="G770" s="7657" t="s">
        <v>3899</v>
      </c>
      <c r="H770" s="7657" t="s">
        <v>17</v>
      </c>
      <c r="I770" s="7657" t="s">
        <v>2426</v>
      </c>
      <c r="J770" s="0" t="s">
        <v>17</v>
      </c>
      <c r="K770" s="0" t="s">
        <v>3362</v>
      </c>
      <c r="L770" s="0" t="s">
        <v>3363</v>
      </c>
      <c r="M770" s="0" t="s">
        <v>3364</v>
      </c>
      <c r="N770" s="0" t="s">
        <v>401</v>
      </c>
    </row>
    <row customHeight="1" ht="11.25">
      <c r="A771" s="7657" t="s">
        <v>2195</v>
      </c>
      <c r="B771" s="7657" t="s">
        <v>14</v>
      </c>
      <c r="C771" s="7657" t="s">
        <v>3896</v>
      </c>
      <c r="D771" s="7657" t="s">
        <v>3897</v>
      </c>
      <c r="E771" s="7657" t="s">
        <v>3898</v>
      </c>
      <c r="F771" s="7657" t="s">
        <v>2711</v>
      </c>
      <c r="G771" s="7657" t="s">
        <v>3899</v>
      </c>
      <c r="H771" s="7657" t="s">
        <v>17</v>
      </c>
      <c r="I771" s="7657" t="s">
        <v>2426</v>
      </c>
      <c r="J771" s="0" t="s">
        <v>17</v>
      </c>
      <c r="K771" s="0" t="s">
        <v>3365</v>
      </c>
      <c r="L771" s="0" t="s">
        <v>3363</v>
      </c>
      <c r="M771" s="0" t="s">
        <v>3364</v>
      </c>
      <c r="N771" s="0" t="s">
        <v>401</v>
      </c>
    </row>
    <row customHeight="1" ht="11.25">
      <c r="A772" s="7657" t="s">
        <v>2195</v>
      </c>
      <c r="B772" s="7657" t="s">
        <v>14</v>
      </c>
      <c r="C772" s="7657" t="s">
        <v>3896</v>
      </c>
      <c r="D772" s="7657" t="s">
        <v>3897</v>
      </c>
      <c r="E772" s="7657" t="s">
        <v>3898</v>
      </c>
      <c r="F772" s="7657" t="s">
        <v>2711</v>
      </c>
      <c r="G772" s="7657" t="s">
        <v>3899</v>
      </c>
      <c r="H772" s="7657" t="s">
        <v>17</v>
      </c>
      <c r="I772" s="7657" t="s">
        <v>3900</v>
      </c>
      <c r="J772" s="0" t="s">
        <v>17</v>
      </c>
      <c r="K772" s="0" t="s">
        <v>3362</v>
      </c>
      <c r="L772" s="0" t="s">
        <v>3386</v>
      </c>
      <c r="M772" s="0" t="s">
        <v>3387</v>
      </c>
      <c r="N772" s="0" t="s">
        <v>401</v>
      </c>
    </row>
    <row customHeight="1" ht="11.25">
      <c r="A773" s="7657" t="s">
        <v>2195</v>
      </c>
      <c r="B773" s="7657" t="s">
        <v>14</v>
      </c>
      <c r="C773" s="7657" t="s">
        <v>3896</v>
      </c>
      <c r="D773" s="7657" t="s">
        <v>3897</v>
      </c>
      <c r="E773" s="7657" t="s">
        <v>3898</v>
      </c>
      <c r="F773" s="7657" t="s">
        <v>2711</v>
      </c>
      <c r="G773" s="7657" t="s">
        <v>3899</v>
      </c>
      <c r="H773" s="7657" t="s">
        <v>17</v>
      </c>
      <c r="I773" s="7657" t="s">
        <v>2313</v>
      </c>
      <c r="J773" s="0" t="s">
        <v>17</v>
      </c>
      <c r="K773" s="0" t="s">
        <v>3362</v>
      </c>
      <c r="L773" s="0" t="s">
        <v>3386</v>
      </c>
      <c r="M773" s="0" t="s">
        <v>3387</v>
      </c>
      <c r="N773" s="0" t="s">
        <v>401</v>
      </c>
    </row>
    <row customHeight="1" ht="11.25">
      <c r="A774" s="7657" t="s">
        <v>2195</v>
      </c>
      <c r="B774" s="7657" t="s">
        <v>14</v>
      </c>
      <c r="C774" s="7657" t="s">
        <v>3901</v>
      </c>
      <c r="D774" s="7657" t="s">
        <v>3902</v>
      </c>
      <c r="E774" s="7657" t="s">
        <v>3903</v>
      </c>
      <c r="F774" s="7657" t="s">
        <v>2489</v>
      </c>
      <c r="G774" s="7657" t="s">
        <v>17</v>
      </c>
      <c r="H774" s="7657" t="s">
        <v>17</v>
      </c>
      <c r="I774" s="7657" t="s">
        <v>2208</v>
      </c>
      <c r="J774" s="0" t="s">
        <v>17</v>
      </c>
      <c r="K774" s="0" t="s">
        <v>3362</v>
      </c>
      <c r="L774" s="0" t="s">
        <v>3401</v>
      </c>
      <c r="M774" s="0" t="s">
        <v>3402</v>
      </c>
      <c r="N774" s="0" t="s">
        <v>401</v>
      </c>
    </row>
    <row customHeight="1" ht="11.25">
      <c r="A775" s="7657" t="s">
        <v>2195</v>
      </c>
      <c r="B775" s="7657" t="s">
        <v>14</v>
      </c>
      <c r="C775" s="7657" t="s">
        <v>3901</v>
      </c>
      <c r="D775" s="7657" t="s">
        <v>3902</v>
      </c>
      <c r="E775" s="7657" t="s">
        <v>3903</v>
      </c>
      <c r="F775" s="7657" t="s">
        <v>2489</v>
      </c>
      <c r="G775" s="7657" t="s">
        <v>17</v>
      </c>
      <c r="H775" s="7657" t="s">
        <v>17</v>
      </c>
      <c r="I775" s="7657" t="s">
        <v>2208</v>
      </c>
      <c r="J775" s="0" t="s">
        <v>17</v>
      </c>
      <c r="K775" s="0" t="s">
        <v>3365</v>
      </c>
      <c r="L775" s="0" t="s">
        <v>3401</v>
      </c>
      <c r="M775" s="0" t="s">
        <v>3402</v>
      </c>
      <c r="N775" s="0" t="s">
        <v>401</v>
      </c>
    </row>
    <row customHeight="1" ht="11.25">
      <c r="A776" s="7657" t="s">
        <v>2195</v>
      </c>
      <c r="B776" s="7657" t="s">
        <v>14</v>
      </c>
      <c r="C776" s="7657" t="s">
        <v>2558</v>
      </c>
      <c r="D776" s="7657" t="s">
        <v>2559</v>
      </c>
      <c r="E776" s="7657" t="s">
        <v>2560</v>
      </c>
      <c r="F776" s="7657" t="s">
        <v>2489</v>
      </c>
      <c r="G776" s="7657" t="s">
        <v>17</v>
      </c>
      <c r="H776" s="7657" t="s">
        <v>17</v>
      </c>
      <c r="I776" s="7657" t="s">
        <v>2208</v>
      </c>
      <c r="J776" s="0" t="s">
        <v>17</v>
      </c>
      <c r="K776" s="0" t="s">
        <v>3362</v>
      </c>
      <c r="L776" s="0" t="s">
        <v>3363</v>
      </c>
      <c r="M776" s="0" t="s">
        <v>3364</v>
      </c>
      <c r="N776" s="0" t="s">
        <v>401</v>
      </c>
    </row>
    <row customHeight="1" ht="11.25">
      <c r="A777" s="7657" t="s">
        <v>2195</v>
      </c>
      <c r="B777" s="7657" t="s">
        <v>14</v>
      </c>
      <c r="C777" s="7657" t="s">
        <v>2558</v>
      </c>
      <c r="D777" s="7657" t="s">
        <v>2559</v>
      </c>
      <c r="E777" s="7657" t="s">
        <v>2560</v>
      </c>
      <c r="F777" s="7657" t="s">
        <v>2489</v>
      </c>
      <c r="G777" s="7657" t="s">
        <v>17</v>
      </c>
      <c r="H777" s="7657" t="s">
        <v>17</v>
      </c>
      <c r="I777" s="7657" t="s">
        <v>2208</v>
      </c>
      <c r="J777" s="0" t="s">
        <v>17</v>
      </c>
      <c r="K777" s="0" t="s">
        <v>3365</v>
      </c>
      <c r="L777" s="0" t="s">
        <v>3363</v>
      </c>
      <c r="M777" s="0" t="s">
        <v>3364</v>
      </c>
      <c r="N777" s="0" t="s">
        <v>401</v>
      </c>
    </row>
    <row customHeight="1" ht="11.25">
      <c r="A778" s="7657" t="s">
        <v>2195</v>
      </c>
      <c r="B778" s="7657" t="s">
        <v>14</v>
      </c>
      <c r="C778" s="7657" t="s">
        <v>3904</v>
      </c>
      <c r="D778" s="7657" t="s">
        <v>3905</v>
      </c>
      <c r="E778" s="7657" t="s">
        <v>3906</v>
      </c>
      <c r="F778" s="7657" t="s">
        <v>3050</v>
      </c>
      <c r="G778" s="7657" t="s">
        <v>3907</v>
      </c>
      <c r="H778" s="7657" t="s">
        <v>17</v>
      </c>
      <c r="I778" s="7657" t="s">
        <v>3907</v>
      </c>
      <c r="J778" s="0" t="s">
        <v>17</v>
      </c>
      <c r="K778" s="0" t="s">
        <v>3362</v>
      </c>
      <c r="L778" s="0" t="s">
        <v>3363</v>
      </c>
      <c r="M778" s="0" t="s">
        <v>3364</v>
      </c>
      <c r="N778" s="0" t="s">
        <v>401</v>
      </c>
    </row>
    <row customHeight="1" ht="11.25">
      <c r="A779" s="7657" t="s">
        <v>2195</v>
      </c>
      <c r="B779" s="7657" t="s">
        <v>14</v>
      </c>
      <c r="C779" s="7657" t="s">
        <v>3904</v>
      </c>
      <c r="D779" s="7657" t="s">
        <v>3905</v>
      </c>
      <c r="E779" s="7657" t="s">
        <v>3906</v>
      </c>
      <c r="F779" s="7657" t="s">
        <v>3050</v>
      </c>
      <c r="G779" s="7657" t="s">
        <v>3907</v>
      </c>
      <c r="H779" s="7657" t="s">
        <v>17</v>
      </c>
      <c r="I779" s="7657" t="s">
        <v>3907</v>
      </c>
      <c r="J779" s="0" t="s">
        <v>17</v>
      </c>
      <c r="K779" s="0" t="s">
        <v>3365</v>
      </c>
      <c r="L779" s="0" t="s">
        <v>3363</v>
      </c>
      <c r="M779" s="0" t="s">
        <v>3364</v>
      </c>
      <c r="N779" s="0" t="s">
        <v>401</v>
      </c>
    </row>
    <row customHeight="1" ht="11.25">
      <c r="A780" s="7657" t="s">
        <v>2195</v>
      </c>
      <c r="B780" s="7657" t="s">
        <v>14</v>
      </c>
      <c r="C780" s="7657" t="s">
        <v>3908</v>
      </c>
      <c r="D780" s="7657" t="s">
        <v>3909</v>
      </c>
      <c r="E780" s="7657" t="s">
        <v>3910</v>
      </c>
      <c r="F780" s="7657" t="s">
        <v>2425</v>
      </c>
      <c r="G780" s="7657" t="s">
        <v>3911</v>
      </c>
      <c r="H780" s="7657" t="s">
        <v>17</v>
      </c>
      <c r="I780" s="7657" t="s">
        <v>2534</v>
      </c>
      <c r="J780" s="0" t="s">
        <v>17</v>
      </c>
      <c r="K780" s="0" t="s">
        <v>3362</v>
      </c>
      <c r="L780" s="0" t="s">
        <v>3363</v>
      </c>
      <c r="M780" s="0" t="s">
        <v>3364</v>
      </c>
      <c r="N780" s="0" t="s">
        <v>401</v>
      </c>
    </row>
    <row customHeight="1" ht="11.25">
      <c r="A781" s="7657" t="s">
        <v>2195</v>
      </c>
      <c r="B781" s="7657" t="s">
        <v>14</v>
      </c>
      <c r="C781" s="7657" t="s">
        <v>3908</v>
      </c>
      <c r="D781" s="7657" t="s">
        <v>3909</v>
      </c>
      <c r="E781" s="7657" t="s">
        <v>3910</v>
      </c>
      <c r="F781" s="7657" t="s">
        <v>2425</v>
      </c>
      <c r="G781" s="7657" t="s">
        <v>3911</v>
      </c>
      <c r="H781" s="7657" t="s">
        <v>17</v>
      </c>
      <c r="I781" s="7657" t="s">
        <v>2534</v>
      </c>
      <c r="J781" s="0" t="s">
        <v>17</v>
      </c>
      <c r="K781" s="0" t="s">
        <v>3365</v>
      </c>
      <c r="L781" s="0" t="s">
        <v>3363</v>
      </c>
      <c r="M781" s="0" t="s">
        <v>3364</v>
      </c>
      <c r="N781" s="0" t="s">
        <v>401</v>
      </c>
    </row>
    <row customHeight="1" ht="11.25">
      <c r="A782" s="7657" t="s">
        <v>2195</v>
      </c>
      <c r="B782" s="7657" t="s">
        <v>14</v>
      </c>
      <c r="C782" s="7657" t="s">
        <v>2572</v>
      </c>
      <c r="D782" s="7657" t="s">
        <v>2573</v>
      </c>
      <c r="E782" s="7657" t="s">
        <v>2574</v>
      </c>
      <c r="F782" s="7657" t="s">
        <v>2575</v>
      </c>
      <c r="G782" s="7657" t="s">
        <v>2576</v>
      </c>
      <c r="H782" s="7657" t="s">
        <v>17</v>
      </c>
      <c r="I782" s="7657" t="s">
        <v>2576</v>
      </c>
      <c r="J782" s="0" t="s">
        <v>17</v>
      </c>
      <c r="K782" s="0" t="s">
        <v>3362</v>
      </c>
      <c r="L782" s="0" t="s">
        <v>3363</v>
      </c>
      <c r="M782" s="0" t="s">
        <v>3364</v>
      </c>
      <c r="N782" s="0" t="s">
        <v>401</v>
      </c>
    </row>
    <row customHeight="1" ht="11.25">
      <c r="A783" s="7657" t="s">
        <v>2195</v>
      </c>
      <c r="B783" s="7657" t="s">
        <v>14</v>
      </c>
      <c r="C783" s="7657" t="s">
        <v>2572</v>
      </c>
      <c r="D783" s="7657" t="s">
        <v>2573</v>
      </c>
      <c r="E783" s="7657" t="s">
        <v>2574</v>
      </c>
      <c r="F783" s="7657" t="s">
        <v>2575</v>
      </c>
      <c r="G783" s="7657" t="s">
        <v>2576</v>
      </c>
      <c r="H783" s="7657" t="s">
        <v>17</v>
      </c>
      <c r="I783" s="7657" t="s">
        <v>2576</v>
      </c>
      <c r="J783" s="0" t="s">
        <v>17</v>
      </c>
      <c r="K783" s="0" t="s">
        <v>3365</v>
      </c>
      <c r="L783" s="0" t="s">
        <v>3363</v>
      </c>
      <c r="M783" s="0" t="s">
        <v>3364</v>
      </c>
      <c r="N783" s="0" t="s">
        <v>401</v>
      </c>
    </row>
    <row customHeight="1" ht="11.25">
      <c r="A784" s="7657" t="s">
        <v>2195</v>
      </c>
      <c r="B784" s="7657" t="s">
        <v>14</v>
      </c>
      <c r="C784" s="7657" t="s">
        <v>3912</v>
      </c>
      <c r="D784" s="7657" t="s">
        <v>3913</v>
      </c>
      <c r="E784" s="7657" t="s">
        <v>3914</v>
      </c>
      <c r="F784" s="7657" t="s">
        <v>2711</v>
      </c>
      <c r="G784" s="7657" t="s">
        <v>3915</v>
      </c>
      <c r="H784" s="7657" t="s">
        <v>17</v>
      </c>
      <c r="I784" s="7657" t="s">
        <v>2534</v>
      </c>
      <c r="J784" s="0" t="s">
        <v>17</v>
      </c>
      <c r="K784" s="0" t="s">
        <v>3362</v>
      </c>
      <c r="L784" s="0" t="s">
        <v>3363</v>
      </c>
      <c r="M784" s="0" t="s">
        <v>3364</v>
      </c>
      <c r="N784" s="0" t="s">
        <v>401</v>
      </c>
    </row>
    <row customHeight="1" ht="11.25">
      <c r="A785" s="7657" t="s">
        <v>2195</v>
      </c>
      <c r="B785" s="7657" t="s">
        <v>14</v>
      </c>
      <c r="C785" s="7657" t="s">
        <v>3912</v>
      </c>
      <c r="D785" s="7657" t="s">
        <v>3913</v>
      </c>
      <c r="E785" s="7657" t="s">
        <v>3914</v>
      </c>
      <c r="F785" s="7657" t="s">
        <v>2711</v>
      </c>
      <c r="G785" s="7657" t="s">
        <v>3915</v>
      </c>
      <c r="H785" s="7657" t="s">
        <v>17</v>
      </c>
      <c r="I785" s="7657" t="s">
        <v>2534</v>
      </c>
      <c r="J785" s="0" t="s">
        <v>17</v>
      </c>
      <c r="K785" s="0" t="s">
        <v>3365</v>
      </c>
      <c r="L785" s="0" t="s">
        <v>3363</v>
      </c>
      <c r="M785" s="0" t="s">
        <v>3364</v>
      </c>
      <c r="N785" s="0" t="s">
        <v>401</v>
      </c>
    </row>
    <row customHeight="1" ht="11.25">
      <c r="A786" s="7657" t="s">
        <v>2195</v>
      </c>
      <c r="B786" s="7657" t="s">
        <v>14</v>
      </c>
      <c r="C786" s="7657" t="s">
        <v>3916</v>
      </c>
      <c r="D786" s="7657" t="s">
        <v>3917</v>
      </c>
      <c r="E786" s="7657" t="s">
        <v>3918</v>
      </c>
      <c r="F786" s="7657" t="s">
        <v>2332</v>
      </c>
      <c r="G786" s="7657" t="s">
        <v>2426</v>
      </c>
      <c r="H786" s="7657" t="s">
        <v>17</v>
      </c>
      <c r="I786" s="7657" t="s">
        <v>2426</v>
      </c>
      <c r="J786" s="0" t="s">
        <v>17</v>
      </c>
      <c r="K786" s="0" t="s">
        <v>3362</v>
      </c>
      <c r="L786" s="0" t="s">
        <v>3363</v>
      </c>
      <c r="M786" s="0" t="s">
        <v>3364</v>
      </c>
      <c r="N786" s="0" t="s">
        <v>401</v>
      </c>
    </row>
    <row customHeight="1" ht="11.25">
      <c r="A787" s="7657" t="s">
        <v>2195</v>
      </c>
      <c r="B787" s="7657" t="s">
        <v>14</v>
      </c>
      <c r="C787" s="7657" t="s">
        <v>3916</v>
      </c>
      <c r="D787" s="7657" t="s">
        <v>3917</v>
      </c>
      <c r="E787" s="7657" t="s">
        <v>3918</v>
      </c>
      <c r="F787" s="7657" t="s">
        <v>2332</v>
      </c>
      <c r="G787" s="7657" t="s">
        <v>2426</v>
      </c>
      <c r="H787" s="7657" t="s">
        <v>17</v>
      </c>
      <c r="I787" s="7657" t="s">
        <v>2426</v>
      </c>
      <c r="J787" s="0" t="s">
        <v>17</v>
      </c>
      <c r="K787" s="0" t="s">
        <v>3365</v>
      </c>
      <c r="L787" s="0" t="s">
        <v>3363</v>
      </c>
      <c r="M787" s="0" t="s">
        <v>3364</v>
      </c>
      <c r="N787" s="0" t="s">
        <v>401</v>
      </c>
    </row>
    <row customHeight="1" ht="11.25">
      <c r="A788" s="7657" t="s">
        <v>2195</v>
      </c>
      <c r="B788" s="7657" t="s">
        <v>14</v>
      </c>
      <c r="C788" s="7657" t="s">
        <v>3919</v>
      </c>
      <c r="D788" s="7657" t="s">
        <v>3920</v>
      </c>
      <c r="E788" s="7657" t="s">
        <v>3921</v>
      </c>
      <c r="F788" s="7657" t="s">
        <v>3050</v>
      </c>
      <c r="G788" s="7657" t="s">
        <v>3922</v>
      </c>
      <c r="H788" s="7657" t="s">
        <v>17</v>
      </c>
      <c r="I788" s="7657" t="s">
        <v>2208</v>
      </c>
      <c r="J788" s="0" t="s">
        <v>17</v>
      </c>
      <c r="K788" s="0" t="s">
        <v>3362</v>
      </c>
      <c r="L788" s="0" t="s">
        <v>3480</v>
      </c>
      <c r="M788" s="0" t="s">
        <v>3481</v>
      </c>
      <c r="N788" s="0" t="s">
        <v>401</v>
      </c>
    </row>
    <row customHeight="1" ht="11.25">
      <c r="A789" s="7657" t="s">
        <v>2195</v>
      </c>
      <c r="B789" s="7657" t="s">
        <v>14</v>
      </c>
      <c r="C789" s="7657" t="s">
        <v>3919</v>
      </c>
      <c r="D789" s="7657" t="s">
        <v>3920</v>
      </c>
      <c r="E789" s="7657" t="s">
        <v>3921</v>
      </c>
      <c r="F789" s="7657" t="s">
        <v>3050</v>
      </c>
      <c r="G789" s="7657" t="s">
        <v>3922</v>
      </c>
      <c r="H789" s="7657" t="s">
        <v>17</v>
      </c>
      <c r="I789" s="7657" t="s">
        <v>3922</v>
      </c>
      <c r="J789" s="0" t="s">
        <v>17</v>
      </c>
      <c r="K789" s="0" t="s">
        <v>3362</v>
      </c>
      <c r="L789" s="0" t="s">
        <v>3923</v>
      </c>
      <c r="M789" s="0" t="s">
        <v>3924</v>
      </c>
      <c r="N789" s="0" t="s">
        <v>401</v>
      </c>
    </row>
    <row customHeight="1" ht="11.25">
      <c r="A790" s="7657" t="s">
        <v>2195</v>
      </c>
      <c r="B790" s="7657" t="s">
        <v>14</v>
      </c>
      <c r="C790" s="7657" t="s">
        <v>3919</v>
      </c>
      <c r="D790" s="7657" t="s">
        <v>3920</v>
      </c>
      <c r="E790" s="7657" t="s">
        <v>3921</v>
      </c>
      <c r="F790" s="7657" t="s">
        <v>3050</v>
      </c>
      <c r="G790" s="7657" t="s">
        <v>3922</v>
      </c>
      <c r="H790" s="7657" t="s">
        <v>17</v>
      </c>
      <c r="I790" s="7657" t="s">
        <v>3922</v>
      </c>
      <c r="J790" s="0" t="s">
        <v>17</v>
      </c>
      <c r="K790" s="0" t="s">
        <v>3365</v>
      </c>
      <c r="L790" s="0" t="s">
        <v>3923</v>
      </c>
      <c r="M790" s="0" t="s">
        <v>3924</v>
      </c>
      <c r="N790" s="0" t="s">
        <v>401</v>
      </c>
    </row>
    <row customHeight="1" ht="11.25">
      <c r="A791" s="7657" t="s">
        <v>2195</v>
      </c>
      <c r="B791" s="7657" t="s">
        <v>14</v>
      </c>
      <c r="C791" s="7657" t="s">
        <v>3919</v>
      </c>
      <c r="D791" s="7657" t="s">
        <v>3920</v>
      </c>
      <c r="E791" s="7657" t="s">
        <v>3921</v>
      </c>
      <c r="F791" s="7657" t="s">
        <v>3050</v>
      </c>
      <c r="G791" s="7657" t="s">
        <v>3922</v>
      </c>
      <c r="H791" s="7657" t="s">
        <v>17</v>
      </c>
      <c r="I791" s="7657" t="s">
        <v>3925</v>
      </c>
      <c r="J791" s="0" t="s">
        <v>17</v>
      </c>
      <c r="K791" s="0" t="s">
        <v>3362</v>
      </c>
      <c r="L791" s="0" t="s">
        <v>3519</v>
      </c>
      <c r="M791" s="0" t="s">
        <v>3520</v>
      </c>
      <c r="N791" s="0" t="s">
        <v>401</v>
      </c>
    </row>
    <row customHeight="1" ht="11.25">
      <c r="A792" s="7657" t="s">
        <v>2195</v>
      </c>
      <c r="B792" s="7657" t="s">
        <v>14</v>
      </c>
      <c r="C792" s="7657" t="s">
        <v>3919</v>
      </c>
      <c r="D792" s="7657" t="s">
        <v>3920</v>
      </c>
      <c r="E792" s="7657" t="s">
        <v>3921</v>
      </c>
      <c r="F792" s="7657" t="s">
        <v>3050</v>
      </c>
      <c r="G792" s="7657" t="s">
        <v>3922</v>
      </c>
      <c r="H792" s="7657" t="s">
        <v>17</v>
      </c>
      <c r="I792" s="7657" t="s">
        <v>3925</v>
      </c>
      <c r="J792" s="0" t="s">
        <v>17</v>
      </c>
      <c r="K792" s="0" t="s">
        <v>3365</v>
      </c>
      <c r="L792" s="0" t="s">
        <v>3519</v>
      </c>
      <c r="M792" s="0" t="s">
        <v>3520</v>
      </c>
      <c r="N792" s="0" t="s">
        <v>401</v>
      </c>
    </row>
    <row customHeight="1" ht="11.25">
      <c r="A793" s="7657" t="s">
        <v>2195</v>
      </c>
      <c r="B793" s="7657" t="s">
        <v>14</v>
      </c>
      <c r="C793" s="7657" t="s">
        <v>3919</v>
      </c>
      <c r="D793" s="7657" t="s">
        <v>3920</v>
      </c>
      <c r="E793" s="7657" t="s">
        <v>3921</v>
      </c>
      <c r="F793" s="7657" t="s">
        <v>3050</v>
      </c>
      <c r="G793" s="7657" t="s">
        <v>3922</v>
      </c>
      <c r="H793" s="7657" t="s">
        <v>17</v>
      </c>
      <c r="I793" s="7657" t="s">
        <v>3926</v>
      </c>
      <c r="J793" s="0" t="s">
        <v>17</v>
      </c>
      <c r="K793" s="0" t="s">
        <v>3362</v>
      </c>
      <c r="L793" s="0" t="s">
        <v>3363</v>
      </c>
      <c r="M793" s="0" t="s">
        <v>3364</v>
      </c>
      <c r="N793" s="0" t="s">
        <v>401</v>
      </c>
    </row>
    <row customHeight="1" ht="11.25">
      <c r="A794" s="7657" t="s">
        <v>2195</v>
      </c>
      <c r="B794" s="7657" t="s">
        <v>14</v>
      </c>
      <c r="C794" s="7657" t="s">
        <v>3919</v>
      </c>
      <c r="D794" s="7657" t="s">
        <v>3920</v>
      </c>
      <c r="E794" s="7657" t="s">
        <v>3921</v>
      </c>
      <c r="F794" s="7657" t="s">
        <v>3050</v>
      </c>
      <c r="G794" s="7657" t="s">
        <v>3922</v>
      </c>
      <c r="H794" s="7657" t="s">
        <v>17</v>
      </c>
      <c r="I794" s="7657" t="s">
        <v>3926</v>
      </c>
      <c r="J794" s="0" t="s">
        <v>17</v>
      </c>
      <c r="K794" s="0" t="s">
        <v>3365</v>
      </c>
      <c r="L794" s="0" t="s">
        <v>3363</v>
      </c>
      <c r="M794" s="0" t="s">
        <v>3364</v>
      </c>
      <c r="N794" s="0" t="s">
        <v>401</v>
      </c>
    </row>
    <row customHeight="1" ht="11.25">
      <c r="A795" s="7657" t="s">
        <v>2195</v>
      </c>
      <c r="B795" s="7657" t="s">
        <v>14</v>
      </c>
      <c r="C795" s="7657" t="s">
        <v>3919</v>
      </c>
      <c r="D795" s="7657" t="s">
        <v>3920</v>
      </c>
      <c r="E795" s="7657" t="s">
        <v>3921</v>
      </c>
      <c r="F795" s="7657" t="s">
        <v>3050</v>
      </c>
      <c r="G795" s="7657" t="s">
        <v>3922</v>
      </c>
      <c r="H795" s="7657" t="s">
        <v>17</v>
      </c>
      <c r="I795" s="7657" t="s">
        <v>3927</v>
      </c>
      <c r="J795" s="0" t="s">
        <v>17</v>
      </c>
      <c r="K795" s="0" t="s">
        <v>3362</v>
      </c>
      <c r="L795" s="0" t="s">
        <v>3472</v>
      </c>
      <c r="M795" s="0" t="s">
        <v>3473</v>
      </c>
      <c r="N795" s="0" t="s">
        <v>401</v>
      </c>
    </row>
    <row customHeight="1" ht="11.25">
      <c r="A796" s="7657" t="s">
        <v>2195</v>
      </c>
      <c r="B796" s="7657" t="s">
        <v>14</v>
      </c>
      <c r="C796" s="7657" t="s">
        <v>3919</v>
      </c>
      <c r="D796" s="7657" t="s">
        <v>3920</v>
      </c>
      <c r="E796" s="7657" t="s">
        <v>3921</v>
      </c>
      <c r="F796" s="7657" t="s">
        <v>3050</v>
      </c>
      <c r="G796" s="7657" t="s">
        <v>3922</v>
      </c>
      <c r="H796" s="7657" t="s">
        <v>17</v>
      </c>
      <c r="I796" s="7657" t="s">
        <v>2348</v>
      </c>
      <c r="J796" s="0" t="s">
        <v>17</v>
      </c>
      <c r="K796" s="0" t="s">
        <v>3362</v>
      </c>
      <c r="L796" s="0" t="s">
        <v>3928</v>
      </c>
      <c r="M796" s="0" t="s">
        <v>3929</v>
      </c>
      <c r="N796" s="0" t="s">
        <v>401</v>
      </c>
    </row>
    <row customHeight="1" ht="11.25">
      <c r="A797" s="7657" t="s">
        <v>2195</v>
      </c>
      <c r="B797" s="7657" t="s">
        <v>14</v>
      </c>
      <c r="C797" s="7657" t="s">
        <v>3919</v>
      </c>
      <c r="D797" s="7657" t="s">
        <v>3920</v>
      </c>
      <c r="E797" s="7657" t="s">
        <v>3921</v>
      </c>
      <c r="F797" s="7657" t="s">
        <v>3050</v>
      </c>
      <c r="G797" s="7657" t="s">
        <v>3922</v>
      </c>
      <c r="H797" s="7657" t="s">
        <v>17</v>
      </c>
      <c r="I797" s="7657" t="s">
        <v>2348</v>
      </c>
      <c r="J797" s="0" t="s">
        <v>17</v>
      </c>
      <c r="K797" s="0" t="s">
        <v>3365</v>
      </c>
      <c r="L797" s="0" t="s">
        <v>3928</v>
      </c>
      <c r="M797" s="0" t="s">
        <v>3929</v>
      </c>
      <c r="N797" s="0" t="s">
        <v>401</v>
      </c>
    </row>
    <row customHeight="1" ht="11.25">
      <c r="A798" s="7657" t="s">
        <v>2195</v>
      </c>
      <c r="B798" s="7657" t="s">
        <v>14</v>
      </c>
      <c r="C798" s="7657" t="s">
        <v>3930</v>
      </c>
      <c r="D798" s="7657" t="s">
        <v>3931</v>
      </c>
      <c r="E798" s="7657" t="s">
        <v>3932</v>
      </c>
      <c r="F798" s="7657" t="s">
        <v>2517</v>
      </c>
      <c r="G798" s="7657" t="s">
        <v>3933</v>
      </c>
      <c r="H798" s="7657" t="s">
        <v>17</v>
      </c>
      <c r="I798" s="7657" t="s">
        <v>3312</v>
      </c>
      <c r="J798" s="0" t="s">
        <v>17</v>
      </c>
      <c r="K798" s="0" t="s">
        <v>3362</v>
      </c>
      <c r="L798" s="0" t="s">
        <v>3363</v>
      </c>
      <c r="M798" s="0" t="s">
        <v>3364</v>
      </c>
      <c r="N798" s="0" t="s">
        <v>401</v>
      </c>
    </row>
    <row customHeight="1" ht="11.25">
      <c r="A799" s="7657" t="s">
        <v>2195</v>
      </c>
      <c r="B799" s="7657" t="s">
        <v>14</v>
      </c>
      <c r="C799" s="7657" t="s">
        <v>3930</v>
      </c>
      <c r="D799" s="7657" t="s">
        <v>3931</v>
      </c>
      <c r="E799" s="7657" t="s">
        <v>3932</v>
      </c>
      <c r="F799" s="7657" t="s">
        <v>2517</v>
      </c>
      <c r="G799" s="7657" t="s">
        <v>3933</v>
      </c>
      <c r="H799" s="7657" t="s">
        <v>17</v>
      </c>
      <c r="I799" s="7657" t="s">
        <v>3312</v>
      </c>
      <c r="J799" s="0" t="s">
        <v>17</v>
      </c>
      <c r="K799" s="0" t="s">
        <v>3365</v>
      </c>
      <c r="L799" s="0" t="s">
        <v>3363</v>
      </c>
      <c r="M799" s="0" t="s">
        <v>3364</v>
      </c>
      <c r="N799" s="0" t="s">
        <v>401</v>
      </c>
    </row>
    <row customHeight="1" ht="11.25">
      <c r="A800" s="7657" t="s">
        <v>2195</v>
      </c>
      <c r="B800" s="7657" t="s">
        <v>14</v>
      </c>
      <c r="C800" s="7657" t="s">
        <v>3934</v>
      </c>
      <c r="D800" s="7657" t="s">
        <v>3935</v>
      </c>
      <c r="E800" s="7657" t="s">
        <v>3936</v>
      </c>
      <c r="F800" s="7657" t="s">
        <v>2590</v>
      </c>
      <c r="G800" s="7657" t="s">
        <v>3937</v>
      </c>
      <c r="H800" s="7657" t="s">
        <v>17</v>
      </c>
      <c r="I800" s="7657" t="s">
        <v>2534</v>
      </c>
      <c r="J800" s="0" t="s">
        <v>17</v>
      </c>
      <c r="K800" s="0" t="s">
        <v>3362</v>
      </c>
      <c r="L800" s="0" t="s">
        <v>3363</v>
      </c>
      <c r="M800" s="0" t="s">
        <v>3364</v>
      </c>
      <c r="N800" s="0" t="s">
        <v>401</v>
      </c>
    </row>
    <row customHeight="1" ht="11.25">
      <c r="A801" s="7657" t="s">
        <v>2195</v>
      </c>
      <c r="B801" s="7657" t="s">
        <v>14</v>
      </c>
      <c r="C801" s="7657" t="s">
        <v>3934</v>
      </c>
      <c r="D801" s="7657" t="s">
        <v>3935</v>
      </c>
      <c r="E801" s="7657" t="s">
        <v>3936</v>
      </c>
      <c r="F801" s="7657" t="s">
        <v>2590</v>
      </c>
      <c r="G801" s="7657" t="s">
        <v>3937</v>
      </c>
      <c r="H801" s="7657" t="s">
        <v>17</v>
      </c>
      <c r="I801" s="7657" t="s">
        <v>2534</v>
      </c>
      <c r="J801" s="0" t="s">
        <v>17</v>
      </c>
      <c r="K801" s="0" t="s">
        <v>3365</v>
      </c>
      <c r="L801" s="0" t="s">
        <v>3363</v>
      </c>
      <c r="M801" s="0" t="s">
        <v>3364</v>
      </c>
      <c r="N801" s="0" t="s">
        <v>401</v>
      </c>
    </row>
    <row customHeight="1" ht="11.25">
      <c r="A802" s="7657" t="s">
        <v>2195</v>
      </c>
      <c r="B802" s="7657" t="s">
        <v>14</v>
      </c>
      <c r="C802" s="7657" t="s">
        <v>3938</v>
      </c>
      <c r="D802" s="7657" t="s">
        <v>3939</v>
      </c>
      <c r="E802" s="7657" t="s">
        <v>3940</v>
      </c>
      <c r="F802" s="7657" t="s">
        <v>2517</v>
      </c>
      <c r="G802" s="7657" t="s">
        <v>3941</v>
      </c>
      <c r="H802" s="7657" t="s">
        <v>17</v>
      </c>
      <c r="I802" s="7657" t="s">
        <v>2208</v>
      </c>
      <c r="J802" s="0" t="s">
        <v>17</v>
      </c>
      <c r="K802" s="0" t="s">
        <v>3362</v>
      </c>
      <c r="L802" s="0" t="s">
        <v>3363</v>
      </c>
      <c r="M802" s="0" t="s">
        <v>3364</v>
      </c>
      <c r="N802" s="0" t="s">
        <v>401</v>
      </c>
    </row>
    <row customHeight="1" ht="11.25">
      <c r="A803" s="7657" t="s">
        <v>2195</v>
      </c>
      <c r="B803" s="7657" t="s">
        <v>14</v>
      </c>
      <c r="C803" s="7657" t="s">
        <v>3938</v>
      </c>
      <c r="D803" s="7657" t="s">
        <v>3939</v>
      </c>
      <c r="E803" s="7657" t="s">
        <v>3940</v>
      </c>
      <c r="F803" s="7657" t="s">
        <v>2517</v>
      </c>
      <c r="G803" s="7657" t="s">
        <v>3941</v>
      </c>
      <c r="H803" s="7657" t="s">
        <v>17</v>
      </c>
      <c r="I803" s="7657" t="s">
        <v>2208</v>
      </c>
      <c r="J803" s="0" t="s">
        <v>17</v>
      </c>
      <c r="K803" s="0" t="s">
        <v>3365</v>
      </c>
      <c r="L803" s="0" t="s">
        <v>3363</v>
      </c>
      <c r="M803" s="0" t="s">
        <v>3364</v>
      </c>
      <c r="N803" s="0" t="s">
        <v>401</v>
      </c>
    </row>
    <row customHeight="1" ht="11.25">
      <c r="A804" s="7657" t="s">
        <v>2195</v>
      </c>
      <c r="B804" s="7657" t="s">
        <v>14</v>
      </c>
      <c r="C804" s="7657" t="s">
        <v>3942</v>
      </c>
      <c r="D804" s="7657" t="s">
        <v>3943</v>
      </c>
      <c r="E804" s="7657" t="s">
        <v>3944</v>
      </c>
      <c r="F804" s="7657" t="s">
        <v>2378</v>
      </c>
      <c r="G804" s="7657" t="s">
        <v>2347</v>
      </c>
      <c r="H804" s="7657" t="s">
        <v>17</v>
      </c>
      <c r="I804" s="7657" t="s">
        <v>3385</v>
      </c>
      <c r="J804" s="0" t="s">
        <v>17</v>
      </c>
      <c r="K804" s="0" t="s">
        <v>3362</v>
      </c>
      <c r="L804" s="0" t="s">
        <v>3363</v>
      </c>
      <c r="M804" s="0" t="s">
        <v>3364</v>
      </c>
      <c r="N804" s="0" t="s">
        <v>401</v>
      </c>
    </row>
    <row customHeight="1" ht="11.25">
      <c r="A805" s="7657" t="s">
        <v>2195</v>
      </c>
      <c r="B805" s="7657" t="s">
        <v>14</v>
      </c>
      <c r="C805" s="7657" t="s">
        <v>3942</v>
      </c>
      <c r="D805" s="7657" t="s">
        <v>3943</v>
      </c>
      <c r="E805" s="7657" t="s">
        <v>3944</v>
      </c>
      <c r="F805" s="7657" t="s">
        <v>2378</v>
      </c>
      <c r="G805" s="7657" t="s">
        <v>2347</v>
      </c>
      <c r="H805" s="7657" t="s">
        <v>17</v>
      </c>
      <c r="I805" s="7657" t="s">
        <v>3385</v>
      </c>
      <c r="J805" s="0" t="s">
        <v>17</v>
      </c>
      <c r="K805" s="0" t="s">
        <v>3365</v>
      </c>
      <c r="L805" s="0" t="s">
        <v>3363</v>
      </c>
      <c r="M805" s="0" t="s">
        <v>3364</v>
      </c>
      <c r="N805" s="0" t="s">
        <v>401</v>
      </c>
    </row>
    <row customHeight="1" ht="11.25">
      <c r="A806" s="7657" t="s">
        <v>2195</v>
      </c>
      <c r="B806" s="7657" t="s">
        <v>14</v>
      </c>
      <c r="C806" s="7657" t="s">
        <v>2613</v>
      </c>
      <c r="D806" s="7657" t="s">
        <v>2614</v>
      </c>
      <c r="E806" s="7657" t="s">
        <v>2615</v>
      </c>
      <c r="F806" s="7657" t="s">
        <v>2489</v>
      </c>
      <c r="G806" s="7657" t="s">
        <v>17</v>
      </c>
      <c r="H806" s="7657" t="s">
        <v>17</v>
      </c>
      <c r="I806" s="7657" t="s">
        <v>2208</v>
      </c>
      <c r="J806" s="0" t="s">
        <v>17</v>
      </c>
      <c r="K806" s="0" t="s">
        <v>3362</v>
      </c>
      <c r="L806" s="0" t="s">
        <v>3363</v>
      </c>
      <c r="M806" s="0" t="s">
        <v>3364</v>
      </c>
      <c r="N806" s="0" t="s">
        <v>401</v>
      </c>
    </row>
    <row customHeight="1" ht="11.25">
      <c r="A807" s="7657" t="s">
        <v>2195</v>
      </c>
      <c r="B807" s="7657" t="s">
        <v>14</v>
      </c>
      <c r="C807" s="7657" t="s">
        <v>2613</v>
      </c>
      <c r="D807" s="7657" t="s">
        <v>2614</v>
      </c>
      <c r="E807" s="7657" t="s">
        <v>2615</v>
      </c>
      <c r="F807" s="7657" t="s">
        <v>2489</v>
      </c>
      <c r="G807" s="7657" t="s">
        <v>17</v>
      </c>
      <c r="H807" s="7657" t="s">
        <v>17</v>
      </c>
      <c r="I807" s="7657" t="s">
        <v>2208</v>
      </c>
      <c r="J807" s="0" t="s">
        <v>17</v>
      </c>
      <c r="K807" s="0" t="s">
        <v>3365</v>
      </c>
      <c r="L807" s="0" t="s">
        <v>3363</v>
      </c>
      <c r="M807" s="0" t="s">
        <v>3364</v>
      </c>
      <c r="N807" s="0" t="s">
        <v>401</v>
      </c>
    </row>
    <row customHeight="1" ht="11.25">
      <c r="A808" s="7657" t="s">
        <v>2195</v>
      </c>
      <c r="B808" s="7657" t="s">
        <v>14</v>
      </c>
      <c r="C808" s="7657" t="s">
        <v>3945</v>
      </c>
      <c r="D808" s="7657" t="s">
        <v>3946</v>
      </c>
      <c r="E808" s="7657" t="s">
        <v>3947</v>
      </c>
      <c r="F808" s="7657" t="s">
        <v>2711</v>
      </c>
      <c r="G808" s="7657" t="s">
        <v>3899</v>
      </c>
      <c r="H808" s="7657" t="s">
        <v>17</v>
      </c>
      <c r="I808" s="7657" t="s">
        <v>2426</v>
      </c>
      <c r="J808" s="0" t="s">
        <v>17</v>
      </c>
      <c r="K808" s="0" t="s">
        <v>3362</v>
      </c>
      <c r="L808" s="0" t="s">
        <v>3363</v>
      </c>
      <c r="M808" s="0" t="s">
        <v>3364</v>
      </c>
      <c r="N808" s="0" t="s">
        <v>401</v>
      </c>
    </row>
    <row customHeight="1" ht="11.25">
      <c r="A809" s="7657" t="s">
        <v>2195</v>
      </c>
      <c r="B809" s="7657" t="s">
        <v>14</v>
      </c>
      <c r="C809" s="7657" t="s">
        <v>3945</v>
      </c>
      <c r="D809" s="7657" t="s">
        <v>3946</v>
      </c>
      <c r="E809" s="7657" t="s">
        <v>3947</v>
      </c>
      <c r="F809" s="7657" t="s">
        <v>2711</v>
      </c>
      <c r="G809" s="7657" t="s">
        <v>3899</v>
      </c>
      <c r="H809" s="7657" t="s">
        <v>17</v>
      </c>
      <c r="I809" s="7657" t="s">
        <v>2426</v>
      </c>
      <c r="J809" s="0" t="s">
        <v>17</v>
      </c>
      <c r="K809" s="0" t="s">
        <v>3365</v>
      </c>
      <c r="L809" s="0" t="s">
        <v>3363</v>
      </c>
      <c r="M809" s="0" t="s">
        <v>3364</v>
      </c>
      <c r="N809" s="0" t="s">
        <v>401</v>
      </c>
    </row>
    <row customHeight="1" ht="11.25">
      <c r="A810" s="7657" t="s">
        <v>2195</v>
      </c>
      <c r="B810" s="7657" t="s">
        <v>14</v>
      </c>
      <c r="C810" s="7657" t="s">
        <v>3948</v>
      </c>
      <c r="D810" s="7657" t="s">
        <v>3949</v>
      </c>
      <c r="E810" s="7657" t="s">
        <v>3950</v>
      </c>
      <c r="F810" s="7657" t="s">
        <v>2542</v>
      </c>
      <c r="G810" s="7657" t="s">
        <v>3951</v>
      </c>
      <c r="H810" s="7657" t="s">
        <v>17</v>
      </c>
      <c r="I810" s="7657" t="s">
        <v>3951</v>
      </c>
      <c r="J810" s="0" t="s">
        <v>17</v>
      </c>
      <c r="K810" s="0" t="s">
        <v>3362</v>
      </c>
      <c r="L810" s="0" t="s">
        <v>3363</v>
      </c>
      <c r="M810" s="0" t="s">
        <v>3364</v>
      </c>
      <c r="N810" s="0" t="s">
        <v>401</v>
      </c>
    </row>
    <row customHeight="1" ht="11.25">
      <c r="A811" s="7657" t="s">
        <v>2195</v>
      </c>
      <c r="B811" s="7657" t="s">
        <v>14</v>
      </c>
      <c r="C811" s="7657" t="s">
        <v>3948</v>
      </c>
      <c r="D811" s="7657" t="s">
        <v>3949</v>
      </c>
      <c r="E811" s="7657" t="s">
        <v>3950</v>
      </c>
      <c r="F811" s="7657" t="s">
        <v>2542</v>
      </c>
      <c r="G811" s="7657" t="s">
        <v>3951</v>
      </c>
      <c r="H811" s="7657" t="s">
        <v>17</v>
      </c>
      <c r="I811" s="7657" t="s">
        <v>3951</v>
      </c>
      <c r="J811" s="0" t="s">
        <v>17</v>
      </c>
      <c r="K811" s="0" t="s">
        <v>3365</v>
      </c>
      <c r="L811" s="0" t="s">
        <v>3363</v>
      </c>
      <c r="M811" s="0" t="s">
        <v>3364</v>
      </c>
      <c r="N811" s="0" t="s">
        <v>401</v>
      </c>
    </row>
    <row customHeight="1" ht="11.25">
      <c r="A812" s="7657" t="s">
        <v>2195</v>
      </c>
      <c r="B812" s="7657" t="s">
        <v>14</v>
      </c>
      <c r="C812" s="7657" t="s">
        <v>3952</v>
      </c>
      <c r="D812" s="7657" t="s">
        <v>3953</v>
      </c>
      <c r="E812" s="7657" t="s">
        <v>3954</v>
      </c>
      <c r="F812" s="7657" t="s">
        <v>2711</v>
      </c>
      <c r="G812" s="7657" t="s">
        <v>3955</v>
      </c>
      <c r="H812" s="7657" t="s">
        <v>17</v>
      </c>
      <c r="I812" s="7657" t="s">
        <v>2426</v>
      </c>
      <c r="J812" s="0" t="s">
        <v>17</v>
      </c>
      <c r="K812" s="0" t="s">
        <v>3362</v>
      </c>
      <c r="L812" s="0" t="s">
        <v>3363</v>
      </c>
      <c r="M812" s="0" t="s">
        <v>3364</v>
      </c>
      <c r="N812" s="0" t="s">
        <v>401</v>
      </c>
    </row>
    <row customHeight="1" ht="11.25">
      <c r="A813" s="7657" t="s">
        <v>2195</v>
      </c>
      <c r="B813" s="7657" t="s">
        <v>14</v>
      </c>
      <c r="C813" s="7657" t="s">
        <v>3952</v>
      </c>
      <c r="D813" s="7657" t="s">
        <v>3953</v>
      </c>
      <c r="E813" s="7657" t="s">
        <v>3954</v>
      </c>
      <c r="F813" s="7657" t="s">
        <v>2711</v>
      </c>
      <c r="G813" s="7657" t="s">
        <v>3955</v>
      </c>
      <c r="H813" s="7657" t="s">
        <v>17</v>
      </c>
      <c r="I813" s="7657" t="s">
        <v>2426</v>
      </c>
      <c r="J813" s="0" t="s">
        <v>17</v>
      </c>
      <c r="K813" s="0" t="s">
        <v>3365</v>
      </c>
      <c r="L813" s="0" t="s">
        <v>3363</v>
      </c>
      <c r="M813" s="0" t="s">
        <v>3364</v>
      </c>
      <c r="N813" s="0" t="s">
        <v>401</v>
      </c>
    </row>
    <row customHeight="1" ht="11.25">
      <c r="A814" s="7657" t="s">
        <v>2195</v>
      </c>
      <c r="B814" s="7657" t="s">
        <v>14</v>
      </c>
      <c r="C814" s="7657" t="s">
        <v>3956</v>
      </c>
      <c r="D814" s="7657" t="s">
        <v>3957</v>
      </c>
      <c r="E814" s="7657" t="s">
        <v>3958</v>
      </c>
      <c r="F814" s="7657" t="s">
        <v>2590</v>
      </c>
      <c r="G814" s="7657" t="s">
        <v>3959</v>
      </c>
      <c r="H814" s="7657" t="s">
        <v>17</v>
      </c>
      <c r="I814" s="7657" t="s">
        <v>3959</v>
      </c>
      <c r="J814" s="0" t="s">
        <v>17</v>
      </c>
      <c r="K814" s="0" t="s">
        <v>3362</v>
      </c>
      <c r="L814" s="0" t="s">
        <v>3363</v>
      </c>
      <c r="M814" s="0" t="s">
        <v>3364</v>
      </c>
      <c r="N814" s="0" t="s">
        <v>401</v>
      </c>
    </row>
    <row customHeight="1" ht="11.25">
      <c r="A815" s="7657" t="s">
        <v>2195</v>
      </c>
      <c r="B815" s="7657" t="s">
        <v>14</v>
      </c>
      <c r="C815" s="7657" t="s">
        <v>3956</v>
      </c>
      <c r="D815" s="7657" t="s">
        <v>3957</v>
      </c>
      <c r="E815" s="7657" t="s">
        <v>3958</v>
      </c>
      <c r="F815" s="7657" t="s">
        <v>2590</v>
      </c>
      <c r="G815" s="7657" t="s">
        <v>3959</v>
      </c>
      <c r="H815" s="7657" t="s">
        <v>17</v>
      </c>
      <c r="I815" s="7657" t="s">
        <v>3959</v>
      </c>
      <c r="J815" s="0" t="s">
        <v>17</v>
      </c>
      <c r="K815" s="0" t="s">
        <v>3365</v>
      </c>
      <c r="L815" s="0" t="s">
        <v>3363</v>
      </c>
      <c r="M815" s="0" t="s">
        <v>3364</v>
      </c>
      <c r="N815" s="0" t="s">
        <v>401</v>
      </c>
    </row>
    <row customHeight="1" ht="11.25">
      <c r="A816" s="7657" t="s">
        <v>2195</v>
      </c>
      <c r="B816" s="7657" t="s">
        <v>14</v>
      </c>
      <c r="C816" s="7657" t="s">
        <v>3960</v>
      </c>
      <c r="D816" s="7657" t="s">
        <v>3961</v>
      </c>
      <c r="E816" s="7657" t="s">
        <v>3962</v>
      </c>
      <c r="F816" s="7657" t="s">
        <v>2239</v>
      </c>
      <c r="G816" s="7657" t="s">
        <v>3963</v>
      </c>
      <c r="H816" s="7657" t="s">
        <v>17</v>
      </c>
      <c r="I816" s="7657" t="s">
        <v>2208</v>
      </c>
      <c r="J816" s="0" t="s">
        <v>17</v>
      </c>
      <c r="K816" s="0" t="s">
        <v>3362</v>
      </c>
      <c r="L816" s="0" t="s">
        <v>3401</v>
      </c>
      <c r="M816" s="0" t="s">
        <v>3402</v>
      </c>
      <c r="N816" s="0" t="s">
        <v>401</v>
      </c>
    </row>
    <row customHeight="1" ht="11.25">
      <c r="A817" s="7657" t="s">
        <v>2195</v>
      </c>
      <c r="B817" s="7657" t="s">
        <v>14</v>
      </c>
      <c r="C817" s="7657" t="s">
        <v>3960</v>
      </c>
      <c r="D817" s="7657" t="s">
        <v>3961</v>
      </c>
      <c r="E817" s="7657" t="s">
        <v>3962</v>
      </c>
      <c r="F817" s="7657" t="s">
        <v>2239</v>
      </c>
      <c r="G817" s="7657" t="s">
        <v>3963</v>
      </c>
      <c r="H817" s="7657" t="s">
        <v>17</v>
      </c>
      <c r="I817" s="7657" t="s">
        <v>2208</v>
      </c>
      <c r="J817" s="0" t="s">
        <v>17</v>
      </c>
      <c r="K817" s="0" t="s">
        <v>3365</v>
      </c>
      <c r="L817" s="0" t="s">
        <v>3401</v>
      </c>
      <c r="M817" s="0" t="s">
        <v>3402</v>
      </c>
      <c r="N817" s="0" t="s">
        <v>401</v>
      </c>
    </row>
    <row customHeight="1" ht="11.25">
      <c r="A818" s="7657" t="s">
        <v>2195</v>
      </c>
      <c r="B818" s="7657" t="s">
        <v>14</v>
      </c>
      <c r="C818" s="7657" t="s">
        <v>3964</v>
      </c>
      <c r="D818" s="7657" t="s">
        <v>3965</v>
      </c>
      <c r="E818" s="7657" t="s">
        <v>3966</v>
      </c>
      <c r="F818" s="7657" t="s">
        <v>2866</v>
      </c>
      <c r="G818" s="7657" t="s">
        <v>3890</v>
      </c>
      <c r="H818" s="7657" t="s">
        <v>17</v>
      </c>
      <c r="I818" s="7657" t="s">
        <v>3891</v>
      </c>
      <c r="J818" s="0" t="s">
        <v>17</v>
      </c>
      <c r="K818" s="0" t="s">
        <v>3362</v>
      </c>
      <c r="L818" s="0" t="s">
        <v>3363</v>
      </c>
      <c r="M818" s="0" t="s">
        <v>3364</v>
      </c>
      <c r="N818" s="0" t="s">
        <v>401</v>
      </c>
    </row>
    <row customHeight="1" ht="11.25">
      <c r="A819" s="7657" t="s">
        <v>2195</v>
      </c>
      <c r="B819" s="7657" t="s">
        <v>14</v>
      </c>
      <c r="C819" s="7657" t="s">
        <v>3964</v>
      </c>
      <c r="D819" s="7657" t="s">
        <v>3965</v>
      </c>
      <c r="E819" s="7657" t="s">
        <v>3966</v>
      </c>
      <c r="F819" s="7657" t="s">
        <v>2866</v>
      </c>
      <c r="G819" s="7657" t="s">
        <v>3890</v>
      </c>
      <c r="H819" s="7657" t="s">
        <v>17</v>
      </c>
      <c r="I819" s="7657" t="s">
        <v>3891</v>
      </c>
      <c r="J819" s="0" t="s">
        <v>17</v>
      </c>
      <c r="K819" s="0" t="s">
        <v>3365</v>
      </c>
      <c r="L819" s="0" t="s">
        <v>3363</v>
      </c>
      <c r="M819" s="0" t="s">
        <v>3364</v>
      </c>
      <c r="N819" s="0" t="s">
        <v>401</v>
      </c>
    </row>
    <row customHeight="1" ht="11.25">
      <c r="A820" s="7657" t="s">
        <v>2195</v>
      </c>
      <c r="B820" s="7657" t="s">
        <v>14</v>
      </c>
      <c r="C820" s="7657" t="s">
        <v>3967</v>
      </c>
      <c r="D820" s="7657" t="s">
        <v>3968</v>
      </c>
      <c r="E820" s="7657" t="s">
        <v>3969</v>
      </c>
      <c r="F820" s="7657" t="s">
        <v>2711</v>
      </c>
      <c r="G820" s="7657" t="s">
        <v>3970</v>
      </c>
      <c r="H820" s="7657" t="s">
        <v>17</v>
      </c>
      <c r="I820" s="7657" t="s">
        <v>2426</v>
      </c>
      <c r="J820" s="0" t="s">
        <v>17</v>
      </c>
      <c r="K820" s="0" t="s">
        <v>3362</v>
      </c>
      <c r="L820" s="0" t="s">
        <v>3363</v>
      </c>
      <c r="M820" s="0" t="s">
        <v>3364</v>
      </c>
      <c r="N820" s="0" t="s">
        <v>401</v>
      </c>
    </row>
    <row customHeight="1" ht="11.25">
      <c r="A821" s="7657" t="s">
        <v>2195</v>
      </c>
      <c r="B821" s="7657" t="s">
        <v>14</v>
      </c>
      <c r="C821" s="7657" t="s">
        <v>3967</v>
      </c>
      <c r="D821" s="7657" t="s">
        <v>3968</v>
      </c>
      <c r="E821" s="7657" t="s">
        <v>3969</v>
      </c>
      <c r="F821" s="7657" t="s">
        <v>2711</v>
      </c>
      <c r="G821" s="7657" t="s">
        <v>3970</v>
      </c>
      <c r="H821" s="7657" t="s">
        <v>17</v>
      </c>
      <c r="I821" s="7657" t="s">
        <v>2426</v>
      </c>
      <c r="J821" s="0" t="s">
        <v>17</v>
      </c>
      <c r="K821" s="0" t="s">
        <v>3365</v>
      </c>
      <c r="L821" s="0" t="s">
        <v>3363</v>
      </c>
      <c r="M821" s="0" t="s">
        <v>3364</v>
      </c>
      <c r="N821" s="0" t="s">
        <v>401</v>
      </c>
    </row>
    <row customHeight="1" ht="11.25">
      <c r="A822" s="7657" t="s">
        <v>2195</v>
      </c>
      <c r="B822" s="7657" t="s">
        <v>14</v>
      </c>
      <c r="C822" s="7657" t="s">
        <v>3971</v>
      </c>
      <c r="D822" s="7657" t="s">
        <v>3972</v>
      </c>
      <c r="E822" s="7657" t="s">
        <v>3973</v>
      </c>
      <c r="F822" s="7657" t="s">
        <v>2590</v>
      </c>
      <c r="G822" s="7657" t="s">
        <v>3974</v>
      </c>
      <c r="H822" s="7657" t="s">
        <v>17</v>
      </c>
      <c r="I822" s="7657" t="s">
        <v>2534</v>
      </c>
      <c r="J822" s="0" t="s">
        <v>17</v>
      </c>
      <c r="K822" s="0" t="s">
        <v>3362</v>
      </c>
      <c r="L822" s="0" t="s">
        <v>3363</v>
      </c>
      <c r="M822" s="0" t="s">
        <v>3364</v>
      </c>
      <c r="N822" s="0" t="s">
        <v>401</v>
      </c>
    </row>
    <row customHeight="1" ht="11.25">
      <c r="A823" s="7657" t="s">
        <v>2195</v>
      </c>
      <c r="B823" s="7657" t="s">
        <v>14</v>
      </c>
      <c r="C823" s="7657" t="s">
        <v>3971</v>
      </c>
      <c r="D823" s="7657" t="s">
        <v>3972</v>
      </c>
      <c r="E823" s="7657" t="s">
        <v>3973</v>
      </c>
      <c r="F823" s="7657" t="s">
        <v>2590</v>
      </c>
      <c r="G823" s="7657" t="s">
        <v>3974</v>
      </c>
      <c r="H823" s="7657" t="s">
        <v>17</v>
      </c>
      <c r="I823" s="7657" t="s">
        <v>2534</v>
      </c>
      <c r="J823" s="0" t="s">
        <v>17</v>
      </c>
      <c r="K823" s="0" t="s">
        <v>3365</v>
      </c>
      <c r="L823" s="0" t="s">
        <v>3363</v>
      </c>
      <c r="M823" s="0" t="s">
        <v>3364</v>
      </c>
      <c r="N823" s="0" t="s">
        <v>401</v>
      </c>
    </row>
    <row customHeight="1" ht="11.25">
      <c r="A824" s="7657" t="s">
        <v>2195</v>
      </c>
      <c r="B824" s="7657" t="s">
        <v>14</v>
      </c>
      <c r="C824" s="7657" t="s">
        <v>3975</v>
      </c>
      <c r="D824" s="7657" t="s">
        <v>3976</v>
      </c>
      <c r="E824" s="7657" t="s">
        <v>3977</v>
      </c>
      <c r="F824" s="7657" t="s">
        <v>2719</v>
      </c>
      <c r="G824" s="7657" t="s">
        <v>3978</v>
      </c>
      <c r="H824" s="7657" t="s">
        <v>17</v>
      </c>
      <c r="I824" s="7657" t="s">
        <v>2426</v>
      </c>
      <c r="J824" s="0" t="s">
        <v>17</v>
      </c>
      <c r="K824" s="0" t="s">
        <v>3362</v>
      </c>
      <c r="L824" s="0" t="s">
        <v>3363</v>
      </c>
      <c r="M824" s="0" t="s">
        <v>3364</v>
      </c>
      <c r="N824" s="0" t="s">
        <v>401</v>
      </c>
    </row>
    <row customHeight="1" ht="11.25">
      <c r="A825" s="7657" t="s">
        <v>2195</v>
      </c>
      <c r="B825" s="7657" t="s">
        <v>14</v>
      </c>
      <c r="C825" s="7657" t="s">
        <v>3975</v>
      </c>
      <c r="D825" s="7657" t="s">
        <v>3976</v>
      </c>
      <c r="E825" s="7657" t="s">
        <v>3977</v>
      </c>
      <c r="F825" s="7657" t="s">
        <v>2719</v>
      </c>
      <c r="G825" s="7657" t="s">
        <v>3978</v>
      </c>
      <c r="H825" s="7657" t="s">
        <v>17</v>
      </c>
      <c r="I825" s="7657" t="s">
        <v>2426</v>
      </c>
      <c r="J825" s="0" t="s">
        <v>17</v>
      </c>
      <c r="K825" s="0" t="s">
        <v>3365</v>
      </c>
      <c r="L825" s="0" t="s">
        <v>3363</v>
      </c>
      <c r="M825" s="0" t="s">
        <v>3364</v>
      </c>
      <c r="N825" s="0" t="s">
        <v>401</v>
      </c>
    </row>
    <row customHeight="1" ht="11.25">
      <c r="A826" s="7657" t="s">
        <v>2195</v>
      </c>
      <c r="B826" s="7657" t="s">
        <v>14</v>
      </c>
      <c r="C826" s="7657" t="s">
        <v>3979</v>
      </c>
      <c r="D826" s="7657" t="s">
        <v>3980</v>
      </c>
      <c r="E826" s="7657" t="s">
        <v>3981</v>
      </c>
      <c r="F826" s="7657" t="s">
        <v>2254</v>
      </c>
      <c r="G826" s="7657" t="s">
        <v>3982</v>
      </c>
      <c r="H826" s="7657" t="s">
        <v>17</v>
      </c>
      <c r="I826" s="7657" t="s">
        <v>2208</v>
      </c>
      <c r="J826" s="0" t="s">
        <v>17</v>
      </c>
      <c r="K826" s="0" t="s">
        <v>3362</v>
      </c>
      <c r="L826" s="0" t="s">
        <v>3363</v>
      </c>
      <c r="M826" s="0" t="s">
        <v>3364</v>
      </c>
      <c r="N826" s="0" t="s">
        <v>401</v>
      </c>
    </row>
    <row customHeight="1" ht="11.25">
      <c r="A827" s="7657" t="s">
        <v>2195</v>
      </c>
      <c r="B827" s="7657" t="s">
        <v>14</v>
      </c>
      <c r="C827" s="7657" t="s">
        <v>3979</v>
      </c>
      <c r="D827" s="7657" t="s">
        <v>3980</v>
      </c>
      <c r="E827" s="7657" t="s">
        <v>3981</v>
      </c>
      <c r="F827" s="7657" t="s">
        <v>2254</v>
      </c>
      <c r="G827" s="7657" t="s">
        <v>3982</v>
      </c>
      <c r="H827" s="7657" t="s">
        <v>17</v>
      </c>
      <c r="I827" s="7657" t="s">
        <v>2208</v>
      </c>
      <c r="J827" s="0" t="s">
        <v>17</v>
      </c>
      <c r="K827" s="0" t="s">
        <v>3365</v>
      </c>
      <c r="L827" s="0" t="s">
        <v>3363</v>
      </c>
      <c r="M827" s="0" t="s">
        <v>3364</v>
      </c>
      <c r="N827" s="0" t="s">
        <v>401</v>
      </c>
    </row>
    <row customHeight="1" ht="11.25">
      <c r="A828" s="7657" t="s">
        <v>2195</v>
      </c>
      <c r="B828" s="7657" t="s">
        <v>14</v>
      </c>
      <c r="C828" s="7657" t="s">
        <v>3983</v>
      </c>
      <c r="D828" s="7657" t="s">
        <v>3984</v>
      </c>
      <c r="E828" s="7657" t="s">
        <v>3985</v>
      </c>
      <c r="F828" s="7657" t="s">
        <v>2856</v>
      </c>
      <c r="G828" s="7657" t="s">
        <v>3986</v>
      </c>
      <c r="H828" s="7657" t="s">
        <v>17</v>
      </c>
      <c r="I828" s="7657" t="s">
        <v>3986</v>
      </c>
      <c r="J828" s="0" t="s">
        <v>17</v>
      </c>
      <c r="K828" s="0" t="s">
        <v>3362</v>
      </c>
      <c r="L828" s="0" t="s">
        <v>3363</v>
      </c>
      <c r="M828" s="0" t="s">
        <v>3364</v>
      </c>
      <c r="N828" s="0" t="s">
        <v>401</v>
      </c>
    </row>
    <row customHeight="1" ht="11.25">
      <c r="A829" s="7657" t="s">
        <v>2195</v>
      </c>
      <c r="B829" s="7657" t="s">
        <v>14</v>
      </c>
      <c r="C829" s="7657" t="s">
        <v>3983</v>
      </c>
      <c r="D829" s="7657" t="s">
        <v>3984</v>
      </c>
      <c r="E829" s="7657" t="s">
        <v>3985</v>
      </c>
      <c r="F829" s="7657" t="s">
        <v>2856</v>
      </c>
      <c r="G829" s="7657" t="s">
        <v>3986</v>
      </c>
      <c r="H829" s="7657" t="s">
        <v>17</v>
      </c>
      <c r="I829" s="7657" t="s">
        <v>3986</v>
      </c>
      <c r="J829" s="0" t="s">
        <v>17</v>
      </c>
      <c r="K829" s="0" t="s">
        <v>3365</v>
      </c>
      <c r="L829" s="0" t="s">
        <v>3363</v>
      </c>
      <c r="M829" s="0" t="s">
        <v>3364</v>
      </c>
      <c r="N829" s="0" t="s">
        <v>401</v>
      </c>
    </row>
    <row customHeight="1" ht="11.25">
      <c r="A830" s="7657" t="s">
        <v>2195</v>
      </c>
      <c r="B830" s="7657" t="s">
        <v>14</v>
      </c>
      <c r="C830" s="7657" t="s">
        <v>3987</v>
      </c>
      <c r="D830" s="7657" t="s">
        <v>3988</v>
      </c>
      <c r="E830" s="7657" t="s">
        <v>3989</v>
      </c>
      <c r="F830" s="7657" t="s">
        <v>2866</v>
      </c>
      <c r="G830" s="7657" t="s">
        <v>3990</v>
      </c>
      <c r="H830" s="7657" t="s">
        <v>17</v>
      </c>
      <c r="I830" s="7657" t="s">
        <v>3990</v>
      </c>
      <c r="J830" s="0" t="s">
        <v>17</v>
      </c>
      <c r="K830" s="0" t="s">
        <v>3362</v>
      </c>
      <c r="L830" s="0" t="s">
        <v>3363</v>
      </c>
      <c r="M830" s="0" t="s">
        <v>3364</v>
      </c>
      <c r="N830" s="0" t="s">
        <v>401</v>
      </c>
    </row>
    <row customHeight="1" ht="11.25">
      <c r="A831" s="7657" t="s">
        <v>2195</v>
      </c>
      <c r="B831" s="7657" t="s">
        <v>14</v>
      </c>
      <c r="C831" s="7657" t="s">
        <v>3987</v>
      </c>
      <c r="D831" s="7657" t="s">
        <v>3988</v>
      </c>
      <c r="E831" s="7657" t="s">
        <v>3989</v>
      </c>
      <c r="F831" s="7657" t="s">
        <v>2866</v>
      </c>
      <c r="G831" s="7657" t="s">
        <v>3990</v>
      </c>
      <c r="H831" s="7657" t="s">
        <v>17</v>
      </c>
      <c r="I831" s="7657" t="s">
        <v>3990</v>
      </c>
      <c r="J831" s="0" t="s">
        <v>17</v>
      </c>
      <c r="K831" s="0" t="s">
        <v>3365</v>
      </c>
      <c r="L831" s="0" t="s">
        <v>3363</v>
      </c>
      <c r="M831" s="0" t="s">
        <v>3364</v>
      </c>
      <c r="N831" s="0" t="s">
        <v>401</v>
      </c>
    </row>
    <row customHeight="1" ht="11.25">
      <c r="A832" s="7657" t="s">
        <v>2195</v>
      </c>
      <c r="B832" s="7657" t="s">
        <v>14</v>
      </c>
      <c r="C832" s="7657" t="s">
        <v>3991</v>
      </c>
      <c r="D832" s="7657" t="s">
        <v>3992</v>
      </c>
      <c r="E832" s="7657" t="s">
        <v>3993</v>
      </c>
      <c r="F832" s="7657" t="s">
        <v>2590</v>
      </c>
      <c r="G832" s="7657" t="s">
        <v>3994</v>
      </c>
      <c r="H832" s="7657" t="s">
        <v>17</v>
      </c>
      <c r="I832" s="7657" t="s">
        <v>2534</v>
      </c>
      <c r="J832" s="0" t="s">
        <v>17</v>
      </c>
      <c r="K832" s="0" t="s">
        <v>3362</v>
      </c>
      <c r="L832" s="0" t="s">
        <v>3363</v>
      </c>
      <c r="M832" s="0" t="s">
        <v>3364</v>
      </c>
      <c r="N832" s="0" t="s">
        <v>401</v>
      </c>
    </row>
    <row customHeight="1" ht="11.25">
      <c r="A833" s="7657" t="s">
        <v>2195</v>
      </c>
      <c r="B833" s="7657" t="s">
        <v>14</v>
      </c>
      <c r="C833" s="7657" t="s">
        <v>3991</v>
      </c>
      <c r="D833" s="7657" t="s">
        <v>3992</v>
      </c>
      <c r="E833" s="7657" t="s">
        <v>3993</v>
      </c>
      <c r="F833" s="7657" t="s">
        <v>2590</v>
      </c>
      <c r="G833" s="7657" t="s">
        <v>3994</v>
      </c>
      <c r="H833" s="7657" t="s">
        <v>17</v>
      </c>
      <c r="I833" s="7657" t="s">
        <v>2534</v>
      </c>
      <c r="J833" s="0" t="s">
        <v>17</v>
      </c>
      <c r="K833" s="0" t="s">
        <v>3365</v>
      </c>
      <c r="L833" s="0" t="s">
        <v>3363</v>
      </c>
      <c r="M833" s="0" t="s">
        <v>3364</v>
      </c>
      <c r="N833" s="0" t="s">
        <v>401</v>
      </c>
    </row>
    <row customHeight="1" ht="11.25">
      <c r="A834" s="7657" t="s">
        <v>2195</v>
      </c>
      <c r="B834" s="7657" t="s">
        <v>14</v>
      </c>
      <c r="C834" s="7657" t="s">
        <v>3995</v>
      </c>
      <c r="D834" s="7657" t="s">
        <v>3996</v>
      </c>
      <c r="E834" s="7657" t="s">
        <v>3997</v>
      </c>
      <c r="F834" s="7657" t="s">
        <v>2711</v>
      </c>
      <c r="G834" s="7657" t="s">
        <v>3998</v>
      </c>
      <c r="H834" s="7657" t="s">
        <v>17</v>
      </c>
      <c r="I834" s="7657" t="s">
        <v>2426</v>
      </c>
      <c r="J834" s="0" t="s">
        <v>17</v>
      </c>
      <c r="K834" s="0" t="s">
        <v>3362</v>
      </c>
      <c r="L834" s="0" t="s">
        <v>3363</v>
      </c>
      <c r="M834" s="0" t="s">
        <v>3364</v>
      </c>
      <c r="N834" s="0" t="s">
        <v>401</v>
      </c>
    </row>
    <row customHeight="1" ht="11.25">
      <c r="A835" s="7657" t="s">
        <v>2195</v>
      </c>
      <c r="B835" s="7657" t="s">
        <v>14</v>
      </c>
      <c r="C835" s="7657" t="s">
        <v>3995</v>
      </c>
      <c r="D835" s="7657" t="s">
        <v>3996</v>
      </c>
      <c r="E835" s="7657" t="s">
        <v>3997</v>
      </c>
      <c r="F835" s="7657" t="s">
        <v>2711</v>
      </c>
      <c r="G835" s="7657" t="s">
        <v>3998</v>
      </c>
      <c r="H835" s="7657" t="s">
        <v>17</v>
      </c>
      <c r="I835" s="7657" t="s">
        <v>2426</v>
      </c>
      <c r="J835" s="0" t="s">
        <v>17</v>
      </c>
      <c r="K835" s="0" t="s">
        <v>3365</v>
      </c>
      <c r="L835" s="0" t="s">
        <v>3363</v>
      </c>
      <c r="M835" s="0" t="s">
        <v>3364</v>
      </c>
      <c r="N835" s="0" t="s">
        <v>401</v>
      </c>
    </row>
    <row customHeight="1" ht="11.25">
      <c r="A836" s="7657" t="s">
        <v>2195</v>
      </c>
      <c r="B836" s="7657" t="s">
        <v>14</v>
      </c>
      <c r="C836" s="7657" t="s">
        <v>3999</v>
      </c>
      <c r="D836" s="7657" t="s">
        <v>4000</v>
      </c>
      <c r="E836" s="7657" t="s">
        <v>4001</v>
      </c>
      <c r="F836" s="7657" t="s">
        <v>2856</v>
      </c>
      <c r="G836" s="7657" t="s">
        <v>4002</v>
      </c>
      <c r="H836" s="7657" t="s">
        <v>17</v>
      </c>
      <c r="I836" s="7657" t="s">
        <v>4002</v>
      </c>
      <c r="J836" s="0" t="s">
        <v>17</v>
      </c>
      <c r="K836" s="0" t="s">
        <v>3362</v>
      </c>
      <c r="L836" s="0" t="s">
        <v>3363</v>
      </c>
      <c r="M836" s="0" t="s">
        <v>3364</v>
      </c>
      <c r="N836" s="0" t="s">
        <v>401</v>
      </c>
    </row>
    <row customHeight="1" ht="11.25">
      <c r="A837" s="7657" t="s">
        <v>2195</v>
      </c>
      <c r="B837" s="7657" t="s">
        <v>14</v>
      </c>
      <c r="C837" s="7657" t="s">
        <v>3999</v>
      </c>
      <c r="D837" s="7657" t="s">
        <v>4000</v>
      </c>
      <c r="E837" s="7657" t="s">
        <v>4001</v>
      </c>
      <c r="F837" s="7657" t="s">
        <v>2856</v>
      </c>
      <c r="G837" s="7657" t="s">
        <v>4002</v>
      </c>
      <c r="H837" s="7657" t="s">
        <v>17</v>
      </c>
      <c r="I837" s="7657" t="s">
        <v>4002</v>
      </c>
      <c r="J837" s="0" t="s">
        <v>17</v>
      </c>
      <c r="K837" s="0" t="s">
        <v>3365</v>
      </c>
      <c r="L837" s="0" t="s">
        <v>3363</v>
      </c>
      <c r="M837" s="0" t="s">
        <v>3364</v>
      </c>
      <c r="N837" s="0" t="s">
        <v>401</v>
      </c>
    </row>
    <row customHeight="1" ht="11.25">
      <c r="A838" s="7657" t="s">
        <v>2195</v>
      </c>
      <c r="B838" s="7657" t="s">
        <v>14</v>
      </c>
      <c r="C838" s="7657" t="s">
        <v>4003</v>
      </c>
      <c r="D838" s="7657" t="s">
        <v>4004</v>
      </c>
      <c r="E838" s="7657" t="s">
        <v>4005</v>
      </c>
      <c r="F838" s="7657" t="s">
        <v>2590</v>
      </c>
      <c r="G838" s="7657" t="s">
        <v>4006</v>
      </c>
      <c r="H838" s="7657" t="s">
        <v>17</v>
      </c>
      <c r="I838" s="7657" t="s">
        <v>2534</v>
      </c>
      <c r="J838" s="0" t="s">
        <v>17</v>
      </c>
      <c r="K838" s="0" t="s">
        <v>3362</v>
      </c>
      <c r="L838" s="0" t="s">
        <v>3363</v>
      </c>
      <c r="M838" s="0" t="s">
        <v>3364</v>
      </c>
      <c r="N838" s="0" t="s">
        <v>401</v>
      </c>
    </row>
    <row customHeight="1" ht="11.25">
      <c r="A839" s="7657" t="s">
        <v>2195</v>
      </c>
      <c r="B839" s="7657" t="s">
        <v>14</v>
      </c>
      <c r="C839" s="7657" t="s">
        <v>4003</v>
      </c>
      <c r="D839" s="7657" t="s">
        <v>4004</v>
      </c>
      <c r="E839" s="7657" t="s">
        <v>4005</v>
      </c>
      <c r="F839" s="7657" t="s">
        <v>2590</v>
      </c>
      <c r="G839" s="7657" t="s">
        <v>4006</v>
      </c>
      <c r="H839" s="7657" t="s">
        <v>17</v>
      </c>
      <c r="I839" s="7657" t="s">
        <v>2534</v>
      </c>
      <c r="J839" s="0" t="s">
        <v>17</v>
      </c>
      <c r="K839" s="0" t="s">
        <v>3365</v>
      </c>
      <c r="L839" s="0" t="s">
        <v>3363</v>
      </c>
      <c r="M839" s="0" t="s">
        <v>3364</v>
      </c>
      <c r="N839" s="0" t="s">
        <v>401</v>
      </c>
    </row>
    <row customHeight="1" ht="11.25">
      <c r="A840" s="7657" t="s">
        <v>2195</v>
      </c>
      <c r="B840" s="7657" t="s">
        <v>14</v>
      </c>
      <c r="C840" s="7657" t="s">
        <v>4007</v>
      </c>
      <c r="D840" s="7657" t="s">
        <v>4008</v>
      </c>
      <c r="E840" s="7657" t="s">
        <v>4009</v>
      </c>
      <c r="F840" s="7657" t="s">
        <v>2866</v>
      </c>
      <c r="G840" s="7657" t="s">
        <v>4010</v>
      </c>
      <c r="H840" s="7657" t="s">
        <v>17</v>
      </c>
      <c r="I840" s="7657" t="s">
        <v>4010</v>
      </c>
      <c r="J840" s="0" t="s">
        <v>17</v>
      </c>
      <c r="K840" s="0" t="s">
        <v>3362</v>
      </c>
      <c r="L840" s="0" t="s">
        <v>3363</v>
      </c>
      <c r="M840" s="0" t="s">
        <v>3364</v>
      </c>
      <c r="N840" s="0" t="s">
        <v>401</v>
      </c>
    </row>
    <row customHeight="1" ht="11.25">
      <c r="A841" s="7657" t="s">
        <v>2195</v>
      </c>
      <c r="B841" s="7657" t="s">
        <v>14</v>
      </c>
      <c r="C841" s="7657" t="s">
        <v>4007</v>
      </c>
      <c r="D841" s="7657" t="s">
        <v>4008</v>
      </c>
      <c r="E841" s="7657" t="s">
        <v>4009</v>
      </c>
      <c r="F841" s="7657" t="s">
        <v>2866</v>
      </c>
      <c r="G841" s="7657" t="s">
        <v>4010</v>
      </c>
      <c r="H841" s="7657" t="s">
        <v>17</v>
      </c>
      <c r="I841" s="7657" t="s">
        <v>4010</v>
      </c>
      <c r="J841" s="0" t="s">
        <v>17</v>
      </c>
      <c r="K841" s="0" t="s">
        <v>3365</v>
      </c>
      <c r="L841" s="0" t="s">
        <v>3363</v>
      </c>
      <c r="M841" s="0" t="s">
        <v>3364</v>
      </c>
      <c r="N841" s="0" t="s">
        <v>401</v>
      </c>
    </row>
    <row customHeight="1" ht="11.25">
      <c r="A842" s="7657" t="s">
        <v>2195</v>
      </c>
      <c r="B842" s="7657" t="s">
        <v>14</v>
      </c>
      <c r="C842" s="7657" t="s">
        <v>4011</v>
      </c>
      <c r="D842" s="7657" t="s">
        <v>4012</v>
      </c>
      <c r="E842" s="7657" t="s">
        <v>4013</v>
      </c>
      <c r="F842" s="7657" t="s">
        <v>2866</v>
      </c>
      <c r="G842" s="7657" t="s">
        <v>4014</v>
      </c>
      <c r="H842" s="7657" t="s">
        <v>17</v>
      </c>
      <c r="I842" s="7657" t="s">
        <v>4014</v>
      </c>
      <c r="J842" s="0" t="s">
        <v>17</v>
      </c>
      <c r="K842" s="0" t="s">
        <v>3362</v>
      </c>
      <c r="L842" s="0" t="s">
        <v>3363</v>
      </c>
      <c r="M842" s="0" t="s">
        <v>3364</v>
      </c>
      <c r="N842" s="0" t="s">
        <v>401</v>
      </c>
    </row>
    <row customHeight="1" ht="11.25">
      <c r="A843" s="7657" t="s">
        <v>2195</v>
      </c>
      <c r="B843" s="7657" t="s">
        <v>14</v>
      </c>
      <c r="C843" s="7657" t="s">
        <v>4011</v>
      </c>
      <c r="D843" s="7657" t="s">
        <v>4012</v>
      </c>
      <c r="E843" s="7657" t="s">
        <v>4013</v>
      </c>
      <c r="F843" s="7657" t="s">
        <v>2866</v>
      </c>
      <c r="G843" s="7657" t="s">
        <v>4014</v>
      </c>
      <c r="H843" s="7657" t="s">
        <v>17</v>
      </c>
      <c r="I843" s="7657" t="s">
        <v>4014</v>
      </c>
      <c r="J843" s="0" t="s">
        <v>17</v>
      </c>
      <c r="K843" s="0" t="s">
        <v>3365</v>
      </c>
      <c r="L843" s="0" t="s">
        <v>3363</v>
      </c>
      <c r="M843" s="0" t="s">
        <v>3364</v>
      </c>
      <c r="N843" s="0" t="s">
        <v>401</v>
      </c>
    </row>
    <row customHeight="1" ht="11.25">
      <c r="A844" s="7657" t="s">
        <v>2195</v>
      </c>
      <c r="B844" s="7657" t="s">
        <v>14</v>
      </c>
      <c r="C844" s="7657" t="s">
        <v>4015</v>
      </c>
      <c r="D844" s="7657" t="s">
        <v>4016</v>
      </c>
      <c r="E844" s="7657" t="s">
        <v>4017</v>
      </c>
      <c r="F844" s="7657" t="s">
        <v>2483</v>
      </c>
      <c r="G844" s="7657" t="s">
        <v>17</v>
      </c>
      <c r="H844" s="7657" t="s">
        <v>17</v>
      </c>
      <c r="I844" s="7657" t="s">
        <v>2534</v>
      </c>
      <c r="J844" s="0" t="s">
        <v>17</v>
      </c>
      <c r="K844" s="0" t="s">
        <v>3362</v>
      </c>
      <c r="L844" s="0" t="s">
        <v>3401</v>
      </c>
      <c r="M844" s="0" t="s">
        <v>3402</v>
      </c>
      <c r="N844" s="0" t="s">
        <v>401</v>
      </c>
    </row>
    <row customHeight="1" ht="11.25">
      <c r="A845" s="7657" t="s">
        <v>2195</v>
      </c>
      <c r="B845" s="7657" t="s">
        <v>14</v>
      </c>
      <c r="C845" s="7657" t="s">
        <v>4015</v>
      </c>
      <c r="D845" s="7657" t="s">
        <v>4016</v>
      </c>
      <c r="E845" s="7657" t="s">
        <v>4017</v>
      </c>
      <c r="F845" s="7657" t="s">
        <v>2483</v>
      </c>
      <c r="G845" s="7657" t="s">
        <v>17</v>
      </c>
      <c r="H845" s="7657" t="s">
        <v>17</v>
      </c>
      <c r="I845" s="7657" t="s">
        <v>2534</v>
      </c>
      <c r="J845" s="0" t="s">
        <v>17</v>
      </c>
      <c r="K845" s="0" t="s">
        <v>3365</v>
      </c>
      <c r="L845" s="0" t="s">
        <v>3401</v>
      </c>
      <c r="M845" s="0" t="s">
        <v>3402</v>
      </c>
      <c r="N845" s="0" t="s">
        <v>401</v>
      </c>
    </row>
    <row customHeight="1" ht="11.25">
      <c r="A846" s="7657" t="s">
        <v>2195</v>
      </c>
      <c r="B846" s="7657" t="s">
        <v>14</v>
      </c>
      <c r="C846" s="7657" t="s">
        <v>4018</v>
      </c>
      <c r="D846" s="7657" t="s">
        <v>4019</v>
      </c>
      <c r="E846" s="7657" t="s">
        <v>4020</v>
      </c>
      <c r="F846" s="7657" t="s">
        <v>2856</v>
      </c>
      <c r="G846" s="7657" t="s">
        <v>4021</v>
      </c>
      <c r="H846" s="7657" t="s">
        <v>17</v>
      </c>
      <c r="I846" s="7657" t="s">
        <v>4021</v>
      </c>
      <c r="J846" s="0" t="s">
        <v>17</v>
      </c>
      <c r="K846" s="0" t="s">
        <v>3365</v>
      </c>
      <c r="L846" s="0" t="s">
        <v>3374</v>
      </c>
      <c r="M846" s="0" t="s">
        <v>3772</v>
      </c>
      <c r="N846" s="0" t="s">
        <v>401</v>
      </c>
    </row>
    <row customHeight="1" ht="11.25">
      <c r="A847" s="7657" t="s">
        <v>2195</v>
      </c>
      <c r="B847" s="7657" t="s">
        <v>14</v>
      </c>
      <c r="C847" s="7657" t="s">
        <v>4018</v>
      </c>
      <c r="D847" s="7657" t="s">
        <v>4019</v>
      </c>
      <c r="E847" s="7657" t="s">
        <v>4020</v>
      </c>
      <c r="F847" s="7657" t="s">
        <v>2856</v>
      </c>
      <c r="G847" s="7657" t="s">
        <v>4021</v>
      </c>
      <c r="H847" s="7657" t="s">
        <v>17</v>
      </c>
      <c r="I847" s="7657" t="s">
        <v>4022</v>
      </c>
      <c r="J847" s="0" t="s">
        <v>17</v>
      </c>
      <c r="K847" s="0" t="s">
        <v>3362</v>
      </c>
      <c r="L847" s="0" t="s">
        <v>3434</v>
      </c>
      <c r="M847" s="0" t="s">
        <v>3435</v>
      </c>
      <c r="N847" s="0" t="s">
        <v>401</v>
      </c>
    </row>
    <row customHeight="1" ht="11.25">
      <c r="A848" s="7657" t="s">
        <v>2195</v>
      </c>
      <c r="B848" s="7657" t="s">
        <v>14</v>
      </c>
      <c r="C848" s="7657" t="s">
        <v>4023</v>
      </c>
      <c r="D848" s="7657" t="s">
        <v>4024</v>
      </c>
      <c r="E848" s="7657" t="s">
        <v>4025</v>
      </c>
      <c r="F848" s="7657" t="s">
        <v>2856</v>
      </c>
      <c r="G848" s="7657" t="s">
        <v>4026</v>
      </c>
      <c r="H848" s="7657" t="s">
        <v>17</v>
      </c>
      <c r="I848" s="7657" t="s">
        <v>4027</v>
      </c>
      <c r="J848" s="0" t="s">
        <v>17</v>
      </c>
      <c r="K848" s="0" t="s">
        <v>3362</v>
      </c>
      <c r="L848" s="0" t="s">
        <v>3363</v>
      </c>
      <c r="M848" s="0" t="s">
        <v>3364</v>
      </c>
      <c r="N848" s="0" t="s">
        <v>401</v>
      </c>
    </row>
    <row customHeight="1" ht="11.25">
      <c r="A849" s="7657" t="s">
        <v>2195</v>
      </c>
      <c r="B849" s="7657" t="s">
        <v>14</v>
      </c>
      <c r="C849" s="7657" t="s">
        <v>4023</v>
      </c>
      <c r="D849" s="7657" t="s">
        <v>4024</v>
      </c>
      <c r="E849" s="7657" t="s">
        <v>4025</v>
      </c>
      <c r="F849" s="7657" t="s">
        <v>2856</v>
      </c>
      <c r="G849" s="7657" t="s">
        <v>4026</v>
      </c>
      <c r="H849" s="7657" t="s">
        <v>17</v>
      </c>
      <c r="I849" s="7657" t="s">
        <v>4027</v>
      </c>
      <c r="J849" s="0" t="s">
        <v>17</v>
      </c>
      <c r="K849" s="0" t="s">
        <v>3365</v>
      </c>
      <c r="L849" s="0" t="s">
        <v>3363</v>
      </c>
      <c r="M849" s="0" t="s">
        <v>3364</v>
      </c>
      <c r="N849" s="0" t="s">
        <v>401</v>
      </c>
    </row>
    <row customHeight="1" ht="11.25">
      <c r="A850" s="7657" t="s">
        <v>2195</v>
      </c>
      <c r="B850" s="7657" t="s">
        <v>14</v>
      </c>
      <c r="C850" s="7657" t="s">
        <v>2631</v>
      </c>
      <c r="D850" s="7657" t="s">
        <v>2632</v>
      </c>
      <c r="E850" s="7657" t="s">
        <v>2633</v>
      </c>
      <c r="F850" s="7657" t="s">
        <v>2489</v>
      </c>
      <c r="G850" s="7657" t="s">
        <v>17</v>
      </c>
      <c r="H850" s="7657" t="s">
        <v>17</v>
      </c>
      <c r="I850" s="7657" t="s">
        <v>2208</v>
      </c>
      <c r="J850" s="0" t="s">
        <v>17</v>
      </c>
      <c r="K850" s="0" t="s">
        <v>3362</v>
      </c>
      <c r="L850" s="0" t="s">
        <v>3363</v>
      </c>
      <c r="M850" s="0" t="s">
        <v>3364</v>
      </c>
      <c r="N850" s="0" t="s">
        <v>401</v>
      </c>
    </row>
    <row customHeight="1" ht="11.25">
      <c r="A851" s="7657" t="s">
        <v>2195</v>
      </c>
      <c r="B851" s="7657" t="s">
        <v>14</v>
      </c>
      <c r="C851" s="7657" t="s">
        <v>2631</v>
      </c>
      <c r="D851" s="7657" t="s">
        <v>2632</v>
      </c>
      <c r="E851" s="7657" t="s">
        <v>2633</v>
      </c>
      <c r="F851" s="7657" t="s">
        <v>2489</v>
      </c>
      <c r="G851" s="7657" t="s">
        <v>17</v>
      </c>
      <c r="H851" s="7657" t="s">
        <v>17</v>
      </c>
      <c r="I851" s="7657" t="s">
        <v>2208</v>
      </c>
      <c r="J851" s="0" t="s">
        <v>17</v>
      </c>
      <c r="K851" s="0" t="s">
        <v>3365</v>
      </c>
      <c r="L851" s="0" t="s">
        <v>3363</v>
      </c>
      <c r="M851" s="0" t="s">
        <v>3364</v>
      </c>
      <c r="N851" s="0" t="s">
        <v>401</v>
      </c>
    </row>
    <row customHeight="1" ht="11.25">
      <c r="A852" s="7657" t="s">
        <v>2195</v>
      </c>
      <c r="B852" s="7657" t="s">
        <v>14</v>
      </c>
      <c r="C852" s="7657" t="s">
        <v>4028</v>
      </c>
      <c r="D852" s="7657" t="s">
        <v>4029</v>
      </c>
      <c r="E852" s="7657" t="s">
        <v>4030</v>
      </c>
      <c r="F852" s="7657" t="s">
        <v>2866</v>
      </c>
      <c r="G852" s="7657" t="s">
        <v>4031</v>
      </c>
      <c r="H852" s="7657" t="s">
        <v>17</v>
      </c>
      <c r="I852" s="7657" t="s">
        <v>4032</v>
      </c>
      <c r="J852" s="0" t="s">
        <v>17</v>
      </c>
      <c r="K852" s="0" t="s">
        <v>3362</v>
      </c>
      <c r="L852" s="0" t="s">
        <v>3363</v>
      </c>
      <c r="M852" s="0" t="s">
        <v>3364</v>
      </c>
      <c r="N852" s="0" t="s">
        <v>401</v>
      </c>
    </row>
    <row customHeight="1" ht="11.25">
      <c r="A853" s="7657" t="s">
        <v>2195</v>
      </c>
      <c r="B853" s="7657" t="s">
        <v>14</v>
      </c>
      <c r="C853" s="7657" t="s">
        <v>4028</v>
      </c>
      <c r="D853" s="7657" t="s">
        <v>4029</v>
      </c>
      <c r="E853" s="7657" t="s">
        <v>4030</v>
      </c>
      <c r="F853" s="7657" t="s">
        <v>2866</v>
      </c>
      <c r="G853" s="7657" t="s">
        <v>4031</v>
      </c>
      <c r="H853" s="7657" t="s">
        <v>17</v>
      </c>
      <c r="I853" s="7657" t="s">
        <v>4032</v>
      </c>
      <c r="J853" s="0" t="s">
        <v>17</v>
      </c>
      <c r="K853" s="0" t="s">
        <v>3365</v>
      </c>
      <c r="L853" s="0" t="s">
        <v>3363</v>
      </c>
      <c r="M853" s="0" t="s">
        <v>3364</v>
      </c>
      <c r="N853" s="0" t="s">
        <v>401</v>
      </c>
    </row>
    <row customHeight="1" ht="11.25">
      <c r="A854" s="7657" t="s">
        <v>2195</v>
      </c>
      <c r="B854" s="7657" t="s">
        <v>14</v>
      </c>
      <c r="C854" s="7657" t="s">
        <v>4033</v>
      </c>
      <c r="D854" s="7657" t="s">
        <v>4034</v>
      </c>
      <c r="E854" s="7657" t="s">
        <v>4035</v>
      </c>
      <c r="F854" s="7657" t="s">
        <v>2483</v>
      </c>
      <c r="G854" s="7657" t="s">
        <v>17</v>
      </c>
      <c r="H854" s="7657" t="s">
        <v>17</v>
      </c>
      <c r="I854" s="7657" t="s">
        <v>2208</v>
      </c>
      <c r="J854" s="0" t="s">
        <v>17</v>
      </c>
      <c r="K854" s="0" t="s">
        <v>3362</v>
      </c>
      <c r="L854" s="0" t="s">
        <v>3363</v>
      </c>
      <c r="M854" s="0" t="s">
        <v>3364</v>
      </c>
      <c r="N854" s="0" t="s">
        <v>401</v>
      </c>
    </row>
    <row customHeight="1" ht="11.25">
      <c r="A855" s="7657" t="s">
        <v>2195</v>
      </c>
      <c r="B855" s="7657" t="s">
        <v>14</v>
      </c>
      <c r="C855" s="7657" t="s">
        <v>4033</v>
      </c>
      <c r="D855" s="7657" t="s">
        <v>4034</v>
      </c>
      <c r="E855" s="7657" t="s">
        <v>4035</v>
      </c>
      <c r="F855" s="7657" t="s">
        <v>2483</v>
      </c>
      <c r="G855" s="7657" t="s">
        <v>17</v>
      </c>
      <c r="H855" s="7657" t="s">
        <v>17</v>
      </c>
      <c r="I855" s="7657" t="s">
        <v>2208</v>
      </c>
      <c r="J855" s="0" t="s">
        <v>17</v>
      </c>
      <c r="K855" s="0" t="s">
        <v>3365</v>
      </c>
      <c r="L855" s="0" t="s">
        <v>3363</v>
      </c>
      <c r="M855" s="0" t="s">
        <v>3364</v>
      </c>
      <c r="N855" s="0" t="s">
        <v>401</v>
      </c>
    </row>
    <row customHeight="1" ht="11.25">
      <c r="A856" s="7657" t="s">
        <v>2195</v>
      </c>
      <c r="B856" s="7657" t="s">
        <v>14</v>
      </c>
      <c r="C856" s="7657" t="s">
        <v>4033</v>
      </c>
      <c r="D856" s="7657" t="s">
        <v>4034</v>
      </c>
      <c r="E856" s="7657" t="s">
        <v>4035</v>
      </c>
      <c r="F856" s="7657" t="s">
        <v>2483</v>
      </c>
      <c r="G856" s="7657" t="s">
        <v>17</v>
      </c>
      <c r="H856" s="7657" t="s">
        <v>17</v>
      </c>
      <c r="I856" s="7657" t="s">
        <v>2426</v>
      </c>
      <c r="J856" s="0" t="s">
        <v>17</v>
      </c>
      <c r="K856" s="0" t="s">
        <v>3362</v>
      </c>
      <c r="L856" s="0" t="s">
        <v>3401</v>
      </c>
      <c r="M856" s="0" t="s">
        <v>3402</v>
      </c>
      <c r="N856" s="0" t="s">
        <v>401</v>
      </c>
    </row>
    <row customHeight="1" ht="11.25">
      <c r="A857" s="7657" t="s">
        <v>2195</v>
      </c>
      <c r="B857" s="7657" t="s">
        <v>14</v>
      </c>
      <c r="C857" s="7657" t="s">
        <v>4033</v>
      </c>
      <c r="D857" s="7657" t="s">
        <v>4034</v>
      </c>
      <c r="E857" s="7657" t="s">
        <v>4035</v>
      </c>
      <c r="F857" s="7657" t="s">
        <v>2483</v>
      </c>
      <c r="G857" s="7657" t="s">
        <v>17</v>
      </c>
      <c r="H857" s="7657" t="s">
        <v>17</v>
      </c>
      <c r="I857" s="7657" t="s">
        <v>2426</v>
      </c>
      <c r="J857" s="0" t="s">
        <v>17</v>
      </c>
      <c r="K857" s="0" t="s">
        <v>3365</v>
      </c>
      <c r="L857" s="0" t="s">
        <v>3401</v>
      </c>
      <c r="M857" s="0" t="s">
        <v>3402</v>
      </c>
      <c r="N857" s="0" t="s">
        <v>401</v>
      </c>
    </row>
    <row customHeight="1" ht="11.25">
      <c r="A858" s="7657" t="s">
        <v>2195</v>
      </c>
      <c r="B858" s="7657" t="s">
        <v>14</v>
      </c>
      <c r="C858" s="7657" t="s">
        <v>4036</v>
      </c>
      <c r="D858" s="7657" t="s">
        <v>4037</v>
      </c>
      <c r="E858" s="7657" t="s">
        <v>4038</v>
      </c>
      <c r="F858" s="7657" t="s">
        <v>2606</v>
      </c>
      <c r="G858" s="7657" t="s">
        <v>4039</v>
      </c>
      <c r="H858" s="7657" t="s">
        <v>17</v>
      </c>
      <c r="I858" s="7657" t="s">
        <v>4039</v>
      </c>
      <c r="J858" s="0" t="s">
        <v>17</v>
      </c>
      <c r="K858" s="0" t="s">
        <v>3362</v>
      </c>
      <c r="L858" s="0" t="s">
        <v>3434</v>
      </c>
      <c r="M858" s="0" t="s">
        <v>3475</v>
      </c>
      <c r="N858" s="0" t="s">
        <v>401</v>
      </c>
    </row>
    <row customHeight="1" ht="11.25">
      <c r="A859" s="7657" t="s">
        <v>2195</v>
      </c>
      <c r="B859" s="7657" t="s">
        <v>14</v>
      </c>
      <c r="C859" s="7657" t="s">
        <v>4036</v>
      </c>
      <c r="D859" s="7657" t="s">
        <v>4037</v>
      </c>
      <c r="E859" s="7657" t="s">
        <v>4038</v>
      </c>
      <c r="F859" s="7657" t="s">
        <v>2606</v>
      </c>
      <c r="G859" s="7657" t="s">
        <v>4039</v>
      </c>
      <c r="H859" s="7657" t="s">
        <v>17</v>
      </c>
      <c r="I859" s="7657" t="s">
        <v>4039</v>
      </c>
      <c r="J859" s="0" t="s">
        <v>17</v>
      </c>
      <c r="K859" s="0" t="s">
        <v>3365</v>
      </c>
      <c r="L859" s="0" t="s">
        <v>3434</v>
      </c>
      <c r="M859" s="0" t="s">
        <v>3475</v>
      </c>
      <c r="N859" s="0" t="s">
        <v>401</v>
      </c>
    </row>
    <row customHeight="1" ht="11.25">
      <c r="A860" s="7657" t="s">
        <v>2195</v>
      </c>
      <c r="B860" s="7657" t="s">
        <v>14</v>
      </c>
      <c r="C860" s="7657" t="s">
        <v>4036</v>
      </c>
      <c r="D860" s="7657" t="s">
        <v>4037</v>
      </c>
      <c r="E860" s="7657" t="s">
        <v>4038</v>
      </c>
      <c r="F860" s="7657" t="s">
        <v>2606</v>
      </c>
      <c r="G860" s="7657" t="s">
        <v>4039</v>
      </c>
      <c r="H860" s="7657" t="s">
        <v>17</v>
      </c>
      <c r="I860" s="7657" t="s">
        <v>4040</v>
      </c>
      <c r="J860" s="0" t="s">
        <v>17</v>
      </c>
      <c r="K860" s="0" t="s">
        <v>3362</v>
      </c>
      <c r="L860" s="0" t="s">
        <v>3434</v>
      </c>
      <c r="M860" s="0" t="s">
        <v>3475</v>
      </c>
      <c r="N860" s="0" t="s">
        <v>401</v>
      </c>
    </row>
    <row customHeight="1" ht="11.25">
      <c r="A861" s="7657" t="s">
        <v>2195</v>
      </c>
      <c r="B861" s="7657" t="s">
        <v>14</v>
      </c>
      <c r="C861" s="7657" t="s">
        <v>4036</v>
      </c>
      <c r="D861" s="7657" t="s">
        <v>4037</v>
      </c>
      <c r="E861" s="7657" t="s">
        <v>4038</v>
      </c>
      <c r="F861" s="7657" t="s">
        <v>2606</v>
      </c>
      <c r="G861" s="7657" t="s">
        <v>4039</v>
      </c>
      <c r="H861" s="7657" t="s">
        <v>17</v>
      </c>
      <c r="I861" s="7657" t="s">
        <v>4040</v>
      </c>
      <c r="J861" s="0" t="s">
        <v>17</v>
      </c>
      <c r="K861" s="0" t="s">
        <v>3365</v>
      </c>
      <c r="L861" s="0" t="s">
        <v>3434</v>
      </c>
      <c r="M861" s="0" t="s">
        <v>3475</v>
      </c>
      <c r="N861" s="0" t="s">
        <v>401</v>
      </c>
    </row>
    <row customHeight="1" ht="11.25">
      <c r="A862" s="7657" t="s">
        <v>2195</v>
      </c>
      <c r="B862" s="7657" t="s">
        <v>14</v>
      </c>
      <c r="C862" s="7657" t="s">
        <v>4036</v>
      </c>
      <c r="D862" s="7657" t="s">
        <v>4037</v>
      </c>
      <c r="E862" s="7657" t="s">
        <v>4038</v>
      </c>
      <c r="F862" s="7657" t="s">
        <v>2606</v>
      </c>
      <c r="G862" s="7657" t="s">
        <v>4039</v>
      </c>
      <c r="H862" s="7657" t="s">
        <v>17</v>
      </c>
      <c r="I862" s="7657" t="s">
        <v>4040</v>
      </c>
      <c r="J862" s="0" t="s">
        <v>17</v>
      </c>
      <c r="K862" s="0" t="s">
        <v>3362</v>
      </c>
      <c r="L862" s="0" t="s">
        <v>3519</v>
      </c>
      <c r="M862" s="0" t="s">
        <v>3520</v>
      </c>
      <c r="N862" s="0" t="s">
        <v>401</v>
      </c>
    </row>
    <row customHeight="1" ht="11.25">
      <c r="A863" s="7657" t="s">
        <v>2195</v>
      </c>
      <c r="B863" s="7657" t="s">
        <v>14</v>
      </c>
      <c r="C863" s="7657" t="s">
        <v>4036</v>
      </c>
      <c r="D863" s="7657" t="s">
        <v>4037</v>
      </c>
      <c r="E863" s="7657" t="s">
        <v>4038</v>
      </c>
      <c r="F863" s="7657" t="s">
        <v>2606</v>
      </c>
      <c r="G863" s="7657" t="s">
        <v>4039</v>
      </c>
      <c r="H863" s="7657" t="s">
        <v>17</v>
      </c>
      <c r="I863" s="7657" t="s">
        <v>4040</v>
      </c>
      <c r="J863" s="0" t="s">
        <v>17</v>
      </c>
      <c r="K863" s="0" t="s">
        <v>3365</v>
      </c>
      <c r="L863" s="0" t="s">
        <v>3519</v>
      </c>
      <c r="M863" s="0" t="s">
        <v>3520</v>
      </c>
      <c r="N863" s="0" t="s">
        <v>401</v>
      </c>
    </row>
    <row customHeight="1" ht="11.25">
      <c r="A864" s="7657" t="s">
        <v>2195</v>
      </c>
      <c r="B864" s="7657" t="s">
        <v>14</v>
      </c>
      <c r="C864" s="7657" t="s">
        <v>4036</v>
      </c>
      <c r="D864" s="7657" t="s">
        <v>4037</v>
      </c>
      <c r="E864" s="7657" t="s">
        <v>4038</v>
      </c>
      <c r="F864" s="7657" t="s">
        <v>2606</v>
      </c>
      <c r="G864" s="7657" t="s">
        <v>4039</v>
      </c>
      <c r="H864" s="7657" t="s">
        <v>17</v>
      </c>
      <c r="I864" s="7657" t="s">
        <v>4041</v>
      </c>
      <c r="J864" s="0" t="s">
        <v>17</v>
      </c>
      <c r="K864" s="0" t="s">
        <v>3362</v>
      </c>
      <c r="L864" s="0" t="s">
        <v>3434</v>
      </c>
      <c r="M864" s="0" t="s">
        <v>3475</v>
      </c>
      <c r="N864" s="0" t="s">
        <v>401</v>
      </c>
    </row>
    <row customHeight="1" ht="11.25">
      <c r="A865" s="7657" t="s">
        <v>2195</v>
      </c>
      <c r="B865" s="7657" t="s">
        <v>14</v>
      </c>
      <c r="C865" s="7657" t="s">
        <v>4036</v>
      </c>
      <c r="D865" s="7657" t="s">
        <v>4037</v>
      </c>
      <c r="E865" s="7657" t="s">
        <v>4038</v>
      </c>
      <c r="F865" s="7657" t="s">
        <v>2606</v>
      </c>
      <c r="G865" s="7657" t="s">
        <v>4039</v>
      </c>
      <c r="H865" s="7657" t="s">
        <v>17</v>
      </c>
      <c r="I865" s="7657" t="s">
        <v>4041</v>
      </c>
      <c r="J865" s="0" t="s">
        <v>17</v>
      </c>
      <c r="K865" s="0" t="s">
        <v>3365</v>
      </c>
      <c r="L865" s="0" t="s">
        <v>3434</v>
      </c>
      <c r="M865" s="0" t="s">
        <v>3475</v>
      </c>
      <c r="N865" s="0" t="s">
        <v>401</v>
      </c>
    </row>
    <row customHeight="1" ht="11.25">
      <c r="A866" s="7657" t="s">
        <v>2195</v>
      </c>
      <c r="B866" s="7657" t="s">
        <v>14</v>
      </c>
      <c r="C866" s="7657" t="s">
        <v>4042</v>
      </c>
      <c r="D866" s="7657" t="s">
        <v>4043</v>
      </c>
      <c r="E866" s="7657" t="s">
        <v>4044</v>
      </c>
      <c r="F866" s="7657" t="s">
        <v>2527</v>
      </c>
      <c r="G866" s="7657" t="s">
        <v>17</v>
      </c>
      <c r="H866" s="7657" t="s">
        <v>17</v>
      </c>
      <c r="I866" s="7657" t="s">
        <v>2233</v>
      </c>
      <c r="J866" s="0" t="s">
        <v>17</v>
      </c>
      <c r="K866" s="0" t="s">
        <v>3362</v>
      </c>
      <c r="L866" s="0" t="s">
        <v>3363</v>
      </c>
      <c r="M866" s="0" t="s">
        <v>3364</v>
      </c>
      <c r="N866" s="0" t="s">
        <v>401</v>
      </c>
    </row>
    <row customHeight="1" ht="11.25">
      <c r="A867" s="7657" t="s">
        <v>2195</v>
      </c>
      <c r="B867" s="7657" t="s">
        <v>14</v>
      </c>
      <c r="C867" s="7657" t="s">
        <v>4042</v>
      </c>
      <c r="D867" s="7657" t="s">
        <v>4043</v>
      </c>
      <c r="E867" s="7657" t="s">
        <v>4044</v>
      </c>
      <c r="F867" s="7657" t="s">
        <v>2527</v>
      </c>
      <c r="G867" s="7657" t="s">
        <v>17</v>
      </c>
      <c r="H867" s="7657" t="s">
        <v>17</v>
      </c>
      <c r="I867" s="7657" t="s">
        <v>2233</v>
      </c>
      <c r="J867" s="0" t="s">
        <v>17</v>
      </c>
      <c r="K867" s="0" t="s">
        <v>3365</v>
      </c>
      <c r="L867" s="0" t="s">
        <v>3363</v>
      </c>
      <c r="M867" s="0" t="s">
        <v>3364</v>
      </c>
      <c r="N867" s="0" t="s">
        <v>401</v>
      </c>
    </row>
    <row customHeight="1" ht="11.25">
      <c r="A868" s="7657" t="s">
        <v>2195</v>
      </c>
      <c r="B868" s="7657" t="s">
        <v>14</v>
      </c>
      <c r="C868" s="7657" t="s">
        <v>4042</v>
      </c>
      <c r="D868" s="7657" t="s">
        <v>4043</v>
      </c>
      <c r="E868" s="7657" t="s">
        <v>4044</v>
      </c>
      <c r="F868" s="7657" t="s">
        <v>2527</v>
      </c>
      <c r="G868" s="7657" t="s">
        <v>17</v>
      </c>
      <c r="H868" s="7657" t="s">
        <v>17</v>
      </c>
      <c r="I868" s="7657" t="s">
        <v>4045</v>
      </c>
      <c r="J868" s="0" t="s">
        <v>17</v>
      </c>
      <c r="K868" s="0" t="s">
        <v>3362</v>
      </c>
      <c r="L868" s="0" t="s">
        <v>3363</v>
      </c>
      <c r="M868" s="0" t="s">
        <v>3364</v>
      </c>
      <c r="N868" s="0" t="s">
        <v>401</v>
      </c>
    </row>
    <row customHeight="1" ht="11.25">
      <c r="A869" s="7657" t="s">
        <v>2195</v>
      </c>
      <c r="B869" s="7657" t="s">
        <v>14</v>
      </c>
      <c r="C869" s="7657" t="s">
        <v>4042</v>
      </c>
      <c r="D869" s="7657" t="s">
        <v>4043</v>
      </c>
      <c r="E869" s="7657" t="s">
        <v>4044</v>
      </c>
      <c r="F869" s="7657" t="s">
        <v>2527</v>
      </c>
      <c r="G869" s="7657" t="s">
        <v>17</v>
      </c>
      <c r="H869" s="7657" t="s">
        <v>17</v>
      </c>
      <c r="I869" s="7657" t="s">
        <v>4045</v>
      </c>
      <c r="J869" s="0" t="s">
        <v>17</v>
      </c>
      <c r="K869" s="0" t="s">
        <v>3365</v>
      </c>
      <c r="L869" s="0" t="s">
        <v>3363</v>
      </c>
      <c r="M869" s="0" t="s">
        <v>3364</v>
      </c>
      <c r="N869" s="0" t="s">
        <v>401</v>
      </c>
    </row>
    <row customHeight="1" ht="11.25">
      <c r="A870" s="7657" t="s">
        <v>2195</v>
      </c>
      <c r="B870" s="7657" t="s">
        <v>14</v>
      </c>
      <c r="C870" s="7657" t="s">
        <v>2651</v>
      </c>
      <c r="D870" s="7657" t="s">
        <v>2652</v>
      </c>
      <c r="E870" s="7657" t="s">
        <v>2653</v>
      </c>
      <c r="F870" s="7657" t="s">
        <v>2306</v>
      </c>
      <c r="G870" s="7657" t="s">
        <v>17</v>
      </c>
      <c r="H870" s="7657" t="s">
        <v>17</v>
      </c>
      <c r="I870" s="7657" t="s">
        <v>3052</v>
      </c>
      <c r="J870" s="0" t="s">
        <v>17</v>
      </c>
      <c r="K870" s="0" t="s">
        <v>3362</v>
      </c>
      <c r="L870" s="0" t="s">
        <v>3472</v>
      </c>
      <c r="M870" s="0" t="s">
        <v>3473</v>
      </c>
      <c r="N870" s="0" t="s">
        <v>401</v>
      </c>
    </row>
    <row customHeight="1" ht="11.25">
      <c r="A871" s="7657" t="s">
        <v>2195</v>
      </c>
      <c r="B871" s="7657" t="s">
        <v>14</v>
      </c>
      <c r="C871" s="7657" t="s">
        <v>2651</v>
      </c>
      <c r="D871" s="7657" t="s">
        <v>2652</v>
      </c>
      <c r="E871" s="7657" t="s">
        <v>2653</v>
      </c>
      <c r="F871" s="7657" t="s">
        <v>2306</v>
      </c>
      <c r="G871" s="7657" t="s">
        <v>17</v>
      </c>
      <c r="H871" s="7657" t="s">
        <v>17</v>
      </c>
      <c r="I871" s="7657" t="s">
        <v>4046</v>
      </c>
      <c r="J871" s="0" t="s">
        <v>17</v>
      </c>
      <c r="K871" s="0" t="s">
        <v>3362</v>
      </c>
      <c r="L871" s="0" t="s">
        <v>3363</v>
      </c>
      <c r="M871" s="0" t="s">
        <v>3364</v>
      </c>
      <c r="N871" s="0" t="s">
        <v>401</v>
      </c>
    </row>
    <row customHeight="1" ht="11.25">
      <c r="A872" s="7657" t="s">
        <v>2195</v>
      </c>
      <c r="B872" s="7657" t="s">
        <v>14</v>
      </c>
      <c r="C872" s="7657" t="s">
        <v>2651</v>
      </c>
      <c r="D872" s="7657" t="s">
        <v>2652</v>
      </c>
      <c r="E872" s="7657" t="s">
        <v>2653</v>
      </c>
      <c r="F872" s="7657" t="s">
        <v>2306</v>
      </c>
      <c r="G872" s="7657" t="s">
        <v>17</v>
      </c>
      <c r="H872" s="7657" t="s">
        <v>17</v>
      </c>
      <c r="I872" s="7657" t="s">
        <v>4046</v>
      </c>
      <c r="J872" s="0" t="s">
        <v>17</v>
      </c>
      <c r="K872" s="0" t="s">
        <v>3365</v>
      </c>
      <c r="L872" s="0" t="s">
        <v>3363</v>
      </c>
      <c r="M872" s="0" t="s">
        <v>3364</v>
      </c>
      <c r="N872" s="0" t="s">
        <v>401</v>
      </c>
    </row>
    <row customHeight="1" ht="11.25">
      <c r="A873" s="7657" t="s">
        <v>2195</v>
      </c>
      <c r="B873" s="7657" t="s">
        <v>14</v>
      </c>
      <c r="C873" s="7657" t="s">
        <v>2651</v>
      </c>
      <c r="D873" s="7657" t="s">
        <v>2652</v>
      </c>
      <c r="E873" s="7657" t="s">
        <v>2653</v>
      </c>
      <c r="F873" s="7657" t="s">
        <v>2306</v>
      </c>
      <c r="G873" s="7657" t="s">
        <v>17</v>
      </c>
      <c r="H873" s="7657" t="s">
        <v>17</v>
      </c>
      <c r="I873" s="7657" t="s">
        <v>4047</v>
      </c>
      <c r="J873" s="0" t="s">
        <v>17</v>
      </c>
      <c r="K873" s="0" t="s">
        <v>3362</v>
      </c>
      <c r="L873" s="0" t="s">
        <v>3480</v>
      </c>
      <c r="M873" s="0" t="s">
        <v>3481</v>
      </c>
      <c r="N873" s="0" t="s">
        <v>401</v>
      </c>
    </row>
    <row customHeight="1" ht="11.25">
      <c r="A874" s="7657" t="s">
        <v>2195</v>
      </c>
      <c r="B874" s="7657" t="s">
        <v>14</v>
      </c>
      <c r="C874" s="7657" t="s">
        <v>2651</v>
      </c>
      <c r="D874" s="7657" t="s">
        <v>2652</v>
      </c>
      <c r="E874" s="7657" t="s">
        <v>2653</v>
      </c>
      <c r="F874" s="7657" t="s">
        <v>2306</v>
      </c>
      <c r="G874" s="7657" t="s">
        <v>17</v>
      </c>
      <c r="H874" s="7657" t="s">
        <v>17</v>
      </c>
      <c r="I874" s="7657" t="s">
        <v>2240</v>
      </c>
      <c r="J874" s="0" t="s">
        <v>17</v>
      </c>
      <c r="K874" s="0" t="s">
        <v>3365</v>
      </c>
      <c r="L874" s="0" t="s">
        <v>3374</v>
      </c>
      <c r="M874" s="0" t="s">
        <v>3772</v>
      </c>
      <c r="N874" s="0" t="s">
        <v>401</v>
      </c>
    </row>
    <row customHeight="1" ht="11.25">
      <c r="A875" s="7657" t="s">
        <v>2195</v>
      </c>
      <c r="B875" s="7657" t="s">
        <v>14</v>
      </c>
      <c r="C875" s="7657" t="s">
        <v>2651</v>
      </c>
      <c r="D875" s="7657" t="s">
        <v>2652</v>
      </c>
      <c r="E875" s="7657" t="s">
        <v>2653</v>
      </c>
      <c r="F875" s="7657" t="s">
        <v>2306</v>
      </c>
      <c r="G875" s="7657" t="s">
        <v>17</v>
      </c>
      <c r="H875" s="7657" t="s">
        <v>17</v>
      </c>
      <c r="I875" s="7657" t="s">
        <v>4048</v>
      </c>
      <c r="J875" s="0" t="s">
        <v>17</v>
      </c>
      <c r="K875" s="0" t="s">
        <v>3362</v>
      </c>
      <c r="L875" s="0" t="s">
        <v>3394</v>
      </c>
      <c r="M875" s="0" t="s">
        <v>3471</v>
      </c>
      <c r="N875" s="0" t="s">
        <v>401</v>
      </c>
    </row>
    <row customHeight="1" ht="11.25">
      <c r="A876" s="7657" t="s">
        <v>2195</v>
      </c>
      <c r="B876" s="7657" t="s">
        <v>14</v>
      </c>
      <c r="C876" s="7657" t="s">
        <v>4049</v>
      </c>
      <c r="D876" s="7657" t="s">
        <v>4050</v>
      </c>
      <c r="E876" s="7657" t="s">
        <v>4051</v>
      </c>
      <c r="F876" s="7657" t="s">
        <v>2590</v>
      </c>
      <c r="G876" s="7657" t="s">
        <v>4052</v>
      </c>
      <c r="H876" s="7657" t="s">
        <v>17</v>
      </c>
      <c r="I876" s="7657" t="s">
        <v>2534</v>
      </c>
      <c r="J876" s="0" t="s">
        <v>17</v>
      </c>
      <c r="K876" s="0" t="s">
        <v>3362</v>
      </c>
      <c r="L876" s="0" t="s">
        <v>3363</v>
      </c>
      <c r="M876" s="0" t="s">
        <v>3364</v>
      </c>
      <c r="N876" s="0" t="s">
        <v>401</v>
      </c>
    </row>
    <row customHeight="1" ht="11.25">
      <c r="A877" s="7657" t="s">
        <v>2195</v>
      </c>
      <c r="B877" s="7657" t="s">
        <v>14</v>
      </c>
      <c r="C877" s="7657" t="s">
        <v>4049</v>
      </c>
      <c r="D877" s="7657" t="s">
        <v>4050</v>
      </c>
      <c r="E877" s="7657" t="s">
        <v>4051</v>
      </c>
      <c r="F877" s="7657" t="s">
        <v>2590</v>
      </c>
      <c r="G877" s="7657" t="s">
        <v>4052</v>
      </c>
      <c r="H877" s="7657" t="s">
        <v>17</v>
      </c>
      <c r="I877" s="7657" t="s">
        <v>2534</v>
      </c>
      <c r="J877" s="0" t="s">
        <v>17</v>
      </c>
      <c r="K877" s="0" t="s">
        <v>3365</v>
      </c>
      <c r="L877" s="0" t="s">
        <v>3363</v>
      </c>
      <c r="M877" s="0" t="s">
        <v>3364</v>
      </c>
      <c r="N877" s="0" t="s">
        <v>401</v>
      </c>
    </row>
    <row customHeight="1" ht="11.25">
      <c r="A878" s="7657" t="s">
        <v>2195</v>
      </c>
      <c r="B878" s="7657" t="s">
        <v>14</v>
      </c>
      <c r="C878" s="7657" t="s">
        <v>4053</v>
      </c>
      <c r="D878" s="7657" t="s">
        <v>4054</v>
      </c>
      <c r="E878" s="7657" t="s">
        <v>4055</v>
      </c>
      <c r="F878" s="7657" t="s">
        <v>2483</v>
      </c>
      <c r="G878" s="7657" t="s">
        <v>17</v>
      </c>
      <c r="H878" s="7657" t="s">
        <v>17</v>
      </c>
      <c r="I878" s="7657" t="s">
        <v>2534</v>
      </c>
      <c r="J878" s="0" t="s">
        <v>17</v>
      </c>
      <c r="K878" s="0" t="s">
        <v>3362</v>
      </c>
      <c r="L878" s="0" t="s">
        <v>3401</v>
      </c>
      <c r="M878" s="0" t="s">
        <v>3402</v>
      </c>
      <c r="N878" s="0" t="s">
        <v>401</v>
      </c>
    </row>
    <row customHeight="1" ht="11.25">
      <c r="A879" s="7657" t="s">
        <v>2195</v>
      </c>
      <c r="B879" s="7657" t="s">
        <v>14</v>
      </c>
      <c r="C879" s="7657" t="s">
        <v>4053</v>
      </c>
      <c r="D879" s="7657" t="s">
        <v>4054</v>
      </c>
      <c r="E879" s="7657" t="s">
        <v>4055</v>
      </c>
      <c r="F879" s="7657" t="s">
        <v>2483</v>
      </c>
      <c r="G879" s="7657" t="s">
        <v>17</v>
      </c>
      <c r="H879" s="7657" t="s">
        <v>17</v>
      </c>
      <c r="I879" s="7657" t="s">
        <v>2534</v>
      </c>
      <c r="J879" s="0" t="s">
        <v>17</v>
      </c>
      <c r="K879" s="0" t="s">
        <v>3365</v>
      </c>
      <c r="L879" s="0" t="s">
        <v>3401</v>
      </c>
      <c r="M879" s="0" t="s">
        <v>3402</v>
      </c>
      <c r="N879" s="0" t="s">
        <v>401</v>
      </c>
    </row>
    <row customHeight="1" ht="11.25">
      <c r="A880" s="7657" t="s">
        <v>2195</v>
      </c>
      <c r="B880" s="7657" t="s">
        <v>14</v>
      </c>
      <c r="C880" s="7657" t="s">
        <v>4056</v>
      </c>
      <c r="D880" s="7657" t="s">
        <v>4057</v>
      </c>
      <c r="E880" s="7657" t="s">
        <v>4058</v>
      </c>
      <c r="F880" s="7657" t="s">
        <v>2212</v>
      </c>
      <c r="G880" s="7657" t="s">
        <v>17</v>
      </c>
      <c r="H880" s="7657" t="s">
        <v>17</v>
      </c>
      <c r="I880" s="7657" t="s">
        <v>2426</v>
      </c>
      <c r="J880" s="0" t="s">
        <v>17</v>
      </c>
      <c r="K880" s="0" t="s">
        <v>3362</v>
      </c>
      <c r="L880" s="0" t="s">
        <v>3363</v>
      </c>
      <c r="M880" s="0" t="s">
        <v>3364</v>
      </c>
      <c r="N880" s="0" t="s">
        <v>401</v>
      </c>
    </row>
    <row customHeight="1" ht="11.25">
      <c r="A881" s="7657" t="s">
        <v>2195</v>
      </c>
      <c r="B881" s="7657" t="s">
        <v>14</v>
      </c>
      <c r="C881" s="7657" t="s">
        <v>4056</v>
      </c>
      <c r="D881" s="7657" t="s">
        <v>4057</v>
      </c>
      <c r="E881" s="7657" t="s">
        <v>4058</v>
      </c>
      <c r="F881" s="7657" t="s">
        <v>2212</v>
      </c>
      <c r="G881" s="7657" t="s">
        <v>17</v>
      </c>
      <c r="H881" s="7657" t="s">
        <v>17</v>
      </c>
      <c r="I881" s="7657" t="s">
        <v>2426</v>
      </c>
      <c r="J881" s="0" t="s">
        <v>17</v>
      </c>
      <c r="K881" s="0" t="s">
        <v>3365</v>
      </c>
      <c r="L881" s="0" t="s">
        <v>3363</v>
      </c>
      <c r="M881" s="0" t="s">
        <v>3364</v>
      </c>
      <c r="N881" s="0" t="s">
        <v>401</v>
      </c>
    </row>
    <row customHeight="1" ht="11.25">
      <c r="A882" s="7657" t="s">
        <v>2195</v>
      </c>
      <c r="B882" s="7657" t="s">
        <v>14</v>
      </c>
      <c r="C882" s="7657" t="s">
        <v>4059</v>
      </c>
      <c r="D882" s="7657" t="s">
        <v>4060</v>
      </c>
      <c r="E882" s="7657" t="s">
        <v>4061</v>
      </c>
      <c r="F882" s="7657" t="s">
        <v>2483</v>
      </c>
      <c r="G882" s="7657" t="s">
        <v>17</v>
      </c>
      <c r="H882" s="7657" t="s">
        <v>17</v>
      </c>
      <c r="I882" s="7657" t="s">
        <v>2534</v>
      </c>
      <c r="J882" s="0" t="s">
        <v>17</v>
      </c>
      <c r="K882" s="0" t="s">
        <v>3362</v>
      </c>
      <c r="L882" s="0" t="s">
        <v>3401</v>
      </c>
      <c r="M882" s="0" t="s">
        <v>3402</v>
      </c>
      <c r="N882" s="0" t="s">
        <v>401</v>
      </c>
    </row>
    <row customHeight="1" ht="11.25">
      <c r="A883" s="7657" t="s">
        <v>2195</v>
      </c>
      <c r="B883" s="7657" t="s">
        <v>14</v>
      </c>
      <c r="C883" s="7657" t="s">
        <v>4059</v>
      </c>
      <c r="D883" s="7657" t="s">
        <v>4060</v>
      </c>
      <c r="E883" s="7657" t="s">
        <v>4061</v>
      </c>
      <c r="F883" s="7657" t="s">
        <v>2483</v>
      </c>
      <c r="G883" s="7657" t="s">
        <v>17</v>
      </c>
      <c r="H883" s="7657" t="s">
        <v>17</v>
      </c>
      <c r="I883" s="7657" t="s">
        <v>2534</v>
      </c>
      <c r="J883" s="0" t="s">
        <v>17</v>
      </c>
      <c r="K883" s="0" t="s">
        <v>3365</v>
      </c>
      <c r="L883" s="0" t="s">
        <v>3401</v>
      </c>
      <c r="M883" s="0" t="s">
        <v>3402</v>
      </c>
      <c r="N883" s="0" t="s">
        <v>401</v>
      </c>
    </row>
    <row customHeight="1" ht="11.25">
      <c r="A884" s="7657" t="s">
        <v>2195</v>
      </c>
      <c r="B884" s="7657" t="s">
        <v>14</v>
      </c>
      <c r="C884" s="7657" t="s">
        <v>2660</v>
      </c>
      <c r="D884" s="7657" t="s">
        <v>2661</v>
      </c>
      <c r="E884" s="7657" t="s">
        <v>2662</v>
      </c>
      <c r="F884" s="7657" t="s">
        <v>2629</v>
      </c>
      <c r="G884" s="7657" t="s">
        <v>2663</v>
      </c>
      <c r="H884" s="7657" t="s">
        <v>17</v>
      </c>
      <c r="I884" s="7657" t="s">
        <v>4062</v>
      </c>
      <c r="J884" s="0" t="s">
        <v>17</v>
      </c>
      <c r="K884" s="0" t="s">
        <v>3362</v>
      </c>
      <c r="L884" s="0" t="s">
        <v>3363</v>
      </c>
      <c r="M884" s="0" t="s">
        <v>3364</v>
      </c>
      <c r="N884" s="0" t="s">
        <v>401</v>
      </c>
    </row>
    <row customHeight="1" ht="11.25">
      <c r="A885" s="7657" t="s">
        <v>2195</v>
      </c>
      <c r="B885" s="7657" t="s">
        <v>14</v>
      </c>
      <c r="C885" s="7657" t="s">
        <v>2660</v>
      </c>
      <c r="D885" s="7657" t="s">
        <v>2661</v>
      </c>
      <c r="E885" s="7657" t="s">
        <v>2662</v>
      </c>
      <c r="F885" s="7657" t="s">
        <v>2629</v>
      </c>
      <c r="G885" s="7657" t="s">
        <v>2663</v>
      </c>
      <c r="H885" s="7657" t="s">
        <v>17</v>
      </c>
      <c r="I885" s="7657" t="s">
        <v>4062</v>
      </c>
      <c r="J885" s="0" t="s">
        <v>17</v>
      </c>
      <c r="K885" s="0" t="s">
        <v>3365</v>
      </c>
      <c r="L885" s="0" t="s">
        <v>3363</v>
      </c>
      <c r="M885" s="0" t="s">
        <v>3364</v>
      </c>
      <c r="N885" s="0" t="s">
        <v>401</v>
      </c>
    </row>
    <row customHeight="1" ht="11.25">
      <c r="A886" s="7657" t="s">
        <v>2195</v>
      </c>
      <c r="B886" s="7657" t="s">
        <v>14</v>
      </c>
      <c r="C886" s="7657" t="s">
        <v>4063</v>
      </c>
      <c r="D886" s="7657" t="s">
        <v>4064</v>
      </c>
      <c r="E886" s="7657" t="s">
        <v>4065</v>
      </c>
      <c r="F886" s="7657" t="s">
        <v>2590</v>
      </c>
      <c r="G886" s="7657" t="s">
        <v>3994</v>
      </c>
      <c r="H886" s="7657" t="s">
        <v>17</v>
      </c>
      <c r="I886" s="7657" t="s">
        <v>2534</v>
      </c>
      <c r="J886" s="0" t="s">
        <v>17</v>
      </c>
      <c r="K886" s="0" t="s">
        <v>3362</v>
      </c>
      <c r="L886" s="0" t="s">
        <v>3363</v>
      </c>
      <c r="M886" s="0" t="s">
        <v>3364</v>
      </c>
      <c r="N886" s="0" t="s">
        <v>401</v>
      </c>
    </row>
    <row customHeight="1" ht="11.25">
      <c r="A887" s="7657" t="s">
        <v>2195</v>
      </c>
      <c r="B887" s="7657" t="s">
        <v>14</v>
      </c>
      <c r="C887" s="7657" t="s">
        <v>4063</v>
      </c>
      <c r="D887" s="7657" t="s">
        <v>4064</v>
      </c>
      <c r="E887" s="7657" t="s">
        <v>4065</v>
      </c>
      <c r="F887" s="7657" t="s">
        <v>2590</v>
      </c>
      <c r="G887" s="7657" t="s">
        <v>3994</v>
      </c>
      <c r="H887" s="7657" t="s">
        <v>17</v>
      </c>
      <c r="I887" s="7657" t="s">
        <v>2534</v>
      </c>
      <c r="J887" s="0" t="s">
        <v>17</v>
      </c>
      <c r="K887" s="0" t="s">
        <v>3365</v>
      </c>
      <c r="L887" s="0" t="s">
        <v>3363</v>
      </c>
      <c r="M887" s="0" t="s">
        <v>3364</v>
      </c>
      <c r="N887" s="0" t="s">
        <v>401</v>
      </c>
    </row>
    <row customHeight="1" ht="11.25">
      <c r="A888" s="7657" t="s">
        <v>2195</v>
      </c>
      <c r="B888" s="7657" t="s">
        <v>14</v>
      </c>
      <c r="C888" s="7657" t="s">
        <v>2665</v>
      </c>
      <c r="D888" s="7657" t="s">
        <v>2666</v>
      </c>
      <c r="E888" s="7657" t="s">
        <v>2667</v>
      </c>
      <c r="F888" s="7657" t="s">
        <v>2575</v>
      </c>
      <c r="G888" s="7657" t="s">
        <v>2668</v>
      </c>
      <c r="H888" s="7657" t="s">
        <v>17</v>
      </c>
      <c r="I888" s="7657" t="s">
        <v>2668</v>
      </c>
      <c r="J888" s="0" t="s">
        <v>17</v>
      </c>
      <c r="K888" s="0" t="s">
        <v>3362</v>
      </c>
      <c r="L888" s="0" t="s">
        <v>3363</v>
      </c>
      <c r="M888" s="0" t="s">
        <v>3364</v>
      </c>
      <c r="N888" s="0" t="s">
        <v>401</v>
      </c>
    </row>
    <row customHeight="1" ht="11.25">
      <c r="A889" s="7657" t="s">
        <v>2195</v>
      </c>
      <c r="B889" s="7657" t="s">
        <v>14</v>
      </c>
      <c r="C889" s="7657" t="s">
        <v>2665</v>
      </c>
      <c r="D889" s="7657" t="s">
        <v>2666</v>
      </c>
      <c r="E889" s="7657" t="s">
        <v>2667</v>
      </c>
      <c r="F889" s="7657" t="s">
        <v>2575</v>
      </c>
      <c r="G889" s="7657" t="s">
        <v>2668</v>
      </c>
      <c r="H889" s="7657" t="s">
        <v>17</v>
      </c>
      <c r="I889" s="7657" t="s">
        <v>2668</v>
      </c>
      <c r="J889" s="0" t="s">
        <v>17</v>
      </c>
      <c r="K889" s="0" t="s">
        <v>3365</v>
      </c>
      <c r="L889" s="0" t="s">
        <v>3363</v>
      </c>
      <c r="M889" s="0" t="s">
        <v>3364</v>
      </c>
      <c r="N889" s="0" t="s">
        <v>401</v>
      </c>
    </row>
    <row customHeight="1" ht="11.25">
      <c r="A890" s="7657" t="s">
        <v>2195</v>
      </c>
      <c r="B890" s="7657" t="s">
        <v>14</v>
      </c>
      <c r="C890" s="7657" t="s">
        <v>4066</v>
      </c>
      <c r="D890" s="7657" t="s">
        <v>4067</v>
      </c>
      <c r="E890" s="7657" t="s">
        <v>4068</v>
      </c>
      <c r="F890" s="7657" t="s">
        <v>2263</v>
      </c>
      <c r="G890" s="7657" t="s">
        <v>2426</v>
      </c>
      <c r="H890" s="7657" t="s">
        <v>17</v>
      </c>
      <c r="I890" s="7657" t="s">
        <v>2426</v>
      </c>
      <c r="J890" s="0" t="s">
        <v>17</v>
      </c>
      <c r="K890" s="0" t="s">
        <v>3362</v>
      </c>
      <c r="L890" s="0" t="s">
        <v>3401</v>
      </c>
      <c r="M890" s="0" t="s">
        <v>3402</v>
      </c>
      <c r="N890" s="0" t="s">
        <v>401</v>
      </c>
    </row>
    <row customHeight="1" ht="11.25">
      <c r="A891" s="7657" t="s">
        <v>2195</v>
      </c>
      <c r="B891" s="7657" t="s">
        <v>14</v>
      </c>
      <c r="C891" s="7657" t="s">
        <v>4066</v>
      </c>
      <c r="D891" s="7657" t="s">
        <v>4067</v>
      </c>
      <c r="E891" s="7657" t="s">
        <v>4068</v>
      </c>
      <c r="F891" s="7657" t="s">
        <v>2263</v>
      </c>
      <c r="G891" s="7657" t="s">
        <v>2426</v>
      </c>
      <c r="H891" s="7657" t="s">
        <v>17</v>
      </c>
      <c r="I891" s="7657" t="s">
        <v>2426</v>
      </c>
      <c r="J891" s="0" t="s">
        <v>17</v>
      </c>
      <c r="K891" s="0" t="s">
        <v>3365</v>
      </c>
      <c r="L891" s="0" t="s">
        <v>3401</v>
      </c>
      <c r="M891" s="0" t="s">
        <v>3402</v>
      </c>
      <c r="N891" s="0" t="s">
        <v>401</v>
      </c>
    </row>
    <row customHeight="1" ht="11.25">
      <c r="A892" s="7657" t="s">
        <v>2195</v>
      </c>
      <c r="B892" s="7657" t="s">
        <v>14</v>
      </c>
      <c r="C892" s="7657" t="s">
        <v>4066</v>
      </c>
      <c r="D892" s="7657" t="s">
        <v>4067</v>
      </c>
      <c r="E892" s="7657" t="s">
        <v>4068</v>
      </c>
      <c r="F892" s="7657" t="s">
        <v>2263</v>
      </c>
      <c r="G892" s="7657" t="s">
        <v>2426</v>
      </c>
      <c r="H892" s="7657" t="s">
        <v>17</v>
      </c>
      <c r="I892" s="7657" t="s">
        <v>4069</v>
      </c>
      <c r="J892" s="0" t="s">
        <v>17</v>
      </c>
      <c r="K892" s="0" t="s">
        <v>3362</v>
      </c>
      <c r="L892" s="0" t="s">
        <v>3401</v>
      </c>
      <c r="M892" s="0" t="s">
        <v>3402</v>
      </c>
      <c r="N892" s="0" t="s">
        <v>401</v>
      </c>
    </row>
    <row customHeight="1" ht="11.25">
      <c r="A893" s="7657" t="s">
        <v>2195</v>
      </c>
      <c r="B893" s="7657" t="s">
        <v>14</v>
      </c>
      <c r="C893" s="7657" t="s">
        <v>4066</v>
      </c>
      <c r="D893" s="7657" t="s">
        <v>4067</v>
      </c>
      <c r="E893" s="7657" t="s">
        <v>4068</v>
      </c>
      <c r="F893" s="7657" t="s">
        <v>2263</v>
      </c>
      <c r="G893" s="7657" t="s">
        <v>2426</v>
      </c>
      <c r="H893" s="7657" t="s">
        <v>17</v>
      </c>
      <c r="I893" s="7657" t="s">
        <v>4069</v>
      </c>
      <c r="J893" s="0" t="s">
        <v>17</v>
      </c>
      <c r="K893" s="0" t="s">
        <v>3365</v>
      </c>
      <c r="L893" s="0" t="s">
        <v>3401</v>
      </c>
      <c r="M893" s="0" t="s">
        <v>3402</v>
      </c>
      <c r="N893" s="0" t="s">
        <v>401</v>
      </c>
    </row>
    <row customHeight="1" ht="11.25">
      <c r="A894" s="7657" t="s">
        <v>2195</v>
      </c>
      <c r="B894" s="7657" t="s">
        <v>14</v>
      </c>
      <c r="C894" s="7657" t="s">
        <v>4066</v>
      </c>
      <c r="D894" s="7657" t="s">
        <v>4067</v>
      </c>
      <c r="E894" s="7657" t="s">
        <v>4068</v>
      </c>
      <c r="F894" s="7657" t="s">
        <v>2263</v>
      </c>
      <c r="G894" s="7657" t="s">
        <v>2426</v>
      </c>
      <c r="H894" s="7657" t="s">
        <v>17</v>
      </c>
      <c r="I894" s="7657" t="s">
        <v>2654</v>
      </c>
      <c r="J894" s="0" t="s">
        <v>17</v>
      </c>
      <c r="K894" s="0" t="s">
        <v>3362</v>
      </c>
      <c r="L894" s="0" t="s">
        <v>3401</v>
      </c>
      <c r="M894" s="0" t="s">
        <v>3402</v>
      </c>
      <c r="N894" s="0" t="s">
        <v>401</v>
      </c>
    </row>
    <row customHeight="1" ht="11.25">
      <c r="A895" s="7657" t="s">
        <v>2195</v>
      </c>
      <c r="B895" s="7657" t="s">
        <v>14</v>
      </c>
      <c r="C895" s="7657" t="s">
        <v>4066</v>
      </c>
      <c r="D895" s="7657" t="s">
        <v>4067</v>
      </c>
      <c r="E895" s="7657" t="s">
        <v>4068</v>
      </c>
      <c r="F895" s="7657" t="s">
        <v>2263</v>
      </c>
      <c r="G895" s="7657" t="s">
        <v>2426</v>
      </c>
      <c r="H895" s="7657" t="s">
        <v>17</v>
      </c>
      <c r="I895" s="7657" t="s">
        <v>2654</v>
      </c>
      <c r="J895" s="0" t="s">
        <v>17</v>
      </c>
      <c r="K895" s="0" t="s">
        <v>3365</v>
      </c>
      <c r="L895" s="0" t="s">
        <v>3401</v>
      </c>
      <c r="M895" s="0" t="s">
        <v>3402</v>
      </c>
      <c r="N895" s="0" t="s">
        <v>401</v>
      </c>
    </row>
    <row customHeight="1" ht="11.25">
      <c r="A896" s="7657" t="s">
        <v>2195</v>
      </c>
      <c r="B896" s="7657" t="s">
        <v>14</v>
      </c>
      <c r="C896" s="7657" t="s">
        <v>4070</v>
      </c>
      <c r="D896" s="7657" t="s">
        <v>4071</v>
      </c>
      <c r="E896" s="7657" t="s">
        <v>4072</v>
      </c>
      <c r="F896" s="7657" t="s">
        <v>3421</v>
      </c>
      <c r="G896" s="7657" t="s">
        <v>4073</v>
      </c>
      <c r="H896" s="7657" t="s">
        <v>17</v>
      </c>
      <c r="I896" s="7657" t="s">
        <v>4074</v>
      </c>
      <c r="J896" s="0" t="s">
        <v>17</v>
      </c>
      <c r="K896" s="0" t="s">
        <v>3362</v>
      </c>
      <c r="L896" s="0" t="s">
        <v>3394</v>
      </c>
      <c r="M896" s="0" t="s">
        <v>3471</v>
      </c>
      <c r="N896" s="0" t="s">
        <v>401</v>
      </c>
    </row>
    <row customHeight="1" ht="11.25">
      <c r="A897" s="7657" t="s">
        <v>2195</v>
      </c>
      <c r="B897" s="7657" t="s">
        <v>14</v>
      </c>
      <c r="C897" s="7657" t="s">
        <v>4075</v>
      </c>
      <c r="D897" s="7657" t="s">
        <v>4076</v>
      </c>
      <c r="E897" s="7657" t="s">
        <v>4077</v>
      </c>
      <c r="F897" s="7657" t="s">
        <v>2629</v>
      </c>
      <c r="G897" s="7657" t="s">
        <v>4078</v>
      </c>
      <c r="H897" s="7657" t="s">
        <v>17</v>
      </c>
      <c r="I897" s="7657" t="s">
        <v>4079</v>
      </c>
      <c r="J897" s="0" t="s">
        <v>17</v>
      </c>
      <c r="K897" s="0" t="s">
        <v>3362</v>
      </c>
      <c r="L897" s="0" t="s">
        <v>3401</v>
      </c>
      <c r="M897" s="0" t="s">
        <v>3402</v>
      </c>
      <c r="N897" s="0" t="s">
        <v>401</v>
      </c>
    </row>
    <row customHeight="1" ht="11.25">
      <c r="A898" s="7657" t="s">
        <v>2195</v>
      </c>
      <c r="B898" s="7657" t="s">
        <v>14</v>
      </c>
      <c r="C898" s="7657" t="s">
        <v>4075</v>
      </c>
      <c r="D898" s="7657" t="s">
        <v>4076</v>
      </c>
      <c r="E898" s="7657" t="s">
        <v>4077</v>
      </c>
      <c r="F898" s="7657" t="s">
        <v>2629</v>
      </c>
      <c r="G898" s="7657" t="s">
        <v>4078</v>
      </c>
      <c r="H898" s="7657" t="s">
        <v>17</v>
      </c>
      <c r="I898" s="7657" t="s">
        <v>4079</v>
      </c>
      <c r="J898" s="0" t="s">
        <v>17</v>
      </c>
      <c r="K898" s="0" t="s">
        <v>3365</v>
      </c>
      <c r="L898" s="0" t="s">
        <v>3401</v>
      </c>
      <c r="M898" s="0" t="s">
        <v>3402</v>
      </c>
      <c r="N898" s="0" t="s">
        <v>401</v>
      </c>
    </row>
    <row customHeight="1" ht="11.25">
      <c r="A899" s="7657" t="s">
        <v>2195</v>
      </c>
      <c r="B899" s="7657" t="s">
        <v>14</v>
      </c>
      <c r="C899" s="7657" t="s">
        <v>4080</v>
      </c>
      <c r="D899" s="7657" t="s">
        <v>4081</v>
      </c>
      <c r="E899" s="7657" t="s">
        <v>4082</v>
      </c>
      <c r="F899" s="7657" t="s">
        <v>2212</v>
      </c>
      <c r="G899" s="7657" t="s">
        <v>4083</v>
      </c>
      <c r="H899" s="7657" t="s">
        <v>17</v>
      </c>
      <c r="I899" s="7657" t="s">
        <v>3900</v>
      </c>
      <c r="J899" s="0" t="s">
        <v>17</v>
      </c>
      <c r="K899" s="0" t="s">
        <v>3362</v>
      </c>
      <c r="L899" s="0" t="s">
        <v>3401</v>
      </c>
      <c r="M899" s="0" t="s">
        <v>3402</v>
      </c>
      <c r="N899" s="0" t="s">
        <v>401</v>
      </c>
    </row>
    <row customHeight="1" ht="11.25">
      <c r="A900" s="7657" t="s">
        <v>2195</v>
      </c>
      <c r="B900" s="7657" t="s">
        <v>14</v>
      </c>
      <c r="C900" s="7657" t="s">
        <v>4080</v>
      </c>
      <c r="D900" s="7657" t="s">
        <v>4081</v>
      </c>
      <c r="E900" s="7657" t="s">
        <v>4082</v>
      </c>
      <c r="F900" s="7657" t="s">
        <v>2212</v>
      </c>
      <c r="G900" s="7657" t="s">
        <v>4083</v>
      </c>
      <c r="H900" s="7657" t="s">
        <v>17</v>
      </c>
      <c r="I900" s="7657" t="s">
        <v>3900</v>
      </c>
      <c r="J900" s="0" t="s">
        <v>17</v>
      </c>
      <c r="K900" s="0" t="s">
        <v>3365</v>
      </c>
      <c r="L900" s="0" t="s">
        <v>3401</v>
      </c>
      <c r="M900" s="0" t="s">
        <v>3402</v>
      </c>
      <c r="N900" s="0" t="s">
        <v>401</v>
      </c>
    </row>
    <row customHeight="1" ht="11.25">
      <c r="A901" s="7657" t="s">
        <v>2195</v>
      </c>
      <c r="B901" s="7657" t="s">
        <v>14</v>
      </c>
      <c r="C901" s="7657" t="s">
        <v>2669</v>
      </c>
      <c r="D901" s="7657" t="s">
        <v>2670</v>
      </c>
      <c r="E901" s="7657" t="s">
        <v>2671</v>
      </c>
      <c r="F901" s="7657" t="s">
        <v>2321</v>
      </c>
      <c r="G901" s="7657" t="s">
        <v>17</v>
      </c>
      <c r="H901" s="7657" t="s">
        <v>17</v>
      </c>
      <c r="I901" s="7657" t="s">
        <v>4084</v>
      </c>
      <c r="J901" s="0" t="s">
        <v>17</v>
      </c>
      <c r="K901" s="0" t="s">
        <v>3362</v>
      </c>
      <c r="L901" s="0" t="s">
        <v>3401</v>
      </c>
      <c r="M901" s="0" t="s">
        <v>3402</v>
      </c>
      <c r="N901" s="0" t="s">
        <v>401</v>
      </c>
    </row>
    <row customHeight="1" ht="11.25">
      <c r="A902" s="7657" t="s">
        <v>2195</v>
      </c>
      <c r="B902" s="7657" t="s">
        <v>14</v>
      </c>
      <c r="C902" s="7657" t="s">
        <v>2669</v>
      </c>
      <c r="D902" s="7657" t="s">
        <v>2670</v>
      </c>
      <c r="E902" s="7657" t="s">
        <v>2671</v>
      </c>
      <c r="F902" s="7657" t="s">
        <v>2321</v>
      </c>
      <c r="G902" s="7657" t="s">
        <v>17</v>
      </c>
      <c r="H902" s="7657" t="s">
        <v>17</v>
      </c>
      <c r="I902" s="7657" t="s">
        <v>4084</v>
      </c>
      <c r="J902" s="0" t="s">
        <v>17</v>
      </c>
      <c r="K902" s="0" t="s">
        <v>3365</v>
      </c>
      <c r="L902" s="0" t="s">
        <v>3401</v>
      </c>
      <c r="M902" s="0" t="s">
        <v>3402</v>
      </c>
      <c r="N902" s="0" t="s">
        <v>401</v>
      </c>
    </row>
    <row customHeight="1" ht="11.25">
      <c r="A903" s="7657" t="s">
        <v>2195</v>
      </c>
      <c r="B903" s="7657" t="s">
        <v>14</v>
      </c>
      <c r="C903" s="7657" t="s">
        <v>4085</v>
      </c>
      <c r="D903" s="7657" t="s">
        <v>4086</v>
      </c>
      <c r="E903" s="7657" t="s">
        <v>4087</v>
      </c>
      <c r="F903" s="7657" t="s">
        <v>2415</v>
      </c>
      <c r="G903" s="7657" t="s">
        <v>17</v>
      </c>
      <c r="H903" s="7657" t="s">
        <v>17</v>
      </c>
      <c r="I903" s="7657" t="s">
        <v>4088</v>
      </c>
      <c r="J903" s="0" t="s">
        <v>17</v>
      </c>
      <c r="K903" s="0" t="s">
        <v>3362</v>
      </c>
      <c r="L903" s="0" t="s">
        <v>3401</v>
      </c>
      <c r="M903" s="0" t="s">
        <v>3402</v>
      </c>
      <c r="N903" s="0" t="s">
        <v>401</v>
      </c>
    </row>
    <row customHeight="1" ht="11.25">
      <c r="A904" s="7657" t="s">
        <v>2195</v>
      </c>
      <c r="B904" s="7657" t="s">
        <v>14</v>
      </c>
      <c r="C904" s="7657" t="s">
        <v>4085</v>
      </c>
      <c r="D904" s="7657" t="s">
        <v>4086</v>
      </c>
      <c r="E904" s="7657" t="s">
        <v>4087</v>
      </c>
      <c r="F904" s="7657" t="s">
        <v>2415</v>
      </c>
      <c r="G904" s="7657" t="s">
        <v>17</v>
      </c>
      <c r="H904" s="7657" t="s">
        <v>17</v>
      </c>
      <c r="I904" s="7657" t="s">
        <v>4088</v>
      </c>
      <c r="J904" s="0" t="s">
        <v>17</v>
      </c>
      <c r="K904" s="0" t="s">
        <v>3365</v>
      </c>
      <c r="L904" s="0" t="s">
        <v>3401</v>
      </c>
      <c r="M904" s="0" t="s">
        <v>3402</v>
      </c>
      <c r="N904" s="0" t="s">
        <v>401</v>
      </c>
    </row>
    <row customHeight="1" ht="11.25">
      <c r="A905" s="7657" t="s">
        <v>2195</v>
      </c>
      <c r="B905" s="7657" t="s">
        <v>14</v>
      </c>
      <c r="C905" s="7657" t="s">
        <v>4089</v>
      </c>
      <c r="D905" s="7657" t="s">
        <v>4090</v>
      </c>
      <c r="E905" s="7657" t="s">
        <v>4091</v>
      </c>
      <c r="F905" s="7657" t="s">
        <v>2239</v>
      </c>
      <c r="G905" s="7657" t="s">
        <v>4092</v>
      </c>
      <c r="H905" s="7657" t="s">
        <v>17</v>
      </c>
      <c r="I905" s="7657" t="s">
        <v>2228</v>
      </c>
      <c r="J905" s="0" t="s">
        <v>17</v>
      </c>
      <c r="K905" s="0" t="s">
        <v>3362</v>
      </c>
      <c r="L905" s="0" t="s">
        <v>3363</v>
      </c>
      <c r="M905" s="0" t="s">
        <v>3364</v>
      </c>
      <c r="N905" s="0" t="s">
        <v>401</v>
      </c>
    </row>
    <row customHeight="1" ht="11.25">
      <c r="A906" s="7657" t="s">
        <v>2195</v>
      </c>
      <c r="B906" s="7657" t="s">
        <v>14</v>
      </c>
      <c r="C906" s="7657" t="s">
        <v>4089</v>
      </c>
      <c r="D906" s="7657" t="s">
        <v>4090</v>
      </c>
      <c r="E906" s="7657" t="s">
        <v>4091</v>
      </c>
      <c r="F906" s="7657" t="s">
        <v>2239</v>
      </c>
      <c r="G906" s="7657" t="s">
        <v>4092</v>
      </c>
      <c r="H906" s="7657" t="s">
        <v>17</v>
      </c>
      <c r="I906" s="7657" t="s">
        <v>2228</v>
      </c>
      <c r="J906" s="0" t="s">
        <v>17</v>
      </c>
      <c r="K906" s="0" t="s">
        <v>3365</v>
      </c>
      <c r="L906" s="0" t="s">
        <v>3363</v>
      </c>
      <c r="M906" s="0" t="s">
        <v>3364</v>
      </c>
      <c r="N906" s="0" t="s">
        <v>401</v>
      </c>
    </row>
    <row customHeight="1" ht="11.25">
      <c r="A907" s="7657" t="s">
        <v>2195</v>
      </c>
      <c r="B907" s="7657" t="s">
        <v>14</v>
      </c>
      <c r="C907" s="7657" t="s">
        <v>4093</v>
      </c>
      <c r="D907" s="7657" t="s">
        <v>4094</v>
      </c>
      <c r="E907" s="7657" t="s">
        <v>4095</v>
      </c>
      <c r="F907" s="7657" t="s">
        <v>2388</v>
      </c>
      <c r="G907" s="7657" t="s">
        <v>4096</v>
      </c>
      <c r="H907" s="7657" t="s">
        <v>17</v>
      </c>
      <c r="I907" s="7657" t="s">
        <v>2208</v>
      </c>
      <c r="J907" s="0" t="s">
        <v>17</v>
      </c>
      <c r="K907" s="0" t="s">
        <v>3362</v>
      </c>
      <c r="L907" s="0" t="s">
        <v>3363</v>
      </c>
      <c r="M907" s="0" t="s">
        <v>3364</v>
      </c>
      <c r="N907" s="0" t="s">
        <v>401</v>
      </c>
    </row>
    <row customHeight="1" ht="11.25">
      <c r="A908" s="7657" t="s">
        <v>2195</v>
      </c>
      <c r="B908" s="7657" t="s">
        <v>14</v>
      </c>
      <c r="C908" s="7657" t="s">
        <v>4093</v>
      </c>
      <c r="D908" s="7657" t="s">
        <v>4094</v>
      </c>
      <c r="E908" s="7657" t="s">
        <v>4095</v>
      </c>
      <c r="F908" s="7657" t="s">
        <v>2388</v>
      </c>
      <c r="G908" s="7657" t="s">
        <v>4096</v>
      </c>
      <c r="H908" s="7657" t="s">
        <v>17</v>
      </c>
      <c r="I908" s="7657" t="s">
        <v>2208</v>
      </c>
      <c r="J908" s="0" t="s">
        <v>17</v>
      </c>
      <c r="K908" s="0" t="s">
        <v>3365</v>
      </c>
      <c r="L908" s="0" t="s">
        <v>3363</v>
      </c>
      <c r="M908" s="0" t="s">
        <v>3364</v>
      </c>
      <c r="N908" s="0" t="s">
        <v>401</v>
      </c>
    </row>
    <row customHeight="1" ht="11.25">
      <c r="A909" s="7657" t="s">
        <v>2195</v>
      </c>
      <c r="B909" s="7657" t="s">
        <v>14</v>
      </c>
      <c r="C909" s="7657" t="s">
        <v>4097</v>
      </c>
      <c r="D909" s="7657" t="s">
        <v>4098</v>
      </c>
      <c r="E909" s="7657" t="s">
        <v>4099</v>
      </c>
      <c r="F909" s="7657" t="s">
        <v>2719</v>
      </c>
      <c r="G909" s="7657" t="s">
        <v>4100</v>
      </c>
      <c r="H909" s="7657" t="s">
        <v>17</v>
      </c>
      <c r="I909" s="7657" t="s">
        <v>2426</v>
      </c>
      <c r="J909" s="0" t="s">
        <v>17</v>
      </c>
      <c r="K909" s="0" t="s">
        <v>3362</v>
      </c>
      <c r="L909" s="0" t="s">
        <v>3363</v>
      </c>
      <c r="M909" s="0" t="s">
        <v>3364</v>
      </c>
      <c r="N909" s="0" t="s">
        <v>401</v>
      </c>
    </row>
    <row customHeight="1" ht="11.25">
      <c r="A910" s="7657" t="s">
        <v>2195</v>
      </c>
      <c r="B910" s="7657" t="s">
        <v>14</v>
      </c>
      <c r="C910" s="7657" t="s">
        <v>4097</v>
      </c>
      <c r="D910" s="7657" t="s">
        <v>4098</v>
      </c>
      <c r="E910" s="7657" t="s">
        <v>4099</v>
      </c>
      <c r="F910" s="7657" t="s">
        <v>2719</v>
      </c>
      <c r="G910" s="7657" t="s">
        <v>4100</v>
      </c>
      <c r="H910" s="7657" t="s">
        <v>17</v>
      </c>
      <c r="I910" s="7657" t="s">
        <v>2426</v>
      </c>
      <c r="J910" s="0" t="s">
        <v>17</v>
      </c>
      <c r="K910" s="0" t="s">
        <v>3365</v>
      </c>
      <c r="L910" s="0" t="s">
        <v>3363</v>
      </c>
      <c r="M910" s="0" t="s">
        <v>3364</v>
      </c>
      <c r="N910" s="0" t="s">
        <v>401</v>
      </c>
    </row>
    <row customHeight="1" ht="11.25">
      <c r="A911" s="7657" t="s">
        <v>2195</v>
      </c>
      <c r="B911" s="7657" t="s">
        <v>14</v>
      </c>
      <c r="C911" s="7657" t="s">
        <v>4101</v>
      </c>
      <c r="D911" s="7657" t="s">
        <v>4102</v>
      </c>
      <c r="E911" s="7657" t="s">
        <v>4103</v>
      </c>
      <c r="F911" s="7657" t="s">
        <v>2719</v>
      </c>
      <c r="G911" s="7657" t="s">
        <v>4104</v>
      </c>
      <c r="H911" s="7657" t="s">
        <v>17</v>
      </c>
      <c r="I911" s="7657" t="s">
        <v>4105</v>
      </c>
      <c r="J911" s="0" t="s">
        <v>17</v>
      </c>
      <c r="K911" s="0" t="s">
        <v>3362</v>
      </c>
      <c r="L911" s="0" t="s">
        <v>3363</v>
      </c>
      <c r="M911" s="0" t="s">
        <v>3364</v>
      </c>
      <c r="N911" s="0" t="s">
        <v>401</v>
      </c>
    </row>
    <row customHeight="1" ht="11.25">
      <c r="A912" s="7657" t="s">
        <v>2195</v>
      </c>
      <c r="B912" s="7657" t="s">
        <v>14</v>
      </c>
      <c r="C912" s="7657" t="s">
        <v>4101</v>
      </c>
      <c r="D912" s="7657" t="s">
        <v>4102</v>
      </c>
      <c r="E912" s="7657" t="s">
        <v>4103</v>
      </c>
      <c r="F912" s="7657" t="s">
        <v>2719</v>
      </c>
      <c r="G912" s="7657" t="s">
        <v>4104</v>
      </c>
      <c r="H912" s="7657" t="s">
        <v>17</v>
      </c>
      <c r="I912" s="7657" t="s">
        <v>4105</v>
      </c>
      <c r="J912" s="0" t="s">
        <v>17</v>
      </c>
      <c r="K912" s="0" t="s">
        <v>3365</v>
      </c>
      <c r="L912" s="0" t="s">
        <v>3363</v>
      </c>
      <c r="M912" s="0" t="s">
        <v>3364</v>
      </c>
      <c r="N912" s="0" t="s">
        <v>401</v>
      </c>
    </row>
    <row customHeight="1" ht="11.25">
      <c r="A913" s="7657" t="s">
        <v>2195</v>
      </c>
      <c r="B913" s="7657" t="s">
        <v>14</v>
      </c>
      <c r="C913" s="7657" t="s">
        <v>4106</v>
      </c>
      <c r="D913" s="7657" t="s">
        <v>4107</v>
      </c>
      <c r="E913" s="7657" t="s">
        <v>4108</v>
      </c>
      <c r="F913" s="7657" t="s">
        <v>2719</v>
      </c>
      <c r="G913" s="7657" t="s">
        <v>4109</v>
      </c>
      <c r="H913" s="7657" t="s">
        <v>17</v>
      </c>
      <c r="I913" s="7657" t="s">
        <v>4109</v>
      </c>
      <c r="J913" s="0" t="s">
        <v>17</v>
      </c>
      <c r="K913" s="0" t="s">
        <v>3362</v>
      </c>
      <c r="L913" s="0" t="s">
        <v>3363</v>
      </c>
      <c r="M913" s="0" t="s">
        <v>3364</v>
      </c>
      <c r="N913" s="0" t="s">
        <v>401</v>
      </c>
    </row>
    <row customHeight="1" ht="11.25">
      <c r="A914" s="7657" t="s">
        <v>2195</v>
      </c>
      <c r="B914" s="7657" t="s">
        <v>14</v>
      </c>
      <c r="C914" s="7657" t="s">
        <v>4106</v>
      </c>
      <c r="D914" s="7657" t="s">
        <v>4107</v>
      </c>
      <c r="E914" s="7657" t="s">
        <v>4108</v>
      </c>
      <c r="F914" s="7657" t="s">
        <v>2719</v>
      </c>
      <c r="G914" s="7657" t="s">
        <v>4109</v>
      </c>
      <c r="H914" s="7657" t="s">
        <v>17</v>
      </c>
      <c r="I914" s="7657" t="s">
        <v>4109</v>
      </c>
      <c r="J914" s="0" t="s">
        <v>17</v>
      </c>
      <c r="K914" s="0" t="s">
        <v>3365</v>
      </c>
      <c r="L914" s="0" t="s">
        <v>3363</v>
      </c>
      <c r="M914" s="0" t="s">
        <v>3364</v>
      </c>
      <c r="N914" s="0" t="s">
        <v>401</v>
      </c>
    </row>
    <row customHeight="1" ht="11.25">
      <c r="A915" s="7657" t="s">
        <v>2195</v>
      </c>
      <c r="B915" s="7657" t="s">
        <v>14</v>
      </c>
      <c r="C915" s="7657" t="s">
        <v>2681</v>
      </c>
      <c r="D915" s="7657" t="s">
        <v>2682</v>
      </c>
      <c r="E915" s="7657" t="s">
        <v>2683</v>
      </c>
      <c r="F915" s="7657" t="s">
        <v>2206</v>
      </c>
      <c r="G915" s="7657" t="s">
        <v>17</v>
      </c>
      <c r="H915" s="7657" t="s">
        <v>17</v>
      </c>
      <c r="I915" s="7657" t="s">
        <v>2208</v>
      </c>
      <c r="J915" s="0" t="s">
        <v>17</v>
      </c>
      <c r="K915" s="0" t="s">
        <v>3362</v>
      </c>
      <c r="L915" s="0" t="s">
        <v>3363</v>
      </c>
      <c r="M915" s="0" t="s">
        <v>3364</v>
      </c>
      <c r="N915" s="0" t="s">
        <v>401</v>
      </c>
    </row>
    <row customHeight="1" ht="11.25">
      <c r="A916" s="7657" t="s">
        <v>2195</v>
      </c>
      <c r="B916" s="7657" t="s">
        <v>14</v>
      </c>
      <c r="C916" s="7657" t="s">
        <v>2681</v>
      </c>
      <c r="D916" s="7657" t="s">
        <v>2682</v>
      </c>
      <c r="E916" s="7657" t="s">
        <v>2683</v>
      </c>
      <c r="F916" s="7657" t="s">
        <v>2206</v>
      </c>
      <c r="G916" s="7657" t="s">
        <v>17</v>
      </c>
      <c r="H916" s="7657" t="s">
        <v>17</v>
      </c>
      <c r="I916" s="7657" t="s">
        <v>2208</v>
      </c>
      <c r="J916" s="0" t="s">
        <v>17</v>
      </c>
      <c r="K916" s="0" t="s">
        <v>3365</v>
      </c>
      <c r="L916" s="0" t="s">
        <v>3363</v>
      </c>
      <c r="M916" s="0" t="s">
        <v>3364</v>
      </c>
      <c r="N916" s="0" t="s">
        <v>401</v>
      </c>
    </row>
    <row customHeight="1" ht="11.25">
      <c r="A917" s="7657" t="s">
        <v>2195</v>
      </c>
      <c r="B917" s="7657" t="s">
        <v>14</v>
      </c>
      <c r="C917" s="7657" t="s">
        <v>4110</v>
      </c>
      <c r="D917" s="7657" t="s">
        <v>4111</v>
      </c>
      <c r="E917" s="7657" t="s">
        <v>4112</v>
      </c>
      <c r="F917" s="7657" t="s">
        <v>3016</v>
      </c>
      <c r="G917" s="7657" t="s">
        <v>17</v>
      </c>
      <c r="H917" s="7657" t="s">
        <v>17</v>
      </c>
      <c r="I917" s="7657" t="s">
        <v>2426</v>
      </c>
      <c r="J917" s="0" t="s">
        <v>17</v>
      </c>
      <c r="K917" s="0" t="s">
        <v>3362</v>
      </c>
      <c r="L917" s="0" t="s">
        <v>3363</v>
      </c>
      <c r="M917" s="0" t="s">
        <v>3364</v>
      </c>
      <c r="N917" s="0" t="s">
        <v>401</v>
      </c>
    </row>
    <row customHeight="1" ht="11.25">
      <c r="A918" s="7657" t="s">
        <v>2195</v>
      </c>
      <c r="B918" s="7657" t="s">
        <v>14</v>
      </c>
      <c r="C918" s="7657" t="s">
        <v>4110</v>
      </c>
      <c r="D918" s="7657" t="s">
        <v>4111</v>
      </c>
      <c r="E918" s="7657" t="s">
        <v>4112</v>
      </c>
      <c r="F918" s="7657" t="s">
        <v>3016</v>
      </c>
      <c r="G918" s="7657" t="s">
        <v>17</v>
      </c>
      <c r="H918" s="7657" t="s">
        <v>17</v>
      </c>
      <c r="I918" s="7657" t="s">
        <v>2426</v>
      </c>
      <c r="J918" s="0" t="s">
        <v>17</v>
      </c>
      <c r="K918" s="0" t="s">
        <v>3365</v>
      </c>
      <c r="L918" s="0" t="s">
        <v>3363</v>
      </c>
      <c r="M918" s="0" t="s">
        <v>3364</v>
      </c>
      <c r="N918" s="0" t="s">
        <v>401</v>
      </c>
    </row>
    <row customHeight="1" ht="11.25">
      <c r="A919" s="7657" t="s">
        <v>2195</v>
      </c>
      <c r="B919" s="7657" t="s">
        <v>14</v>
      </c>
      <c r="C919" s="7657" t="s">
        <v>4113</v>
      </c>
      <c r="D919" s="7657" t="s">
        <v>4114</v>
      </c>
      <c r="E919" s="7657" t="s">
        <v>4115</v>
      </c>
      <c r="F919" s="7657" t="s">
        <v>2388</v>
      </c>
      <c r="G919" s="7657" t="s">
        <v>4116</v>
      </c>
      <c r="H919" s="7657" t="s">
        <v>17</v>
      </c>
      <c r="I919" s="7657" t="s">
        <v>2208</v>
      </c>
      <c r="J919" s="0" t="s">
        <v>17</v>
      </c>
      <c r="K919" s="0" t="s">
        <v>3362</v>
      </c>
      <c r="L919" s="0" t="s">
        <v>3374</v>
      </c>
      <c r="M919" s="0" t="s">
        <v>3375</v>
      </c>
      <c r="N919" s="0" t="s">
        <v>401</v>
      </c>
    </row>
    <row customHeight="1" ht="11.25">
      <c r="A920" s="7657" t="s">
        <v>2195</v>
      </c>
      <c r="B920" s="7657" t="s">
        <v>14</v>
      </c>
      <c r="C920" s="7657" t="s">
        <v>4113</v>
      </c>
      <c r="D920" s="7657" t="s">
        <v>4114</v>
      </c>
      <c r="E920" s="7657" t="s">
        <v>4115</v>
      </c>
      <c r="F920" s="7657" t="s">
        <v>2388</v>
      </c>
      <c r="G920" s="7657" t="s">
        <v>4116</v>
      </c>
      <c r="H920" s="7657" t="s">
        <v>17</v>
      </c>
      <c r="I920" s="7657" t="s">
        <v>2208</v>
      </c>
      <c r="J920" s="0" t="s">
        <v>17</v>
      </c>
      <c r="K920" s="0" t="s">
        <v>3362</v>
      </c>
      <c r="L920" s="0" t="s">
        <v>3363</v>
      </c>
      <c r="M920" s="0" t="s">
        <v>3364</v>
      </c>
      <c r="N920" s="0" t="s">
        <v>401</v>
      </c>
    </row>
    <row customHeight="1" ht="11.25">
      <c r="A921" s="7657" t="s">
        <v>2195</v>
      </c>
      <c r="B921" s="7657" t="s">
        <v>14</v>
      </c>
      <c r="C921" s="7657" t="s">
        <v>4113</v>
      </c>
      <c r="D921" s="7657" t="s">
        <v>4114</v>
      </c>
      <c r="E921" s="7657" t="s">
        <v>4115</v>
      </c>
      <c r="F921" s="7657" t="s">
        <v>2388</v>
      </c>
      <c r="G921" s="7657" t="s">
        <v>4116</v>
      </c>
      <c r="H921" s="7657" t="s">
        <v>17</v>
      </c>
      <c r="I921" s="7657" t="s">
        <v>2208</v>
      </c>
      <c r="J921" s="0" t="s">
        <v>17</v>
      </c>
      <c r="K921" s="0" t="s">
        <v>3365</v>
      </c>
      <c r="L921" s="0" t="s">
        <v>3363</v>
      </c>
      <c r="M921" s="0" t="s">
        <v>3364</v>
      </c>
      <c r="N921" s="0" t="s">
        <v>401</v>
      </c>
    </row>
    <row customHeight="1" ht="11.25">
      <c r="A922" s="7657" t="s">
        <v>2195</v>
      </c>
      <c r="B922" s="7657" t="s">
        <v>14</v>
      </c>
      <c r="C922" s="7657" t="s">
        <v>2696</v>
      </c>
      <c r="D922" s="7657" t="s">
        <v>2697</v>
      </c>
      <c r="E922" s="7657" t="s">
        <v>2698</v>
      </c>
      <c r="F922" s="7657" t="s">
        <v>2699</v>
      </c>
      <c r="G922" s="7657" t="s">
        <v>2700</v>
      </c>
      <c r="H922" s="7657" t="s">
        <v>17</v>
      </c>
      <c r="I922" s="7657" t="s">
        <v>2228</v>
      </c>
      <c r="J922" s="0" t="s">
        <v>17</v>
      </c>
      <c r="K922" s="0" t="s">
        <v>3362</v>
      </c>
      <c r="L922" s="0" t="s">
        <v>3363</v>
      </c>
      <c r="M922" s="0" t="s">
        <v>3364</v>
      </c>
      <c r="N922" s="0" t="s">
        <v>401</v>
      </c>
    </row>
    <row customHeight="1" ht="11.25">
      <c r="A923" s="7657" t="s">
        <v>2195</v>
      </c>
      <c r="B923" s="7657" t="s">
        <v>14</v>
      </c>
      <c r="C923" s="7657" t="s">
        <v>2696</v>
      </c>
      <c r="D923" s="7657" t="s">
        <v>2697</v>
      </c>
      <c r="E923" s="7657" t="s">
        <v>2698</v>
      </c>
      <c r="F923" s="7657" t="s">
        <v>2699</v>
      </c>
      <c r="G923" s="7657" t="s">
        <v>2700</v>
      </c>
      <c r="H923" s="7657" t="s">
        <v>17</v>
      </c>
      <c r="I923" s="7657" t="s">
        <v>2228</v>
      </c>
      <c r="J923" s="0" t="s">
        <v>17</v>
      </c>
      <c r="K923" s="0" t="s">
        <v>3365</v>
      </c>
      <c r="L923" s="0" t="s">
        <v>3363</v>
      </c>
      <c r="M923" s="0" t="s">
        <v>3364</v>
      </c>
      <c r="N923" s="0" t="s">
        <v>401</v>
      </c>
    </row>
    <row customHeight="1" ht="11.25">
      <c r="A924" s="7657" t="s">
        <v>2195</v>
      </c>
      <c r="B924" s="7657" t="s">
        <v>14</v>
      </c>
      <c r="C924" s="7657" t="s">
        <v>4117</v>
      </c>
      <c r="D924" s="7657" t="s">
        <v>4118</v>
      </c>
      <c r="E924" s="7657" t="s">
        <v>4119</v>
      </c>
      <c r="F924" s="7657" t="s">
        <v>2212</v>
      </c>
      <c r="G924" s="7657" t="s">
        <v>17</v>
      </c>
      <c r="H924" s="7657" t="s">
        <v>17</v>
      </c>
      <c r="I924" s="7657" t="s">
        <v>2208</v>
      </c>
      <c r="J924" s="0" t="s">
        <v>17</v>
      </c>
      <c r="K924" s="0" t="s">
        <v>3362</v>
      </c>
      <c r="L924" s="0" t="s">
        <v>3374</v>
      </c>
      <c r="M924" s="0" t="s">
        <v>3375</v>
      </c>
      <c r="N924" s="0" t="s">
        <v>401</v>
      </c>
    </row>
    <row customHeight="1" ht="11.25">
      <c r="A925" s="7657" t="s">
        <v>2195</v>
      </c>
      <c r="B925" s="7657" t="s">
        <v>14</v>
      </c>
      <c r="C925" s="7657" t="s">
        <v>4117</v>
      </c>
      <c r="D925" s="7657" t="s">
        <v>4118</v>
      </c>
      <c r="E925" s="7657" t="s">
        <v>4119</v>
      </c>
      <c r="F925" s="7657" t="s">
        <v>2212</v>
      </c>
      <c r="G925" s="7657" t="s">
        <v>17</v>
      </c>
      <c r="H925" s="7657" t="s">
        <v>17</v>
      </c>
      <c r="I925" s="7657" t="s">
        <v>2426</v>
      </c>
      <c r="J925" s="0" t="s">
        <v>17</v>
      </c>
      <c r="K925" s="0" t="s">
        <v>3362</v>
      </c>
      <c r="L925" s="0" t="s">
        <v>3434</v>
      </c>
      <c r="M925" s="0" t="s">
        <v>3475</v>
      </c>
      <c r="N925" s="0" t="s">
        <v>401</v>
      </c>
    </row>
    <row customHeight="1" ht="11.25">
      <c r="A926" s="7657" t="s">
        <v>2195</v>
      </c>
      <c r="B926" s="7657" t="s">
        <v>14</v>
      </c>
      <c r="C926" s="7657" t="s">
        <v>4117</v>
      </c>
      <c r="D926" s="7657" t="s">
        <v>4118</v>
      </c>
      <c r="E926" s="7657" t="s">
        <v>4119</v>
      </c>
      <c r="F926" s="7657" t="s">
        <v>2212</v>
      </c>
      <c r="G926" s="7657" t="s">
        <v>17</v>
      </c>
      <c r="H926" s="7657" t="s">
        <v>17</v>
      </c>
      <c r="I926" s="7657" t="s">
        <v>2426</v>
      </c>
      <c r="J926" s="0" t="s">
        <v>17</v>
      </c>
      <c r="K926" s="0" t="s">
        <v>3365</v>
      </c>
      <c r="L926" s="0" t="s">
        <v>3434</v>
      </c>
      <c r="M926" s="0" t="s">
        <v>3475</v>
      </c>
      <c r="N926" s="0" t="s">
        <v>401</v>
      </c>
    </row>
    <row customHeight="1" ht="11.25">
      <c r="A927" s="7657" t="s">
        <v>2195</v>
      </c>
      <c r="B927" s="7657" t="s">
        <v>14</v>
      </c>
      <c r="C927" s="7657" t="s">
        <v>4117</v>
      </c>
      <c r="D927" s="7657" t="s">
        <v>4118</v>
      </c>
      <c r="E927" s="7657" t="s">
        <v>4119</v>
      </c>
      <c r="F927" s="7657" t="s">
        <v>2212</v>
      </c>
      <c r="G927" s="7657" t="s">
        <v>17</v>
      </c>
      <c r="H927" s="7657" t="s">
        <v>17</v>
      </c>
      <c r="I927" s="7657" t="s">
        <v>2426</v>
      </c>
      <c r="J927" s="0" t="s">
        <v>17</v>
      </c>
      <c r="K927" s="0" t="s">
        <v>3362</v>
      </c>
      <c r="L927" s="0" t="s">
        <v>3363</v>
      </c>
      <c r="M927" s="0" t="s">
        <v>3364</v>
      </c>
      <c r="N927" s="0" t="s">
        <v>401</v>
      </c>
    </row>
    <row customHeight="1" ht="11.25">
      <c r="A928" s="7657" t="s">
        <v>2195</v>
      </c>
      <c r="B928" s="7657" t="s">
        <v>14</v>
      </c>
      <c r="C928" s="7657" t="s">
        <v>4117</v>
      </c>
      <c r="D928" s="7657" t="s">
        <v>4118</v>
      </c>
      <c r="E928" s="7657" t="s">
        <v>4119</v>
      </c>
      <c r="F928" s="7657" t="s">
        <v>2212</v>
      </c>
      <c r="G928" s="7657" t="s">
        <v>17</v>
      </c>
      <c r="H928" s="7657" t="s">
        <v>17</v>
      </c>
      <c r="I928" s="7657" t="s">
        <v>2426</v>
      </c>
      <c r="J928" s="0" t="s">
        <v>17</v>
      </c>
      <c r="K928" s="0" t="s">
        <v>3365</v>
      </c>
      <c r="L928" s="0" t="s">
        <v>3363</v>
      </c>
      <c r="M928" s="0" t="s">
        <v>3364</v>
      </c>
      <c r="N928" s="0" t="s">
        <v>401</v>
      </c>
    </row>
    <row customHeight="1" ht="11.25">
      <c r="A929" s="7657" t="s">
        <v>2195</v>
      </c>
      <c r="B929" s="7657" t="s">
        <v>14</v>
      </c>
      <c r="C929" s="7657" t="s">
        <v>4120</v>
      </c>
      <c r="D929" s="7657" t="s">
        <v>4121</v>
      </c>
      <c r="E929" s="7657" t="s">
        <v>4122</v>
      </c>
      <c r="F929" s="7657" t="s">
        <v>2212</v>
      </c>
      <c r="G929" s="7657" t="s">
        <v>17</v>
      </c>
      <c r="H929" s="7657" t="s">
        <v>17</v>
      </c>
      <c r="I929" s="7657" t="s">
        <v>2208</v>
      </c>
      <c r="J929" s="0" t="s">
        <v>17</v>
      </c>
      <c r="K929" s="0" t="s">
        <v>3362</v>
      </c>
      <c r="L929" s="0" t="s">
        <v>3374</v>
      </c>
      <c r="M929" s="0" t="s">
        <v>3375</v>
      </c>
      <c r="N929" s="0" t="s">
        <v>401</v>
      </c>
    </row>
    <row customHeight="1" ht="11.25">
      <c r="A930" s="7657" t="s">
        <v>2195</v>
      </c>
      <c r="B930" s="7657" t="s">
        <v>14</v>
      </c>
      <c r="C930" s="7657" t="s">
        <v>4120</v>
      </c>
      <c r="D930" s="7657" t="s">
        <v>4121</v>
      </c>
      <c r="E930" s="7657" t="s">
        <v>4122</v>
      </c>
      <c r="F930" s="7657" t="s">
        <v>2212</v>
      </c>
      <c r="G930" s="7657" t="s">
        <v>17</v>
      </c>
      <c r="H930" s="7657" t="s">
        <v>17</v>
      </c>
      <c r="I930" s="7657" t="s">
        <v>2426</v>
      </c>
      <c r="J930" s="0" t="s">
        <v>17</v>
      </c>
      <c r="K930" s="0" t="s">
        <v>3362</v>
      </c>
      <c r="L930" s="0" t="s">
        <v>3434</v>
      </c>
      <c r="M930" s="0" t="s">
        <v>3475</v>
      </c>
      <c r="N930" s="0" t="s">
        <v>401</v>
      </c>
    </row>
    <row customHeight="1" ht="11.25">
      <c r="A931" s="7657" t="s">
        <v>2195</v>
      </c>
      <c r="B931" s="7657" t="s">
        <v>14</v>
      </c>
      <c r="C931" s="7657" t="s">
        <v>4120</v>
      </c>
      <c r="D931" s="7657" t="s">
        <v>4121</v>
      </c>
      <c r="E931" s="7657" t="s">
        <v>4122</v>
      </c>
      <c r="F931" s="7657" t="s">
        <v>2212</v>
      </c>
      <c r="G931" s="7657" t="s">
        <v>17</v>
      </c>
      <c r="H931" s="7657" t="s">
        <v>17</v>
      </c>
      <c r="I931" s="7657" t="s">
        <v>2426</v>
      </c>
      <c r="J931" s="0" t="s">
        <v>17</v>
      </c>
      <c r="K931" s="0" t="s">
        <v>3365</v>
      </c>
      <c r="L931" s="0" t="s">
        <v>3434</v>
      </c>
      <c r="M931" s="0" t="s">
        <v>3475</v>
      </c>
      <c r="N931" s="0" t="s">
        <v>401</v>
      </c>
    </row>
    <row customHeight="1" ht="11.25">
      <c r="A932" s="7657" t="s">
        <v>2195</v>
      </c>
      <c r="B932" s="7657" t="s">
        <v>14</v>
      </c>
      <c r="C932" s="7657" t="s">
        <v>4120</v>
      </c>
      <c r="D932" s="7657" t="s">
        <v>4121</v>
      </c>
      <c r="E932" s="7657" t="s">
        <v>4122</v>
      </c>
      <c r="F932" s="7657" t="s">
        <v>2212</v>
      </c>
      <c r="G932" s="7657" t="s">
        <v>17</v>
      </c>
      <c r="H932" s="7657" t="s">
        <v>17</v>
      </c>
      <c r="I932" s="7657" t="s">
        <v>2426</v>
      </c>
      <c r="J932" s="0" t="s">
        <v>17</v>
      </c>
      <c r="K932" s="0" t="s">
        <v>3362</v>
      </c>
      <c r="L932" s="0" t="s">
        <v>3363</v>
      </c>
      <c r="M932" s="0" t="s">
        <v>3364</v>
      </c>
      <c r="N932" s="0" t="s">
        <v>401</v>
      </c>
    </row>
    <row customHeight="1" ht="11.25">
      <c r="A933" s="7657" t="s">
        <v>2195</v>
      </c>
      <c r="B933" s="7657" t="s">
        <v>14</v>
      </c>
      <c r="C933" s="7657" t="s">
        <v>4120</v>
      </c>
      <c r="D933" s="7657" t="s">
        <v>4121</v>
      </c>
      <c r="E933" s="7657" t="s">
        <v>4122</v>
      </c>
      <c r="F933" s="7657" t="s">
        <v>2212</v>
      </c>
      <c r="G933" s="7657" t="s">
        <v>17</v>
      </c>
      <c r="H933" s="7657" t="s">
        <v>17</v>
      </c>
      <c r="I933" s="7657" t="s">
        <v>2426</v>
      </c>
      <c r="J933" s="0" t="s">
        <v>17</v>
      </c>
      <c r="K933" s="0" t="s">
        <v>3365</v>
      </c>
      <c r="L933" s="0" t="s">
        <v>3363</v>
      </c>
      <c r="M933" s="0" t="s">
        <v>3364</v>
      </c>
      <c r="N933" s="0" t="s">
        <v>401</v>
      </c>
    </row>
    <row customHeight="1" ht="11.25">
      <c r="A934" s="7657" t="s">
        <v>2195</v>
      </c>
      <c r="B934" s="7657" t="s">
        <v>14</v>
      </c>
      <c r="C934" s="7657" t="s">
        <v>2704</v>
      </c>
      <c r="D934" s="7657" t="s">
        <v>2705</v>
      </c>
      <c r="E934" s="7657" t="s">
        <v>2706</v>
      </c>
      <c r="F934" s="7657" t="s">
        <v>2227</v>
      </c>
      <c r="G934" s="7657" t="s">
        <v>2707</v>
      </c>
      <c r="H934" s="7657" t="s">
        <v>17</v>
      </c>
      <c r="I934" s="7657" t="s">
        <v>2830</v>
      </c>
      <c r="J934" s="0" t="s">
        <v>17</v>
      </c>
      <c r="K934" s="0" t="s">
        <v>3362</v>
      </c>
      <c r="L934" s="0" t="s">
        <v>3401</v>
      </c>
      <c r="M934" s="0" t="s">
        <v>3402</v>
      </c>
      <c r="N934" s="0" t="s">
        <v>401</v>
      </c>
    </row>
    <row customHeight="1" ht="11.25">
      <c r="A935" s="7657" t="s">
        <v>2195</v>
      </c>
      <c r="B935" s="7657" t="s">
        <v>14</v>
      </c>
      <c r="C935" s="7657" t="s">
        <v>2704</v>
      </c>
      <c r="D935" s="7657" t="s">
        <v>2705</v>
      </c>
      <c r="E935" s="7657" t="s">
        <v>2706</v>
      </c>
      <c r="F935" s="7657" t="s">
        <v>2227</v>
      </c>
      <c r="G935" s="7657" t="s">
        <v>2707</v>
      </c>
      <c r="H935" s="7657" t="s">
        <v>17</v>
      </c>
      <c r="I935" s="7657" t="s">
        <v>2830</v>
      </c>
      <c r="J935" s="0" t="s">
        <v>17</v>
      </c>
      <c r="K935" s="0" t="s">
        <v>3365</v>
      </c>
      <c r="L935" s="0" t="s">
        <v>3401</v>
      </c>
      <c r="M935" s="0" t="s">
        <v>3402</v>
      </c>
      <c r="N935" s="0" t="s">
        <v>401</v>
      </c>
    </row>
    <row customHeight="1" ht="11.25">
      <c r="A936" s="7657" t="s">
        <v>2195</v>
      </c>
      <c r="B936" s="7657" t="s">
        <v>14</v>
      </c>
      <c r="C936" s="7657" t="s">
        <v>2716</v>
      </c>
      <c r="D936" s="7657" t="s">
        <v>2717</v>
      </c>
      <c r="E936" s="7657" t="s">
        <v>2718</v>
      </c>
      <c r="F936" s="7657" t="s">
        <v>2719</v>
      </c>
      <c r="G936" s="7657" t="s">
        <v>2720</v>
      </c>
      <c r="H936" s="7657" t="s">
        <v>17</v>
      </c>
      <c r="I936" s="7657" t="s">
        <v>2228</v>
      </c>
      <c r="J936" s="0" t="s">
        <v>17</v>
      </c>
      <c r="K936" s="0" t="s">
        <v>3362</v>
      </c>
      <c r="L936" s="0" t="s">
        <v>3363</v>
      </c>
      <c r="M936" s="0" t="s">
        <v>3364</v>
      </c>
      <c r="N936" s="0" t="s">
        <v>401</v>
      </c>
    </row>
    <row customHeight="1" ht="11.25">
      <c r="A937" s="7657" t="s">
        <v>2195</v>
      </c>
      <c r="B937" s="7657" t="s">
        <v>14</v>
      </c>
      <c r="C937" s="7657" t="s">
        <v>2716</v>
      </c>
      <c r="D937" s="7657" t="s">
        <v>2717</v>
      </c>
      <c r="E937" s="7657" t="s">
        <v>2718</v>
      </c>
      <c r="F937" s="7657" t="s">
        <v>2719</v>
      </c>
      <c r="G937" s="7657" t="s">
        <v>2720</v>
      </c>
      <c r="H937" s="7657" t="s">
        <v>17</v>
      </c>
      <c r="I937" s="7657" t="s">
        <v>2228</v>
      </c>
      <c r="J937" s="0" t="s">
        <v>17</v>
      </c>
      <c r="K937" s="0" t="s">
        <v>3365</v>
      </c>
      <c r="L937" s="0" t="s">
        <v>3363</v>
      </c>
      <c r="M937" s="0" t="s">
        <v>3364</v>
      </c>
      <c r="N937" s="0" t="s">
        <v>401</v>
      </c>
    </row>
    <row customHeight="1" ht="11.25">
      <c r="A938" s="7657" t="s">
        <v>2195</v>
      </c>
      <c r="B938" s="7657" t="s">
        <v>14</v>
      </c>
      <c r="C938" s="7657" t="s">
        <v>4123</v>
      </c>
      <c r="D938" s="7657" t="s">
        <v>4124</v>
      </c>
      <c r="E938" s="7657" t="s">
        <v>4125</v>
      </c>
      <c r="F938" s="7657" t="s">
        <v>4126</v>
      </c>
      <c r="G938" s="7657" t="s">
        <v>4127</v>
      </c>
      <c r="H938" s="7657" t="s">
        <v>17</v>
      </c>
      <c r="I938" s="7657" t="s">
        <v>2426</v>
      </c>
      <c r="J938" s="0" t="s">
        <v>17</v>
      </c>
      <c r="K938" s="0" t="s">
        <v>3362</v>
      </c>
      <c r="L938" s="0" t="s">
        <v>3363</v>
      </c>
      <c r="M938" s="0" t="s">
        <v>3364</v>
      </c>
      <c r="N938" s="0" t="s">
        <v>401</v>
      </c>
    </row>
    <row customHeight="1" ht="11.25">
      <c r="A939" s="7657" t="s">
        <v>2195</v>
      </c>
      <c r="B939" s="7657" t="s">
        <v>14</v>
      </c>
      <c r="C939" s="7657" t="s">
        <v>4123</v>
      </c>
      <c r="D939" s="7657" t="s">
        <v>4124</v>
      </c>
      <c r="E939" s="7657" t="s">
        <v>4125</v>
      </c>
      <c r="F939" s="7657" t="s">
        <v>4126</v>
      </c>
      <c r="G939" s="7657" t="s">
        <v>4127</v>
      </c>
      <c r="H939" s="7657" t="s">
        <v>17</v>
      </c>
      <c r="I939" s="7657" t="s">
        <v>2426</v>
      </c>
      <c r="J939" s="0" t="s">
        <v>17</v>
      </c>
      <c r="K939" s="0" t="s">
        <v>3365</v>
      </c>
      <c r="L939" s="0" t="s">
        <v>3363</v>
      </c>
      <c r="M939" s="0" t="s">
        <v>3364</v>
      </c>
      <c r="N939" s="0" t="s">
        <v>401</v>
      </c>
    </row>
    <row customHeight="1" ht="11.25">
      <c r="A940" s="7657" t="s">
        <v>2195</v>
      </c>
      <c r="B940" s="7657" t="s">
        <v>14</v>
      </c>
      <c r="C940" s="7657" t="s">
        <v>4128</v>
      </c>
      <c r="D940" s="7657" t="s">
        <v>4129</v>
      </c>
      <c r="E940" s="7657" t="s">
        <v>4130</v>
      </c>
      <c r="F940" s="7657" t="s">
        <v>4131</v>
      </c>
      <c r="G940" s="7657" t="s">
        <v>17</v>
      </c>
      <c r="H940" s="7657" t="s">
        <v>17</v>
      </c>
      <c r="I940" s="7657" t="s">
        <v>4132</v>
      </c>
      <c r="J940" s="0" t="s">
        <v>17</v>
      </c>
      <c r="K940" s="0" t="s">
        <v>3362</v>
      </c>
      <c r="L940" s="0" t="s">
        <v>3363</v>
      </c>
      <c r="M940" s="0" t="s">
        <v>3364</v>
      </c>
      <c r="N940" s="0" t="s">
        <v>401</v>
      </c>
    </row>
    <row customHeight="1" ht="11.25">
      <c r="A941" s="7657" t="s">
        <v>2195</v>
      </c>
      <c r="B941" s="7657" t="s">
        <v>14</v>
      </c>
      <c r="C941" s="7657" t="s">
        <v>4128</v>
      </c>
      <c r="D941" s="7657" t="s">
        <v>4129</v>
      </c>
      <c r="E941" s="7657" t="s">
        <v>4130</v>
      </c>
      <c r="F941" s="7657" t="s">
        <v>4131</v>
      </c>
      <c r="G941" s="7657" t="s">
        <v>17</v>
      </c>
      <c r="H941" s="7657" t="s">
        <v>17</v>
      </c>
      <c r="I941" s="7657" t="s">
        <v>4132</v>
      </c>
      <c r="J941" s="0" t="s">
        <v>17</v>
      </c>
      <c r="K941" s="0" t="s">
        <v>3365</v>
      </c>
      <c r="L941" s="0" t="s">
        <v>3363</v>
      </c>
      <c r="M941" s="0" t="s">
        <v>3364</v>
      </c>
      <c r="N941" s="0" t="s">
        <v>401</v>
      </c>
    </row>
    <row customHeight="1" ht="11.25">
      <c r="A942" s="7657" t="s">
        <v>2195</v>
      </c>
      <c r="B942" s="7657" t="s">
        <v>14</v>
      </c>
      <c r="C942" s="7657" t="s">
        <v>4128</v>
      </c>
      <c r="D942" s="7657" t="s">
        <v>4129</v>
      </c>
      <c r="E942" s="7657" t="s">
        <v>4130</v>
      </c>
      <c r="F942" s="7657" t="s">
        <v>4131</v>
      </c>
      <c r="G942" s="7657" t="s">
        <v>17</v>
      </c>
      <c r="H942" s="7657" t="s">
        <v>17</v>
      </c>
      <c r="I942" s="7657" t="s">
        <v>2390</v>
      </c>
      <c r="J942" s="0" t="s">
        <v>17</v>
      </c>
      <c r="K942" s="0" t="s">
        <v>3362</v>
      </c>
      <c r="L942" s="0" t="s">
        <v>3363</v>
      </c>
      <c r="M942" s="0" t="s">
        <v>3364</v>
      </c>
      <c r="N942" s="0" t="s">
        <v>401</v>
      </c>
    </row>
    <row customHeight="1" ht="11.25">
      <c r="A943" s="7657" t="s">
        <v>2195</v>
      </c>
      <c r="B943" s="7657" t="s">
        <v>14</v>
      </c>
      <c r="C943" s="7657" t="s">
        <v>4128</v>
      </c>
      <c r="D943" s="7657" t="s">
        <v>4129</v>
      </c>
      <c r="E943" s="7657" t="s">
        <v>4130</v>
      </c>
      <c r="F943" s="7657" t="s">
        <v>4131</v>
      </c>
      <c r="G943" s="7657" t="s">
        <v>17</v>
      </c>
      <c r="H943" s="7657" t="s">
        <v>17</v>
      </c>
      <c r="I943" s="7657" t="s">
        <v>2390</v>
      </c>
      <c r="J943" s="0" t="s">
        <v>17</v>
      </c>
      <c r="K943" s="0" t="s">
        <v>3365</v>
      </c>
      <c r="L943" s="0" t="s">
        <v>3363</v>
      </c>
      <c r="M943" s="0" t="s">
        <v>3364</v>
      </c>
      <c r="N943" s="0" t="s">
        <v>401</v>
      </c>
    </row>
    <row customHeight="1" ht="11.25">
      <c r="A944" s="7657" t="s">
        <v>2195</v>
      </c>
      <c r="B944" s="7657" t="s">
        <v>14</v>
      </c>
      <c r="C944" s="7657" t="s">
        <v>4133</v>
      </c>
      <c r="D944" s="7657" t="s">
        <v>4134</v>
      </c>
      <c r="E944" s="7657" t="s">
        <v>4135</v>
      </c>
      <c r="F944" s="7657" t="s">
        <v>2556</v>
      </c>
      <c r="G944" s="7657" t="s">
        <v>4136</v>
      </c>
      <c r="H944" s="7657" t="s">
        <v>17</v>
      </c>
      <c r="I944" s="7657" t="s">
        <v>3469</v>
      </c>
      <c r="J944" s="0" t="s">
        <v>17</v>
      </c>
      <c r="K944" s="0" t="s">
        <v>3362</v>
      </c>
      <c r="L944" s="0" t="s">
        <v>3363</v>
      </c>
      <c r="M944" s="0" t="s">
        <v>3364</v>
      </c>
      <c r="N944" s="0" t="s">
        <v>401</v>
      </c>
    </row>
    <row customHeight="1" ht="11.25">
      <c r="A945" s="7657" t="s">
        <v>2195</v>
      </c>
      <c r="B945" s="7657" t="s">
        <v>14</v>
      </c>
      <c r="C945" s="7657" t="s">
        <v>4133</v>
      </c>
      <c r="D945" s="7657" t="s">
        <v>4134</v>
      </c>
      <c r="E945" s="7657" t="s">
        <v>4135</v>
      </c>
      <c r="F945" s="7657" t="s">
        <v>2556</v>
      </c>
      <c r="G945" s="7657" t="s">
        <v>4136</v>
      </c>
      <c r="H945" s="7657" t="s">
        <v>17</v>
      </c>
      <c r="I945" s="7657" t="s">
        <v>3469</v>
      </c>
      <c r="J945" s="0" t="s">
        <v>17</v>
      </c>
      <c r="K945" s="0" t="s">
        <v>3365</v>
      </c>
      <c r="L945" s="0" t="s">
        <v>3363</v>
      </c>
      <c r="M945" s="0" t="s">
        <v>3364</v>
      </c>
      <c r="N945" s="0" t="s">
        <v>401</v>
      </c>
    </row>
    <row customHeight="1" ht="11.25">
      <c r="A946" s="7657" t="s">
        <v>2195</v>
      </c>
      <c r="B946" s="7657" t="s">
        <v>14</v>
      </c>
      <c r="C946" s="7657" t="s">
        <v>4137</v>
      </c>
      <c r="D946" s="7657" t="s">
        <v>4138</v>
      </c>
      <c r="E946" s="7657" t="s">
        <v>4139</v>
      </c>
      <c r="F946" s="7657" t="s">
        <v>3551</v>
      </c>
      <c r="G946" s="7657" t="s">
        <v>4140</v>
      </c>
      <c r="H946" s="7657" t="s">
        <v>17</v>
      </c>
      <c r="I946" s="7657" t="s">
        <v>4140</v>
      </c>
      <c r="J946" s="0" t="s">
        <v>17</v>
      </c>
      <c r="K946" s="0" t="s">
        <v>3362</v>
      </c>
      <c r="L946" s="0" t="s">
        <v>3401</v>
      </c>
      <c r="M946" s="0" t="s">
        <v>3402</v>
      </c>
      <c r="N946" s="0" t="s">
        <v>401</v>
      </c>
    </row>
    <row customHeight="1" ht="11.25">
      <c r="A947" s="7657" t="s">
        <v>2195</v>
      </c>
      <c r="B947" s="7657" t="s">
        <v>14</v>
      </c>
      <c r="C947" s="7657" t="s">
        <v>4137</v>
      </c>
      <c r="D947" s="7657" t="s">
        <v>4138</v>
      </c>
      <c r="E947" s="7657" t="s">
        <v>4139</v>
      </c>
      <c r="F947" s="7657" t="s">
        <v>3551</v>
      </c>
      <c r="G947" s="7657" t="s">
        <v>4140</v>
      </c>
      <c r="H947" s="7657" t="s">
        <v>17</v>
      </c>
      <c r="I947" s="7657" t="s">
        <v>4140</v>
      </c>
      <c r="J947" s="0" t="s">
        <v>17</v>
      </c>
      <c r="K947" s="0" t="s">
        <v>3365</v>
      </c>
      <c r="L947" s="0" t="s">
        <v>3401</v>
      </c>
      <c r="M947" s="0" t="s">
        <v>3402</v>
      </c>
      <c r="N947" s="0" t="s">
        <v>401</v>
      </c>
    </row>
    <row customHeight="1" ht="11.25">
      <c r="A948" s="7657" t="s">
        <v>2195</v>
      </c>
      <c r="B948" s="7657" t="s">
        <v>14</v>
      </c>
      <c r="C948" s="7657" t="s">
        <v>4141</v>
      </c>
      <c r="D948" s="7657" t="s">
        <v>4142</v>
      </c>
      <c r="E948" s="7657" t="s">
        <v>4143</v>
      </c>
      <c r="F948" s="7657" t="s">
        <v>2254</v>
      </c>
      <c r="G948" s="7657" t="s">
        <v>4144</v>
      </c>
      <c r="H948" s="7657" t="s">
        <v>17</v>
      </c>
      <c r="I948" s="7657" t="s">
        <v>2753</v>
      </c>
      <c r="J948" s="0" t="s">
        <v>4145</v>
      </c>
      <c r="K948" s="0" t="s">
        <v>3362</v>
      </c>
      <c r="L948" s="0" t="s">
        <v>3519</v>
      </c>
      <c r="M948" s="0" t="s">
        <v>3520</v>
      </c>
      <c r="N948" s="0" t="s">
        <v>401</v>
      </c>
    </row>
    <row customHeight="1" ht="11.25">
      <c r="A949" s="7657" t="s">
        <v>2195</v>
      </c>
      <c r="B949" s="7657" t="s">
        <v>14</v>
      </c>
      <c r="C949" s="7657" t="s">
        <v>4141</v>
      </c>
      <c r="D949" s="7657" t="s">
        <v>4142</v>
      </c>
      <c r="E949" s="7657" t="s">
        <v>4143</v>
      </c>
      <c r="F949" s="7657" t="s">
        <v>2254</v>
      </c>
      <c r="G949" s="7657" t="s">
        <v>4144</v>
      </c>
      <c r="H949" s="7657" t="s">
        <v>17</v>
      </c>
      <c r="I949" s="7657" t="s">
        <v>2753</v>
      </c>
      <c r="J949" s="0" t="s">
        <v>4145</v>
      </c>
      <c r="K949" s="0" t="s">
        <v>3365</v>
      </c>
      <c r="L949" s="0" t="s">
        <v>3519</v>
      </c>
      <c r="M949" s="0" t="s">
        <v>3520</v>
      </c>
      <c r="N949" s="0" t="s">
        <v>401</v>
      </c>
    </row>
    <row customHeight="1" ht="11.25">
      <c r="A950" s="7657" t="s">
        <v>2195</v>
      </c>
      <c r="B950" s="7657" t="s">
        <v>14</v>
      </c>
      <c r="C950" s="7657" t="s">
        <v>4141</v>
      </c>
      <c r="D950" s="7657" t="s">
        <v>4142</v>
      </c>
      <c r="E950" s="7657" t="s">
        <v>4143</v>
      </c>
      <c r="F950" s="7657" t="s">
        <v>2254</v>
      </c>
      <c r="G950" s="7657" t="s">
        <v>4144</v>
      </c>
      <c r="H950" s="7657" t="s">
        <v>17</v>
      </c>
      <c r="I950" s="7657" t="s">
        <v>4146</v>
      </c>
      <c r="J950" s="0" t="s">
        <v>4145</v>
      </c>
      <c r="K950" s="0" t="s">
        <v>3362</v>
      </c>
      <c r="L950" s="0" t="s">
        <v>3363</v>
      </c>
      <c r="M950" s="0" t="s">
        <v>3364</v>
      </c>
      <c r="N950" s="0" t="s">
        <v>401</v>
      </c>
    </row>
    <row customHeight="1" ht="11.25">
      <c r="A951" s="7657" t="s">
        <v>2195</v>
      </c>
      <c r="B951" s="7657" t="s">
        <v>14</v>
      </c>
      <c r="C951" s="7657" t="s">
        <v>4141</v>
      </c>
      <c r="D951" s="7657" t="s">
        <v>4142</v>
      </c>
      <c r="E951" s="7657" t="s">
        <v>4143</v>
      </c>
      <c r="F951" s="7657" t="s">
        <v>2254</v>
      </c>
      <c r="G951" s="7657" t="s">
        <v>4144</v>
      </c>
      <c r="H951" s="7657" t="s">
        <v>17</v>
      </c>
      <c r="I951" s="7657" t="s">
        <v>4146</v>
      </c>
      <c r="J951" s="0" t="s">
        <v>4145</v>
      </c>
      <c r="K951" s="0" t="s">
        <v>3365</v>
      </c>
      <c r="L951" s="0" t="s">
        <v>3363</v>
      </c>
      <c r="M951" s="0" t="s">
        <v>3364</v>
      </c>
      <c r="N951" s="0" t="s">
        <v>401</v>
      </c>
    </row>
    <row customHeight="1" ht="11.25">
      <c r="A952" s="7657" t="s">
        <v>2195</v>
      </c>
      <c r="B952" s="7657" t="s">
        <v>14</v>
      </c>
      <c r="C952" s="7657" t="s">
        <v>4141</v>
      </c>
      <c r="D952" s="7657" t="s">
        <v>4142</v>
      </c>
      <c r="E952" s="7657" t="s">
        <v>4143</v>
      </c>
      <c r="F952" s="7657" t="s">
        <v>2254</v>
      </c>
      <c r="G952" s="7657" t="s">
        <v>4144</v>
      </c>
      <c r="H952" s="7657" t="s">
        <v>17</v>
      </c>
      <c r="I952" s="7657" t="s">
        <v>4147</v>
      </c>
      <c r="J952" s="0" t="s">
        <v>17</v>
      </c>
      <c r="K952" s="0" t="s">
        <v>3362</v>
      </c>
      <c r="L952" s="0" t="s">
        <v>3363</v>
      </c>
      <c r="M952" s="0" t="s">
        <v>3364</v>
      </c>
      <c r="N952" s="0" t="s">
        <v>401</v>
      </c>
    </row>
    <row customHeight="1" ht="11.25">
      <c r="A953" s="7657" t="s">
        <v>2195</v>
      </c>
      <c r="B953" s="7657" t="s">
        <v>14</v>
      </c>
      <c r="C953" s="7657" t="s">
        <v>4141</v>
      </c>
      <c r="D953" s="7657" t="s">
        <v>4142</v>
      </c>
      <c r="E953" s="7657" t="s">
        <v>4143</v>
      </c>
      <c r="F953" s="7657" t="s">
        <v>2254</v>
      </c>
      <c r="G953" s="7657" t="s">
        <v>4144</v>
      </c>
      <c r="H953" s="7657" t="s">
        <v>17</v>
      </c>
      <c r="I953" s="7657" t="s">
        <v>4147</v>
      </c>
      <c r="J953" s="0" t="s">
        <v>17</v>
      </c>
      <c r="K953" s="0" t="s">
        <v>3365</v>
      </c>
      <c r="L953" s="0" t="s">
        <v>3363</v>
      </c>
      <c r="M953" s="0" t="s">
        <v>3364</v>
      </c>
      <c r="N953" s="0" t="s">
        <v>401</v>
      </c>
    </row>
    <row customHeight="1" ht="11.25">
      <c r="A954" s="7657" t="s">
        <v>2195</v>
      </c>
      <c r="B954" s="7657" t="s">
        <v>14</v>
      </c>
      <c r="C954" s="7657" t="s">
        <v>4141</v>
      </c>
      <c r="D954" s="7657" t="s">
        <v>4142</v>
      </c>
      <c r="E954" s="7657" t="s">
        <v>4143</v>
      </c>
      <c r="F954" s="7657" t="s">
        <v>2254</v>
      </c>
      <c r="G954" s="7657" t="s">
        <v>4144</v>
      </c>
      <c r="H954" s="7657" t="s">
        <v>17</v>
      </c>
      <c r="I954" s="7657" t="s">
        <v>4147</v>
      </c>
      <c r="J954" s="0" t="s">
        <v>17</v>
      </c>
      <c r="K954" s="0" t="s">
        <v>3362</v>
      </c>
      <c r="L954" s="0" t="s">
        <v>3519</v>
      </c>
      <c r="M954" s="0" t="s">
        <v>3520</v>
      </c>
      <c r="N954" s="0" t="s">
        <v>401</v>
      </c>
    </row>
    <row customHeight="1" ht="11.25">
      <c r="A955" s="7657" t="s">
        <v>2195</v>
      </c>
      <c r="B955" s="7657" t="s">
        <v>14</v>
      </c>
      <c r="C955" s="7657" t="s">
        <v>4141</v>
      </c>
      <c r="D955" s="7657" t="s">
        <v>4142</v>
      </c>
      <c r="E955" s="7657" t="s">
        <v>4143</v>
      </c>
      <c r="F955" s="7657" t="s">
        <v>2254</v>
      </c>
      <c r="G955" s="7657" t="s">
        <v>4144</v>
      </c>
      <c r="H955" s="7657" t="s">
        <v>17</v>
      </c>
      <c r="I955" s="7657" t="s">
        <v>4147</v>
      </c>
      <c r="J955" s="0" t="s">
        <v>17</v>
      </c>
      <c r="K955" s="0" t="s">
        <v>3365</v>
      </c>
      <c r="L955" s="0" t="s">
        <v>3519</v>
      </c>
      <c r="M955" s="0" t="s">
        <v>3520</v>
      </c>
      <c r="N955" s="0" t="s">
        <v>401</v>
      </c>
    </row>
    <row customHeight="1" ht="11.25">
      <c r="A956" s="7657" t="s">
        <v>2195</v>
      </c>
      <c r="B956" s="7657" t="s">
        <v>14</v>
      </c>
      <c r="C956" s="7657" t="s">
        <v>4148</v>
      </c>
      <c r="D956" s="7657" t="s">
        <v>4149</v>
      </c>
      <c r="E956" s="7657" t="s">
        <v>4150</v>
      </c>
      <c r="F956" s="7657" t="s">
        <v>3754</v>
      </c>
      <c r="G956" s="7657" t="s">
        <v>2534</v>
      </c>
      <c r="H956" s="7657" t="s">
        <v>17</v>
      </c>
      <c r="I956" s="7657" t="s">
        <v>2534</v>
      </c>
      <c r="J956" s="0" t="s">
        <v>17</v>
      </c>
      <c r="K956" s="0" t="s">
        <v>3362</v>
      </c>
      <c r="L956" s="0" t="s">
        <v>3401</v>
      </c>
      <c r="M956" s="0" t="s">
        <v>3402</v>
      </c>
      <c r="N956" s="0" t="s">
        <v>401</v>
      </c>
    </row>
    <row customHeight="1" ht="11.25">
      <c r="A957" s="7657" t="s">
        <v>2195</v>
      </c>
      <c r="B957" s="7657" t="s">
        <v>14</v>
      </c>
      <c r="C957" s="7657" t="s">
        <v>4148</v>
      </c>
      <c r="D957" s="7657" t="s">
        <v>4149</v>
      </c>
      <c r="E957" s="7657" t="s">
        <v>4150</v>
      </c>
      <c r="F957" s="7657" t="s">
        <v>3754</v>
      </c>
      <c r="G957" s="7657" t="s">
        <v>2534</v>
      </c>
      <c r="H957" s="7657" t="s">
        <v>17</v>
      </c>
      <c r="I957" s="7657" t="s">
        <v>2534</v>
      </c>
      <c r="J957" s="0" t="s">
        <v>17</v>
      </c>
      <c r="K957" s="0" t="s">
        <v>3365</v>
      </c>
      <c r="L957" s="0" t="s">
        <v>3401</v>
      </c>
      <c r="M957" s="0" t="s">
        <v>3402</v>
      </c>
      <c r="N957" s="0" t="s">
        <v>401</v>
      </c>
    </row>
    <row customHeight="1" ht="11.25">
      <c r="A958" s="7657" t="s">
        <v>2195</v>
      </c>
      <c r="B958" s="7657" t="s">
        <v>14</v>
      </c>
      <c r="C958" s="7657" t="s">
        <v>2742</v>
      </c>
      <c r="D958" s="7657" t="s">
        <v>2743</v>
      </c>
      <c r="E958" s="7657" t="s">
        <v>2744</v>
      </c>
      <c r="F958" s="7657" t="s">
        <v>2556</v>
      </c>
      <c r="G958" s="7657" t="s">
        <v>2745</v>
      </c>
      <c r="H958" s="7657" t="s">
        <v>17</v>
      </c>
      <c r="I958" s="7657" t="s">
        <v>2746</v>
      </c>
      <c r="J958" s="0" t="s">
        <v>17</v>
      </c>
      <c r="K958" s="0" t="s">
        <v>3362</v>
      </c>
      <c r="L958" s="0" t="s">
        <v>3363</v>
      </c>
      <c r="M958" s="0" t="s">
        <v>3364</v>
      </c>
      <c r="N958" s="0" t="s">
        <v>401</v>
      </c>
    </row>
    <row customHeight="1" ht="11.25">
      <c r="A959" s="7657" t="s">
        <v>2195</v>
      </c>
      <c r="B959" s="7657" t="s">
        <v>14</v>
      </c>
      <c r="C959" s="7657" t="s">
        <v>2742</v>
      </c>
      <c r="D959" s="7657" t="s">
        <v>2743</v>
      </c>
      <c r="E959" s="7657" t="s">
        <v>2744</v>
      </c>
      <c r="F959" s="7657" t="s">
        <v>2556</v>
      </c>
      <c r="G959" s="7657" t="s">
        <v>2745</v>
      </c>
      <c r="H959" s="7657" t="s">
        <v>17</v>
      </c>
      <c r="I959" s="7657" t="s">
        <v>2746</v>
      </c>
      <c r="J959" s="0" t="s">
        <v>17</v>
      </c>
      <c r="K959" s="0" t="s">
        <v>3365</v>
      </c>
      <c r="L959" s="0" t="s">
        <v>3363</v>
      </c>
      <c r="M959" s="0" t="s">
        <v>3364</v>
      </c>
      <c r="N959" s="0" t="s">
        <v>401</v>
      </c>
    </row>
    <row customHeight="1" ht="11.25">
      <c r="A960" s="7657" t="s">
        <v>2195</v>
      </c>
      <c r="B960" s="7657" t="s">
        <v>14</v>
      </c>
      <c r="C960" s="7657" t="s">
        <v>2742</v>
      </c>
      <c r="D960" s="7657" t="s">
        <v>2743</v>
      </c>
      <c r="E960" s="7657" t="s">
        <v>2744</v>
      </c>
      <c r="F960" s="7657" t="s">
        <v>2556</v>
      </c>
      <c r="G960" s="7657" t="s">
        <v>2745</v>
      </c>
      <c r="H960" s="7657" t="s">
        <v>17</v>
      </c>
      <c r="I960" s="7657" t="s">
        <v>4151</v>
      </c>
      <c r="J960" s="0" t="s">
        <v>17</v>
      </c>
      <c r="K960" s="0" t="s">
        <v>3362</v>
      </c>
      <c r="L960" s="0" t="s">
        <v>3363</v>
      </c>
      <c r="M960" s="0" t="s">
        <v>3364</v>
      </c>
      <c r="N960" s="0" t="s">
        <v>401</v>
      </c>
    </row>
    <row customHeight="1" ht="11.25">
      <c r="A961" s="7657" t="s">
        <v>2195</v>
      </c>
      <c r="B961" s="7657" t="s">
        <v>14</v>
      </c>
      <c r="C961" s="7657" t="s">
        <v>2742</v>
      </c>
      <c r="D961" s="7657" t="s">
        <v>2743</v>
      </c>
      <c r="E961" s="7657" t="s">
        <v>2744</v>
      </c>
      <c r="F961" s="7657" t="s">
        <v>2556</v>
      </c>
      <c r="G961" s="7657" t="s">
        <v>2745</v>
      </c>
      <c r="H961" s="7657" t="s">
        <v>17</v>
      </c>
      <c r="I961" s="7657" t="s">
        <v>4151</v>
      </c>
      <c r="J961" s="0" t="s">
        <v>17</v>
      </c>
      <c r="K961" s="0" t="s">
        <v>3365</v>
      </c>
      <c r="L961" s="0" t="s">
        <v>3363</v>
      </c>
      <c r="M961" s="0" t="s">
        <v>3364</v>
      </c>
      <c r="N961" s="0" t="s">
        <v>401</v>
      </c>
    </row>
    <row customHeight="1" ht="11.25">
      <c r="A962" s="7657" t="s">
        <v>2195</v>
      </c>
      <c r="B962" s="7657" t="s">
        <v>14</v>
      </c>
      <c r="C962" s="7657" t="s">
        <v>4152</v>
      </c>
      <c r="D962" s="7657" t="s">
        <v>4153</v>
      </c>
      <c r="E962" s="7657" t="s">
        <v>4154</v>
      </c>
      <c r="F962" s="7657" t="s">
        <v>2378</v>
      </c>
      <c r="G962" s="7657" t="s">
        <v>17</v>
      </c>
      <c r="H962" s="7657" t="s">
        <v>17</v>
      </c>
      <c r="I962" s="7657" t="s">
        <v>2208</v>
      </c>
      <c r="J962" s="0" t="s">
        <v>17</v>
      </c>
      <c r="K962" s="0" t="s">
        <v>3362</v>
      </c>
      <c r="L962" s="0" t="s">
        <v>3374</v>
      </c>
      <c r="M962" s="0" t="s">
        <v>3375</v>
      </c>
      <c r="N962" s="0" t="s">
        <v>401</v>
      </c>
    </row>
    <row customHeight="1" ht="11.25">
      <c r="A963" s="7657" t="s">
        <v>2195</v>
      </c>
      <c r="B963" s="7657" t="s">
        <v>14</v>
      </c>
      <c r="C963" s="7657" t="s">
        <v>4152</v>
      </c>
      <c r="D963" s="7657" t="s">
        <v>4153</v>
      </c>
      <c r="E963" s="7657" t="s">
        <v>4154</v>
      </c>
      <c r="F963" s="7657" t="s">
        <v>2378</v>
      </c>
      <c r="G963" s="7657" t="s">
        <v>17</v>
      </c>
      <c r="H963" s="7657" t="s">
        <v>17</v>
      </c>
      <c r="I963" s="7657" t="s">
        <v>2208</v>
      </c>
      <c r="J963" s="0" t="s">
        <v>17</v>
      </c>
      <c r="K963" s="0" t="s">
        <v>3362</v>
      </c>
      <c r="L963" s="0" t="s">
        <v>3401</v>
      </c>
      <c r="M963" s="0" t="s">
        <v>3402</v>
      </c>
      <c r="N963" s="0" t="s">
        <v>401</v>
      </c>
    </row>
    <row customHeight="1" ht="11.25">
      <c r="A964" s="7657" t="s">
        <v>2195</v>
      </c>
      <c r="B964" s="7657" t="s">
        <v>14</v>
      </c>
      <c r="C964" s="7657" t="s">
        <v>4152</v>
      </c>
      <c r="D964" s="7657" t="s">
        <v>4153</v>
      </c>
      <c r="E964" s="7657" t="s">
        <v>4154</v>
      </c>
      <c r="F964" s="7657" t="s">
        <v>2378</v>
      </c>
      <c r="G964" s="7657" t="s">
        <v>17</v>
      </c>
      <c r="H964" s="7657" t="s">
        <v>17</v>
      </c>
      <c r="I964" s="7657" t="s">
        <v>2208</v>
      </c>
      <c r="J964" s="0" t="s">
        <v>17</v>
      </c>
      <c r="K964" s="0" t="s">
        <v>3365</v>
      </c>
      <c r="L964" s="0" t="s">
        <v>3401</v>
      </c>
      <c r="M964" s="0" t="s">
        <v>3402</v>
      </c>
      <c r="N964" s="0" t="s">
        <v>401</v>
      </c>
    </row>
    <row customHeight="1" ht="11.25">
      <c r="A965" s="7657" t="s">
        <v>2195</v>
      </c>
      <c r="B965" s="7657" t="s">
        <v>14</v>
      </c>
      <c r="C965" s="7657" t="s">
        <v>4155</v>
      </c>
      <c r="D965" s="7657" t="s">
        <v>4156</v>
      </c>
      <c r="E965" s="7657" t="s">
        <v>4157</v>
      </c>
      <c r="F965" s="7657" t="s">
        <v>2239</v>
      </c>
      <c r="G965" s="7657" t="s">
        <v>2753</v>
      </c>
      <c r="H965" s="7657" t="s">
        <v>17</v>
      </c>
      <c r="I965" s="7657" t="s">
        <v>2753</v>
      </c>
      <c r="J965" s="0" t="s">
        <v>17</v>
      </c>
      <c r="K965" s="0" t="s">
        <v>3362</v>
      </c>
      <c r="L965" s="0" t="s">
        <v>3401</v>
      </c>
      <c r="M965" s="0" t="s">
        <v>3402</v>
      </c>
      <c r="N965" s="0" t="s">
        <v>401</v>
      </c>
    </row>
    <row customHeight="1" ht="11.25">
      <c r="A966" s="7657" t="s">
        <v>2195</v>
      </c>
      <c r="B966" s="7657" t="s">
        <v>14</v>
      </c>
      <c r="C966" s="7657" t="s">
        <v>4155</v>
      </c>
      <c r="D966" s="7657" t="s">
        <v>4156</v>
      </c>
      <c r="E966" s="7657" t="s">
        <v>4157</v>
      </c>
      <c r="F966" s="7657" t="s">
        <v>2239</v>
      </c>
      <c r="G966" s="7657" t="s">
        <v>2753</v>
      </c>
      <c r="H966" s="7657" t="s">
        <v>17</v>
      </c>
      <c r="I966" s="7657" t="s">
        <v>2753</v>
      </c>
      <c r="J966" s="0" t="s">
        <v>17</v>
      </c>
      <c r="K966" s="0" t="s">
        <v>3365</v>
      </c>
      <c r="L966" s="0" t="s">
        <v>3401</v>
      </c>
      <c r="M966" s="0" t="s">
        <v>3402</v>
      </c>
      <c r="N966" s="0" t="s">
        <v>401</v>
      </c>
    </row>
    <row customHeight="1" ht="11.25">
      <c r="A967" s="7657" t="s">
        <v>2195</v>
      </c>
      <c r="B967" s="7657" t="s">
        <v>14</v>
      </c>
      <c r="C967" s="7657" t="s">
        <v>4158</v>
      </c>
      <c r="D967" s="7657" t="s">
        <v>4159</v>
      </c>
      <c r="E967" s="7657" t="s">
        <v>4160</v>
      </c>
      <c r="F967" s="7657" t="s">
        <v>2239</v>
      </c>
      <c r="G967" s="7657" t="s">
        <v>2753</v>
      </c>
      <c r="H967" s="7657" t="s">
        <v>17</v>
      </c>
      <c r="I967" s="7657" t="s">
        <v>2753</v>
      </c>
      <c r="J967" s="0" t="s">
        <v>17</v>
      </c>
      <c r="K967" s="0" t="s">
        <v>3362</v>
      </c>
      <c r="L967" s="0" t="s">
        <v>3401</v>
      </c>
      <c r="M967" s="0" t="s">
        <v>3402</v>
      </c>
      <c r="N967" s="0" t="s">
        <v>401</v>
      </c>
    </row>
    <row customHeight="1" ht="11.25">
      <c r="A968" s="7657" t="s">
        <v>2195</v>
      </c>
      <c r="B968" s="7657" t="s">
        <v>14</v>
      </c>
      <c r="C968" s="7657" t="s">
        <v>4158</v>
      </c>
      <c r="D968" s="7657" t="s">
        <v>4159</v>
      </c>
      <c r="E968" s="7657" t="s">
        <v>4160</v>
      </c>
      <c r="F968" s="7657" t="s">
        <v>2239</v>
      </c>
      <c r="G968" s="7657" t="s">
        <v>2753</v>
      </c>
      <c r="H968" s="7657" t="s">
        <v>17</v>
      </c>
      <c r="I968" s="7657" t="s">
        <v>2753</v>
      </c>
      <c r="J968" s="0" t="s">
        <v>17</v>
      </c>
      <c r="K968" s="0" t="s">
        <v>3365</v>
      </c>
      <c r="L968" s="0" t="s">
        <v>3401</v>
      </c>
      <c r="M968" s="0" t="s">
        <v>3402</v>
      </c>
      <c r="N968" s="0" t="s">
        <v>401</v>
      </c>
    </row>
    <row customHeight="1" ht="11.25">
      <c r="A969" s="7657" t="s">
        <v>2195</v>
      </c>
      <c r="B969" s="7657" t="s">
        <v>14</v>
      </c>
      <c r="C969" s="7657" t="s">
        <v>4161</v>
      </c>
      <c r="D969" s="7657" t="s">
        <v>4162</v>
      </c>
      <c r="E969" s="7657" t="s">
        <v>4163</v>
      </c>
      <c r="F969" s="7657" t="s">
        <v>2239</v>
      </c>
      <c r="G969" s="7657" t="s">
        <v>4164</v>
      </c>
      <c r="H969" s="7657" t="s">
        <v>17</v>
      </c>
      <c r="I969" s="7657" t="s">
        <v>2340</v>
      </c>
      <c r="J969" s="0" t="s">
        <v>17</v>
      </c>
      <c r="K969" s="0" t="s">
        <v>3362</v>
      </c>
      <c r="L969" s="0" t="s">
        <v>3401</v>
      </c>
      <c r="M969" s="0" t="s">
        <v>3402</v>
      </c>
      <c r="N969" s="0" t="s">
        <v>401</v>
      </c>
    </row>
    <row customHeight="1" ht="11.25">
      <c r="A970" s="7657" t="s">
        <v>2195</v>
      </c>
      <c r="B970" s="7657" t="s">
        <v>14</v>
      </c>
      <c r="C970" s="7657" t="s">
        <v>4161</v>
      </c>
      <c r="D970" s="7657" t="s">
        <v>4162</v>
      </c>
      <c r="E970" s="7657" t="s">
        <v>4163</v>
      </c>
      <c r="F970" s="7657" t="s">
        <v>2239</v>
      </c>
      <c r="G970" s="7657" t="s">
        <v>4164</v>
      </c>
      <c r="H970" s="7657" t="s">
        <v>17</v>
      </c>
      <c r="I970" s="7657" t="s">
        <v>2340</v>
      </c>
      <c r="J970" s="0" t="s">
        <v>17</v>
      </c>
      <c r="K970" s="0" t="s">
        <v>3365</v>
      </c>
      <c r="L970" s="0" t="s">
        <v>3401</v>
      </c>
      <c r="M970" s="0" t="s">
        <v>3402</v>
      </c>
      <c r="N970" s="0" t="s">
        <v>401</v>
      </c>
    </row>
    <row customHeight="1" ht="11.25">
      <c r="A971" s="7657" t="s">
        <v>2195</v>
      </c>
      <c r="B971" s="7657" t="s">
        <v>14</v>
      </c>
      <c r="C971" s="7657" t="s">
        <v>4165</v>
      </c>
      <c r="D971" s="7657" t="s">
        <v>4166</v>
      </c>
      <c r="E971" s="7657" t="s">
        <v>4167</v>
      </c>
      <c r="F971" s="7657" t="s">
        <v>2239</v>
      </c>
      <c r="G971" s="7657" t="s">
        <v>4168</v>
      </c>
      <c r="H971" s="7657" t="s">
        <v>17</v>
      </c>
      <c r="I971" s="7657" t="s">
        <v>2340</v>
      </c>
      <c r="J971" s="0" t="s">
        <v>17</v>
      </c>
      <c r="K971" s="0" t="s">
        <v>3362</v>
      </c>
      <c r="L971" s="0" t="s">
        <v>3401</v>
      </c>
      <c r="M971" s="0" t="s">
        <v>3402</v>
      </c>
      <c r="N971" s="0" t="s">
        <v>401</v>
      </c>
    </row>
    <row customHeight="1" ht="11.25">
      <c r="A972" s="7657" t="s">
        <v>2195</v>
      </c>
      <c r="B972" s="7657" t="s">
        <v>14</v>
      </c>
      <c r="C972" s="7657" t="s">
        <v>4165</v>
      </c>
      <c r="D972" s="7657" t="s">
        <v>4166</v>
      </c>
      <c r="E972" s="7657" t="s">
        <v>4167</v>
      </c>
      <c r="F972" s="7657" t="s">
        <v>2239</v>
      </c>
      <c r="G972" s="7657" t="s">
        <v>4168</v>
      </c>
      <c r="H972" s="7657" t="s">
        <v>17</v>
      </c>
      <c r="I972" s="7657" t="s">
        <v>2340</v>
      </c>
      <c r="J972" s="0" t="s">
        <v>17</v>
      </c>
      <c r="K972" s="0" t="s">
        <v>3365</v>
      </c>
      <c r="L972" s="0" t="s">
        <v>3401</v>
      </c>
      <c r="M972" s="0" t="s">
        <v>3402</v>
      </c>
      <c r="N972" s="0" t="s">
        <v>401</v>
      </c>
    </row>
    <row customHeight="1" ht="11.25">
      <c r="A973" s="7657" t="s">
        <v>2195</v>
      </c>
      <c r="B973" s="7657" t="s">
        <v>14</v>
      </c>
      <c r="C973" s="7657" t="s">
        <v>4169</v>
      </c>
      <c r="D973" s="7657" t="s">
        <v>4170</v>
      </c>
      <c r="E973" s="7657" t="s">
        <v>4171</v>
      </c>
      <c r="F973" s="7657" t="s">
        <v>4172</v>
      </c>
      <c r="G973" s="7657" t="s">
        <v>17</v>
      </c>
      <c r="H973" s="7657" t="s">
        <v>17</v>
      </c>
      <c r="I973" s="7657" t="s">
        <v>3312</v>
      </c>
      <c r="J973" s="0" t="s">
        <v>17</v>
      </c>
      <c r="K973" s="0" t="s">
        <v>3362</v>
      </c>
      <c r="L973" s="0" t="s">
        <v>3401</v>
      </c>
      <c r="M973" s="0" t="s">
        <v>3402</v>
      </c>
      <c r="N973" s="0" t="s">
        <v>401</v>
      </c>
    </row>
    <row customHeight="1" ht="11.25">
      <c r="A974" s="7657" t="s">
        <v>2195</v>
      </c>
      <c r="B974" s="7657" t="s">
        <v>14</v>
      </c>
      <c r="C974" s="7657" t="s">
        <v>4169</v>
      </c>
      <c r="D974" s="7657" t="s">
        <v>4170</v>
      </c>
      <c r="E974" s="7657" t="s">
        <v>4171</v>
      </c>
      <c r="F974" s="7657" t="s">
        <v>4172</v>
      </c>
      <c r="G974" s="7657" t="s">
        <v>17</v>
      </c>
      <c r="H974" s="7657" t="s">
        <v>17</v>
      </c>
      <c r="I974" s="7657" t="s">
        <v>3312</v>
      </c>
      <c r="J974" s="0" t="s">
        <v>17</v>
      </c>
      <c r="K974" s="0" t="s">
        <v>3365</v>
      </c>
      <c r="L974" s="0" t="s">
        <v>3401</v>
      </c>
      <c r="M974" s="0" t="s">
        <v>3402</v>
      </c>
      <c r="N974" s="0" t="s">
        <v>401</v>
      </c>
    </row>
    <row customHeight="1" ht="11.25">
      <c r="A975" s="7657" t="s">
        <v>2195</v>
      </c>
      <c r="B975" s="7657" t="s">
        <v>14</v>
      </c>
      <c r="C975" s="7657" t="s">
        <v>4173</v>
      </c>
      <c r="D975" s="7657" t="s">
        <v>4174</v>
      </c>
      <c r="E975" s="7657" t="s">
        <v>4175</v>
      </c>
      <c r="F975" s="7657" t="s">
        <v>3704</v>
      </c>
      <c r="G975" s="7657" t="s">
        <v>4176</v>
      </c>
      <c r="H975" s="7657" t="s">
        <v>17</v>
      </c>
      <c r="I975" s="7657" t="s">
        <v>4177</v>
      </c>
      <c r="J975" s="0" t="s">
        <v>17</v>
      </c>
      <c r="K975" s="0" t="s">
        <v>3362</v>
      </c>
      <c r="L975" s="0" t="s">
        <v>3374</v>
      </c>
      <c r="M975" s="0" t="s">
        <v>3375</v>
      </c>
      <c r="N975" s="0" t="s">
        <v>401</v>
      </c>
    </row>
    <row customHeight="1" ht="11.25">
      <c r="A976" s="7657" t="s">
        <v>2195</v>
      </c>
      <c r="B976" s="7657" t="s">
        <v>14</v>
      </c>
      <c r="C976" s="7657" t="s">
        <v>4178</v>
      </c>
      <c r="D976" s="7657" t="s">
        <v>4179</v>
      </c>
      <c r="E976" s="7657" t="s">
        <v>4180</v>
      </c>
      <c r="F976" s="7657" t="s">
        <v>3016</v>
      </c>
      <c r="G976" s="7657" t="s">
        <v>17</v>
      </c>
      <c r="H976" s="7657" t="s">
        <v>17</v>
      </c>
      <c r="I976" s="7657" t="s">
        <v>2208</v>
      </c>
      <c r="J976" s="0" t="s">
        <v>17</v>
      </c>
      <c r="K976" s="0" t="s">
        <v>3362</v>
      </c>
      <c r="L976" s="0" t="s">
        <v>3374</v>
      </c>
      <c r="M976" s="0" t="s">
        <v>3375</v>
      </c>
      <c r="N976" s="0" t="s">
        <v>401</v>
      </c>
    </row>
    <row customHeight="1" ht="11.25">
      <c r="A977" s="7657" t="s">
        <v>2195</v>
      </c>
      <c r="B977" s="7657" t="s">
        <v>14</v>
      </c>
      <c r="C977" s="7657" t="s">
        <v>4178</v>
      </c>
      <c r="D977" s="7657" t="s">
        <v>4179</v>
      </c>
      <c r="E977" s="7657" t="s">
        <v>4180</v>
      </c>
      <c r="F977" s="7657" t="s">
        <v>3016</v>
      </c>
      <c r="G977" s="7657" t="s">
        <v>17</v>
      </c>
      <c r="H977" s="7657" t="s">
        <v>17</v>
      </c>
      <c r="I977" s="7657" t="s">
        <v>2426</v>
      </c>
      <c r="J977" s="0" t="s">
        <v>17</v>
      </c>
      <c r="K977" s="0" t="s">
        <v>3362</v>
      </c>
      <c r="L977" s="0" t="s">
        <v>3434</v>
      </c>
      <c r="M977" s="0" t="s">
        <v>3475</v>
      </c>
      <c r="N977" s="0" t="s">
        <v>401</v>
      </c>
    </row>
    <row customHeight="1" ht="11.25">
      <c r="A978" s="7657" t="s">
        <v>2195</v>
      </c>
      <c r="B978" s="7657" t="s">
        <v>14</v>
      </c>
      <c r="C978" s="7657" t="s">
        <v>4178</v>
      </c>
      <c r="D978" s="7657" t="s">
        <v>4179</v>
      </c>
      <c r="E978" s="7657" t="s">
        <v>4180</v>
      </c>
      <c r="F978" s="7657" t="s">
        <v>3016</v>
      </c>
      <c r="G978" s="7657" t="s">
        <v>17</v>
      </c>
      <c r="H978" s="7657" t="s">
        <v>17</v>
      </c>
      <c r="I978" s="7657" t="s">
        <v>2426</v>
      </c>
      <c r="J978" s="0" t="s">
        <v>17</v>
      </c>
      <c r="K978" s="0" t="s">
        <v>3365</v>
      </c>
      <c r="L978" s="0" t="s">
        <v>3434</v>
      </c>
      <c r="M978" s="0" t="s">
        <v>3475</v>
      </c>
      <c r="N978" s="0" t="s">
        <v>401</v>
      </c>
    </row>
    <row customHeight="1" ht="11.25">
      <c r="A979" s="7657" t="s">
        <v>2195</v>
      </c>
      <c r="B979" s="7657" t="s">
        <v>14</v>
      </c>
      <c r="C979" s="7657" t="s">
        <v>4178</v>
      </c>
      <c r="D979" s="7657" t="s">
        <v>4179</v>
      </c>
      <c r="E979" s="7657" t="s">
        <v>4180</v>
      </c>
      <c r="F979" s="7657" t="s">
        <v>3016</v>
      </c>
      <c r="G979" s="7657" t="s">
        <v>17</v>
      </c>
      <c r="H979" s="7657" t="s">
        <v>17</v>
      </c>
      <c r="I979" s="7657" t="s">
        <v>2426</v>
      </c>
      <c r="J979" s="0" t="s">
        <v>17</v>
      </c>
      <c r="K979" s="0" t="s">
        <v>3362</v>
      </c>
      <c r="L979" s="0" t="s">
        <v>3363</v>
      </c>
      <c r="M979" s="0" t="s">
        <v>3364</v>
      </c>
      <c r="N979" s="0" t="s">
        <v>401</v>
      </c>
    </row>
    <row customHeight="1" ht="11.25">
      <c r="A980" s="7657" t="s">
        <v>2195</v>
      </c>
      <c r="B980" s="7657" t="s">
        <v>14</v>
      </c>
      <c r="C980" s="7657" t="s">
        <v>4178</v>
      </c>
      <c r="D980" s="7657" t="s">
        <v>4179</v>
      </c>
      <c r="E980" s="7657" t="s">
        <v>4180</v>
      </c>
      <c r="F980" s="7657" t="s">
        <v>3016</v>
      </c>
      <c r="G980" s="7657" t="s">
        <v>17</v>
      </c>
      <c r="H980" s="7657" t="s">
        <v>17</v>
      </c>
      <c r="I980" s="7657" t="s">
        <v>2426</v>
      </c>
      <c r="J980" s="0" t="s">
        <v>17</v>
      </c>
      <c r="K980" s="0" t="s">
        <v>3365</v>
      </c>
      <c r="L980" s="0" t="s">
        <v>3363</v>
      </c>
      <c r="M980" s="0" t="s">
        <v>3364</v>
      </c>
      <c r="N980" s="0" t="s">
        <v>401</v>
      </c>
    </row>
    <row customHeight="1" ht="11.25">
      <c r="A981" s="7657" t="s">
        <v>2195</v>
      </c>
      <c r="B981" s="7657" t="s">
        <v>14</v>
      </c>
      <c r="C981" s="7657" t="s">
        <v>4181</v>
      </c>
      <c r="D981" s="7657" t="s">
        <v>4182</v>
      </c>
      <c r="E981" s="7657" t="s">
        <v>4183</v>
      </c>
      <c r="F981" s="7657" t="s">
        <v>4131</v>
      </c>
      <c r="G981" s="7657" t="s">
        <v>4184</v>
      </c>
      <c r="H981" s="7657" t="s">
        <v>17</v>
      </c>
      <c r="I981" s="7657" t="s">
        <v>4184</v>
      </c>
      <c r="J981" s="0" t="s">
        <v>17</v>
      </c>
      <c r="K981" s="0" t="s">
        <v>3362</v>
      </c>
      <c r="L981" s="0" t="s">
        <v>3374</v>
      </c>
      <c r="M981" s="0" t="s">
        <v>3375</v>
      </c>
      <c r="N981" s="0" t="s">
        <v>401</v>
      </c>
    </row>
    <row customHeight="1" ht="11.25">
      <c r="A982" s="7657" t="s">
        <v>2195</v>
      </c>
      <c r="B982" s="7657" t="s">
        <v>14</v>
      </c>
      <c r="C982" s="7657" t="s">
        <v>4185</v>
      </c>
      <c r="D982" s="7657" t="s">
        <v>4186</v>
      </c>
      <c r="E982" s="7657" t="s">
        <v>4187</v>
      </c>
      <c r="F982" s="7657" t="s">
        <v>4131</v>
      </c>
      <c r="G982" s="7657" t="s">
        <v>17</v>
      </c>
      <c r="H982" s="7657" t="s">
        <v>17</v>
      </c>
      <c r="I982" s="7657" t="s">
        <v>2208</v>
      </c>
      <c r="J982" s="0" t="s">
        <v>17</v>
      </c>
      <c r="K982" s="0" t="s">
        <v>3362</v>
      </c>
      <c r="L982" s="0" t="s">
        <v>3374</v>
      </c>
      <c r="M982" s="0" t="s">
        <v>3375</v>
      </c>
      <c r="N982" s="0" t="s">
        <v>401</v>
      </c>
    </row>
    <row customHeight="1" ht="11.25">
      <c r="A983" s="7657" t="s">
        <v>2195</v>
      </c>
      <c r="B983" s="7657" t="s">
        <v>14</v>
      </c>
      <c r="C983" s="7657" t="s">
        <v>4185</v>
      </c>
      <c r="D983" s="7657" t="s">
        <v>4186</v>
      </c>
      <c r="E983" s="7657" t="s">
        <v>4187</v>
      </c>
      <c r="F983" s="7657" t="s">
        <v>4131</v>
      </c>
      <c r="G983" s="7657" t="s">
        <v>17</v>
      </c>
      <c r="H983" s="7657" t="s">
        <v>17</v>
      </c>
      <c r="I983" s="7657" t="s">
        <v>2208</v>
      </c>
      <c r="J983" s="0" t="s">
        <v>17</v>
      </c>
      <c r="K983" s="0" t="s">
        <v>3362</v>
      </c>
      <c r="L983" s="0" t="s">
        <v>3363</v>
      </c>
      <c r="M983" s="0" t="s">
        <v>3364</v>
      </c>
      <c r="N983" s="0" t="s">
        <v>401</v>
      </c>
    </row>
    <row customHeight="1" ht="11.25">
      <c r="A984" s="7657" t="s">
        <v>2195</v>
      </c>
      <c r="B984" s="7657" t="s">
        <v>14</v>
      </c>
      <c r="C984" s="7657" t="s">
        <v>4185</v>
      </c>
      <c r="D984" s="7657" t="s">
        <v>4186</v>
      </c>
      <c r="E984" s="7657" t="s">
        <v>4187</v>
      </c>
      <c r="F984" s="7657" t="s">
        <v>4131</v>
      </c>
      <c r="G984" s="7657" t="s">
        <v>17</v>
      </c>
      <c r="H984" s="7657" t="s">
        <v>17</v>
      </c>
      <c r="I984" s="7657" t="s">
        <v>2208</v>
      </c>
      <c r="J984" s="0" t="s">
        <v>17</v>
      </c>
      <c r="K984" s="0" t="s">
        <v>3365</v>
      </c>
      <c r="L984" s="0" t="s">
        <v>3363</v>
      </c>
      <c r="M984" s="0" t="s">
        <v>3364</v>
      </c>
      <c r="N984" s="0" t="s">
        <v>401</v>
      </c>
    </row>
    <row customHeight="1" ht="11.25">
      <c r="A985" s="7657" t="s">
        <v>2195</v>
      </c>
      <c r="B985" s="7657" t="s">
        <v>14</v>
      </c>
      <c r="C985" s="7657" t="s">
        <v>4185</v>
      </c>
      <c r="D985" s="7657" t="s">
        <v>4186</v>
      </c>
      <c r="E985" s="7657" t="s">
        <v>4187</v>
      </c>
      <c r="F985" s="7657" t="s">
        <v>4131</v>
      </c>
      <c r="G985" s="7657" t="s">
        <v>17</v>
      </c>
      <c r="H985" s="7657" t="s">
        <v>17</v>
      </c>
      <c r="I985" s="7657" t="s">
        <v>2240</v>
      </c>
      <c r="J985" s="0" t="s">
        <v>17</v>
      </c>
      <c r="K985" s="0" t="s">
        <v>3362</v>
      </c>
      <c r="L985" s="0" t="s">
        <v>3394</v>
      </c>
      <c r="M985" s="0" t="s">
        <v>3471</v>
      </c>
      <c r="N985" s="0" t="s">
        <v>401</v>
      </c>
    </row>
    <row customHeight="1" ht="11.25">
      <c r="A986" s="7657" t="s">
        <v>2195</v>
      </c>
      <c r="B986" s="7657" t="s">
        <v>14</v>
      </c>
      <c r="C986" s="7657" t="s">
        <v>4188</v>
      </c>
      <c r="D986" s="7657" t="s">
        <v>4189</v>
      </c>
      <c r="E986" s="7657" t="s">
        <v>4190</v>
      </c>
      <c r="F986" s="7657" t="s">
        <v>4126</v>
      </c>
      <c r="G986" s="7657" t="s">
        <v>4191</v>
      </c>
      <c r="H986" s="7657" t="s">
        <v>17</v>
      </c>
      <c r="I986" s="7657" t="s">
        <v>2426</v>
      </c>
      <c r="J986" s="0" t="s">
        <v>17</v>
      </c>
      <c r="K986" s="0" t="s">
        <v>3362</v>
      </c>
      <c r="L986" s="0" t="s">
        <v>3363</v>
      </c>
      <c r="M986" s="0" t="s">
        <v>3364</v>
      </c>
      <c r="N986" s="0" t="s">
        <v>401</v>
      </c>
    </row>
    <row customHeight="1" ht="11.25">
      <c r="A987" s="7657" t="s">
        <v>2195</v>
      </c>
      <c r="B987" s="7657" t="s">
        <v>14</v>
      </c>
      <c r="C987" s="7657" t="s">
        <v>4188</v>
      </c>
      <c r="D987" s="7657" t="s">
        <v>4189</v>
      </c>
      <c r="E987" s="7657" t="s">
        <v>4190</v>
      </c>
      <c r="F987" s="7657" t="s">
        <v>4126</v>
      </c>
      <c r="G987" s="7657" t="s">
        <v>4191</v>
      </c>
      <c r="H987" s="7657" t="s">
        <v>17</v>
      </c>
      <c r="I987" s="7657" t="s">
        <v>2426</v>
      </c>
      <c r="J987" s="0" t="s">
        <v>17</v>
      </c>
      <c r="K987" s="0" t="s">
        <v>3365</v>
      </c>
      <c r="L987" s="0" t="s">
        <v>3363</v>
      </c>
      <c r="M987" s="0" t="s">
        <v>3364</v>
      </c>
      <c r="N987" s="0" t="s">
        <v>401</v>
      </c>
    </row>
    <row customHeight="1" ht="11.25">
      <c r="A988" s="7657" t="s">
        <v>2195</v>
      </c>
      <c r="B988" s="7657" t="s">
        <v>14</v>
      </c>
      <c r="C988" s="7657" t="s">
        <v>4192</v>
      </c>
      <c r="D988" s="7657" t="s">
        <v>4193</v>
      </c>
      <c r="E988" s="7657" t="s">
        <v>4194</v>
      </c>
      <c r="F988" s="7657" t="s">
        <v>2575</v>
      </c>
      <c r="G988" s="7657" t="s">
        <v>4195</v>
      </c>
      <c r="H988" s="7657" t="s">
        <v>17</v>
      </c>
      <c r="I988" s="7657" t="s">
        <v>4195</v>
      </c>
      <c r="J988" s="0" t="s">
        <v>17</v>
      </c>
      <c r="K988" s="0" t="s">
        <v>3362</v>
      </c>
      <c r="L988" s="0" t="s">
        <v>3363</v>
      </c>
      <c r="M988" s="0" t="s">
        <v>3364</v>
      </c>
      <c r="N988" s="0" t="s">
        <v>401</v>
      </c>
    </row>
    <row customHeight="1" ht="11.25">
      <c r="A989" s="7657" t="s">
        <v>2195</v>
      </c>
      <c r="B989" s="7657" t="s">
        <v>14</v>
      </c>
      <c r="C989" s="7657" t="s">
        <v>4192</v>
      </c>
      <c r="D989" s="7657" t="s">
        <v>4193</v>
      </c>
      <c r="E989" s="7657" t="s">
        <v>4194</v>
      </c>
      <c r="F989" s="7657" t="s">
        <v>2575</v>
      </c>
      <c r="G989" s="7657" t="s">
        <v>4195</v>
      </c>
      <c r="H989" s="7657" t="s">
        <v>17</v>
      </c>
      <c r="I989" s="7657" t="s">
        <v>4195</v>
      </c>
      <c r="J989" s="0" t="s">
        <v>17</v>
      </c>
      <c r="K989" s="0" t="s">
        <v>3365</v>
      </c>
      <c r="L989" s="0" t="s">
        <v>3363</v>
      </c>
      <c r="M989" s="0" t="s">
        <v>3364</v>
      </c>
      <c r="N989" s="0" t="s">
        <v>401</v>
      </c>
    </row>
    <row customHeight="1" ht="11.25">
      <c r="A990" s="7657" t="s">
        <v>2195</v>
      </c>
      <c r="B990" s="7657" t="s">
        <v>14</v>
      </c>
      <c r="C990" s="7657" t="s">
        <v>4196</v>
      </c>
      <c r="D990" s="7657" t="s">
        <v>4197</v>
      </c>
      <c r="E990" s="7657" t="s">
        <v>4198</v>
      </c>
      <c r="F990" s="7657" t="s">
        <v>3166</v>
      </c>
      <c r="G990" s="7657" t="s">
        <v>17</v>
      </c>
      <c r="H990" s="7657" t="s">
        <v>17</v>
      </c>
      <c r="I990" s="7657" t="s">
        <v>4074</v>
      </c>
      <c r="J990" s="0" t="s">
        <v>17</v>
      </c>
      <c r="K990" s="0" t="s">
        <v>3362</v>
      </c>
      <c r="L990" s="0" t="s">
        <v>3423</v>
      </c>
      <c r="M990" s="0" t="s">
        <v>4199</v>
      </c>
      <c r="N990" s="0" t="s">
        <v>401</v>
      </c>
    </row>
    <row customHeight="1" ht="11.25">
      <c r="A991" s="7657" t="s">
        <v>2195</v>
      </c>
      <c r="B991" s="7657" t="s">
        <v>14</v>
      </c>
      <c r="C991" s="7657" t="s">
        <v>4200</v>
      </c>
      <c r="D991" s="7657" t="s">
        <v>4201</v>
      </c>
      <c r="E991" s="7657" t="s">
        <v>4202</v>
      </c>
      <c r="F991" s="7657" t="s">
        <v>2513</v>
      </c>
      <c r="G991" s="7657" t="s">
        <v>17</v>
      </c>
      <c r="H991" s="7657" t="s">
        <v>4203</v>
      </c>
      <c r="I991" s="7657" t="s">
        <v>2534</v>
      </c>
      <c r="J991" s="0" t="s">
        <v>4203</v>
      </c>
      <c r="K991" s="0" t="s">
        <v>3362</v>
      </c>
      <c r="L991" s="0" t="s">
        <v>3363</v>
      </c>
      <c r="M991" s="0" t="s">
        <v>3364</v>
      </c>
      <c r="N991" s="0" t="s">
        <v>401</v>
      </c>
    </row>
    <row customHeight="1" ht="11.25">
      <c r="A992" s="7657" t="s">
        <v>2195</v>
      </c>
      <c r="B992" s="7657" t="s">
        <v>14</v>
      </c>
      <c r="C992" s="7657" t="s">
        <v>4200</v>
      </c>
      <c r="D992" s="7657" t="s">
        <v>4201</v>
      </c>
      <c r="E992" s="7657" t="s">
        <v>4202</v>
      </c>
      <c r="F992" s="7657" t="s">
        <v>2513</v>
      </c>
      <c r="G992" s="7657" t="s">
        <v>17</v>
      </c>
      <c r="H992" s="7657" t="s">
        <v>4203</v>
      </c>
      <c r="I992" s="7657" t="s">
        <v>2534</v>
      </c>
      <c r="J992" s="0" t="s">
        <v>4203</v>
      </c>
      <c r="K992" s="0" t="s">
        <v>3365</v>
      </c>
      <c r="L992" s="0" t="s">
        <v>3363</v>
      </c>
      <c r="M992" s="0" t="s">
        <v>3364</v>
      </c>
      <c r="N992" s="0" t="s">
        <v>401</v>
      </c>
    </row>
    <row customHeight="1" ht="11.25">
      <c r="A993" s="7657" t="s">
        <v>2195</v>
      </c>
      <c r="B993" s="7657" t="s">
        <v>14</v>
      </c>
      <c r="C993" s="7657" t="s">
        <v>4204</v>
      </c>
      <c r="D993" s="7657" t="s">
        <v>4205</v>
      </c>
      <c r="E993" s="7657" t="s">
        <v>4206</v>
      </c>
      <c r="F993" s="7657" t="s">
        <v>2478</v>
      </c>
      <c r="G993" s="7657" t="s">
        <v>4207</v>
      </c>
      <c r="H993" s="7657" t="s">
        <v>17</v>
      </c>
      <c r="I993" s="7657" t="s">
        <v>4207</v>
      </c>
      <c r="J993" s="0" t="s">
        <v>17</v>
      </c>
      <c r="K993" s="0" t="s">
        <v>3362</v>
      </c>
      <c r="L993" s="0" t="s">
        <v>3434</v>
      </c>
      <c r="M993" s="0" t="s">
        <v>4208</v>
      </c>
      <c r="N993" s="0" t="s">
        <v>401</v>
      </c>
    </row>
    <row customHeight="1" ht="11.25">
      <c r="A994" s="7657" t="s">
        <v>2195</v>
      </c>
      <c r="B994" s="7657" t="s">
        <v>14</v>
      </c>
      <c r="C994" s="7657" t="s">
        <v>4204</v>
      </c>
      <c r="D994" s="7657" t="s">
        <v>4205</v>
      </c>
      <c r="E994" s="7657" t="s">
        <v>4206</v>
      </c>
      <c r="F994" s="7657" t="s">
        <v>2478</v>
      </c>
      <c r="G994" s="7657" t="s">
        <v>4207</v>
      </c>
      <c r="H994" s="7657" t="s">
        <v>17</v>
      </c>
      <c r="I994" s="7657" t="s">
        <v>4207</v>
      </c>
      <c r="J994" s="0" t="s">
        <v>17</v>
      </c>
      <c r="K994" s="0" t="s">
        <v>3365</v>
      </c>
      <c r="L994" s="0" t="s">
        <v>3434</v>
      </c>
      <c r="M994" s="0" t="s">
        <v>4208</v>
      </c>
      <c r="N994" s="0" t="s">
        <v>401</v>
      </c>
    </row>
    <row customHeight="1" ht="11.25">
      <c r="A995" s="7657" t="s">
        <v>2195</v>
      </c>
      <c r="B995" s="7657" t="s">
        <v>14</v>
      </c>
      <c r="C995" s="7657" t="s">
        <v>4209</v>
      </c>
      <c r="D995" s="7657" t="s">
        <v>4210</v>
      </c>
      <c r="E995" s="7657" t="s">
        <v>4211</v>
      </c>
      <c r="F995" s="7657" t="s">
        <v>2244</v>
      </c>
      <c r="G995" s="7657" t="s">
        <v>4212</v>
      </c>
      <c r="H995" s="7657" t="s">
        <v>17</v>
      </c>
      <c r="I995" s="7657" t="s">
        <v>2581</v>
      </c>
      <c r="J995" s="0" t="s">
        <v>4213</v>
      </c>
      <c r="K995" s="0" t="s">
        <v>3365</v>
      </c>
      <c r="L995" s="0" t="s">
        <v>3374</v>
      </c>
      <c r="M995" s="0" t="s">
        <v>3772</v>
      </c>
      <c r="N995" s="0" t="s">
        <v>401</v>
      </c>
    </row>
    <row customHeight="1" ht="11.25">
      <c r="A996" s="7657" t="s">
        <v>2195</v>
      </c>
      <c r="B996" s="7657" t="s">
        <v>14</v>
      </c>
      <c r="C996" s="7657" t="s">
        <v>4209</v>
      </c>
      <c r="D996" s="7657" t="s">
        <v>4210</v>
      </c>
      <c r="E996" s="7657" t="s">
        <v>4211</v>
      </c>
      <c r="F996" s="7657" t="s">
        <v>2244</v>
      </c>
      <c r="G996" s="7657" t="s">
        <v>4212</v>
      </c>
      <c r="H996" s="7657" t="s">
        <v>17</v>
      </c>
      <c r="I996" s="7657" t="s">
        <v>4214</v>
      </c>
      <c r="J996" s="0" t="s">
        <v>17</v>
      </c>
      <c r="K996" s="0" t="s">
        <v>3365</v>
      </c>
      <c r="L996" s="0" t="s">
        <v>3374</v>
      </c>
      <c r="M996" s="0" t="s">
        <v>3772</v>
      </c>
      <c r="N996" s="0" t="s">
        <v>401</v>
      </c>
    </row>
    <row customHeight="1" ht="11.25">
      <c r="A997" s="7657" t="s">
        <v>2195</v>
      </c>
      <c r="B997" s="7657" t="s">
        <v>14</v>
      </c>
      <c r="C997" s="7657" t="s">
        <v>4215</v>
      </c>
      <c r="D997" s="7657" t="s">
        <v>4216</v>
      </c>
      <c r="E997" s="7657" t="s">
        <v>4217</v>
      </c>
      <c r="F997" s="7657" t="s">
        <v>2599</v>
      </c>
      <c r="G997" s="7657" t="s">
        <v>4218</v>
      </c>
      <c r="H997" s="7657" t="s">
        <v>17</v>
      </c>
      <c r="I997" s="7657" t="s">
        <v>2208</v>
      </c>
      <c r="J997" s="0" t="s">
        <v>17</v>
      </c>
      <c r="K997" s="0" t="s">
        <v>3362</v>
      </c>
      <c r="L997" s="0" t="s">
        <v>3434</v>
      </c>
      <c r="M997" s="0" t="s">
        <v>4208</v>
      </c>
      <c r="N997" s="0" t="s">
        <v>401</v>
      </c>
    </row>
    <row customHeight="1" ht="11.25">
      <c r="A998" s="7657" t="s">
        <v>2195</v>
      </c>
      <c r="B998" s="7657" t="s">
        <v>14</v>
      </c>
      <c r="C998" s="7657" t="s">
        <v>4215</v>
      </c>
      <c r="D998" s="7657" t="s">
        <v>4216</v>
      </c>
      <c r="E998" s="7657" t="s">
        <v>4217</v>
      </c>
      <c r="F998" s="7657" t="s">
        <v>2599</v>
      </c>
      <c r="G998" s="7657" t="s">
        <v>4218</v>
      </c>
      <c r="H998" s="7657" t="s">
        <v>17</v>
      </c>
      <c r="I998" s="7657" t="s">
        <v>2208</v>
      </c>
      <c r="J998" s="0" t="s">
        <v>17</v>
      </c>
      <c r="K998" s="0" t="s">
        <v>3365</v>
      </c>
      <c r="L998" s="0" t="s">
        <v>3434</v>
      </c>
      <c r="M998" s="0" t="s">
        <v>4208</v>
      </c>
      <c r="N998" s="0" t="s">
        <v>401</v>
      </c>
    </row>
    <row customHeight="1" ht="11.25">
      <c r="A999" s="7657" t="s">
        <v>2195</v>
      </c>
      <c r="B999" s="7657" t="s">
        <v>14</v>
      </c>
      <c r="C999" s="7657" t="s">
        <v>4215</v>
      </c>
      <c r="D999" s="7657" t="s">
        <v>4216</v>
      </c>
      <c r="E999" s="7657" t="s">
        <v>4217</v>
      </c>
      <c r="F999" s="7657" t="s">
        <v>2599</v>
      </c>
      <c r="G999" s="7657" t="s">
        <v>4218</v>
      </c>
      <c r="H999" s="7657" t="s">
        <v>17</v>
      </c>
      <c r="I999" s="7657" t="s">
        <v>4219</v>
      </c>
      <c r="J999" s="0" t="s">
        <v>17</v>
      </c>
      <c r="K999" s="0" t="s">
        <v>3362</v>
      </c>
      <c r="L999" s="0" t="s">
        <v>3374</v>
      </c>
      <c r="M999" s="0" t="s">
        <v>4220</v>
      </c>
      <c r="N999" s="0" t="s">
        <v>401</v>
      </c>
    </row>
    <row customHeight="1" ht="11.25">
      <c r="A1000" s="7657" t="s">
        <v>2195</v>
      </c>
      <c r="B1000" s="7657" t="s">
        <v>14</v>
      </c>
      <c r="C1000" s="7657" t="s">
        <v>4215</v>
      </c>
      <c r="D1000" s="7657" t="s">
        <v>4216</v>
      </c>
      <c r="E1000" s="7657" t="s">
        <v>4217</v>
      </c>
      <c r="F1000" s="7657" t="s">
        <v>2599</v>
      </c>
      <c r="G1000" s="7657" t="s">
        <v>4218</v>
      </c>
      <c r="H1000" s="7657" t="s">
        <v>17</v>
      </c>
      <c r="I1000" s="7657" t="s">
        <v>4221</v>
      </c>
      <c r="J1000" s="0" t="s">
        <v>17</v>
      </c>
      <c r="K1000" s="0" t="s">
        <v>3362</v>
      </c>
      <c r="L1000" s="0" t="s">
        <v>3472</v>
      </c>
      <c r="M1000" s="0" t="s">
        <v>3473</v>
      </c>
      <c r="N1000" s="0" t="s">
        <v>401</v>
      </c>
    </row>
    <row customHeight="1" ht="11.25">
      <c r="A1001" s="7657" t="s">
        <v>2195</v>
      </c>
      <c r="B1001" s="7657" t="s">
        <v>14</v>
      </c>
      <c r="C1001" s="7657" t="s">
        <v>4222</v>
      </c>
      <c r="D1001" s="7657" t="s">
        <v>4223</v>
      </c>
      <c r="E1001" s="7657" t="s">
        <v>4224</v>
      </c>
      <c r="F1001" s="7657" t="s">
        <v>3493</v>
      </c>
      <c r="G1001" s="7657" t="s">
        <v>4225</v>
      </c>
      <c r="H1001" s="7657" t="s">
        <v>17</v>
      </c>
      <c r="I1001" s="7657" t="s">
        <v>2534</v>
      </c>
      <c r="J1001" s="0" t="s">
        <v>17</v>
      </c>
      <c r="K1001" s="0" t="s">
        <v>3362</v>
      </c>
      <c r="L1001" s="0" t="s">
        <v>3363</v>
      </c>
      <c r="M1001" s="0" t="s">
        <v>3364</v>
      </c>
      <c r="N1001" s="0" t="s">
        <v>401</v>
      </c>
    </row>
    <row customHeight="1" ht="11.25">
      <c r="A1002" s="7657" t="s">
        <v>2195</v>
      </c>
      <c r="B1002" s="7657" t="s">
        <v>14</v>
      </c>
      <c r="C1002" s="7657" t="s">
        <v>4222</v>
      </c>
      <c r="D1002" s="7657" t="s">
        <v>4223</v>
      </c>
      <c r="E1002" s="7657" t="s">
        <v>4224</v>
      </c>
      <c r="F1002" s="7657" t="s">
        <v>3493</v>
      </c>
      <c r="G1002" s="7657" t="s">
        <v>4225</v>
      </c>
      <c r="H1002" s="7657" t="s">
        <v>17</v>
      </c>
      <c r="I1002" s="7657" t="s">
        <v>2534</v>
      </c>
      <c r="J1002" s="0" t="s">
        <v>17</v>
      </c>
      <c r="K1002" s="0" t="s">
        <v>3365</v>
      </c>
      <c r="L1002" s="0" t="s">
        <v>3363</v>
      </c>
      <c r="M1002" s="0" t="s">
        <v>3364</v>
      </c>
      <c r="N1002" s="0" t="s">
        <v>401</v>
      </c>
    </row>
    <row customHeight="1" ht="11.25">
      <c r="A1003" s="7657" t="s">
        <v>2195</v>
      </c>
      <c r="B1003" s="7657" t="s">
        <v>14</v>
      </c>
      <c r="C1003" s="7657" t="s">
        <v>4226</v>
      </c>
      <c r="D1003" s="7657" t="s">
        <v>4227</v>
      </c>
      <c r="E1003" s="7657" t="s">
        <v>4228</v>
      </c>
      <c r="F1003" s="7657" t="s">
        <v>2599</v>
      </c>
      <c r="G1003" s="7657" t="s">
        <v>4218</v>
      </c>
      <c r="H1003" s="7657" t="s">
        <v>17</v>
      </c>
      <c r="I1003" s="7657" t="s">
        <v>2208</v>
      </c>
      <c r="J1003" s="0" t="s">
        <v>17</v>
      </c>
      <c r="K1003" s="0" t="s">
        <v>3362</v>
      </c>
      <c r="L1003" s="0" t="s">
        <v>3374</v>
      </c>
      <c r="M1003" s="0" t="s">
        <v>3375</v>
      </c>
      <c r="N1003" s="0" t="s">
        <v>401</v>
      </c>
    </row>
    <row customHeight="1" ht="11.25">
      <c r="A1004" s="7657" t="s">
        <v>2195</v>
      </c>
      <c r="B1004" s="7657" t="s">
        <v>14</v>
      </c>
      <c r="C1004" s="7657" t="s">
        <v>4226</v>
      </c>
      <c r="D1004" s="7657" t="s">
        <v>4227</v>
      </c>
      <c r="E1004" s="7657" t="s">
        <v>4228</v>
      </c>
      <c r="F1004" s="7657" t="s">
        <v>2599</v>
      </c>
      <c r="G1004" s="7657" t="s">
        <v>4218</v>
      </c>
      <c r="H1004" s="7657" t="s">
        <v>17</v>
      </c>
      <c r="I1004" s="7657" t="s">
        <v>4218</v>
      </c>
      <c r="J1004" s="0" t="s">
        <v>17</v>
      </c>
      <c r="K1004" s="0" t="s">
        <v>3365</v>
      </c>
      <c r="L1004" s="0" t="s">
        <v>3374</v>
      </c>
      <c r="M1004" s="0" t="s">
        <v>3772</v>
      </c>
      <c r="N1004" s="0" t="s">
        <v>401</v>
      </c>
    </row>
    <row customHeight="1" ht="11.25">
      <c r="A1005" s="7657" t="s">
        <v>2195</v>
      </c>
      <c r="B1005" s="7657" t="s">
        <v>14</v>
      </c>
      <c r="C1005" s="7657" t="s">
        <v>4226</v>
      </c>
      <c r="D1005" s="7657" t="s">
        <v>4227</v>
      </c>
      <c r="E1005" s="7657" t="s">
        <v>4228</v>
      </c>
      <c r="F1005" s="7657" t="s">
        <v>2599</v>
      </c>
      <c r="G1005" s="7657" t="s">
        <v>4218</v>
      </c>
      <c r="H1005" s="7657" t="s">
        <v>17</v>
      </c>
      <c r="I1005" s="7657" t="s">
        <v>4219</v>
      </c>
      <c r="J1005" s="0" t="s">
        <v>17</v>
      </c>
      <c r="K1005" s="0" t="s">
        <v>3362</v>
      </c>
      <c r="L1005" s="0" t="s">
        <v>3374</v>
      </c>
      <c r="M1005" s="0" t="s">
        <v>4220</v>
      </c>
      <c r="N1005" s="0" t="s">
        <v>401</v>
      </c>
    </row>
    <row customHeight="1" ht="11.25">
      <c r="A1006" s="7657" t="s">
        <v>2195</v>
      </c>
      <c r="B1006" s="7657" t="s">
        <v>14</v>
      </c>
      <c r="C1006" s="7657" t="s">
        <v>4229</v>
      </c>
      <c r="D1006" s="7657" t="s">
        <v>4230</v>
      </c>
      <c r="E1006" s="7657" t="s">
        <v>4231</v>
      </c>
      <c r="F1006" s="7657" t="s">
        <v>4232</v>
      </c>
      <c r="G1006" s="7657" t="s">
        <v>17</v>
      </c>
      <c r="H1006" s="7657" t="s">
        <v>17</v>
      </c>
      <c r="I1006" s="7657" t="s">
        <v>4233</v>
      </c>
      <c r="J1006" s="0" t="s">
        <v>17</v>
      </c>
      <c r="K1006" s="0" t="s">
        <v>3362</v>
      </c>
      <c r="L1006" s="0" t="s">
        <v>3394</v>
      </c>
      <c r="M1006" s="0" t="s">
        <v>3471</v>
      </c>
      <c r="N1006" s="0" t="s">
        <v>401</v>
      </c>
    </row>
    <row customHeight="1" ht="11.25">
      <c r="A1007" s="7657" t="s">
        <v>2195</v>
      </c>
      <c r="B1007" s="7657" t="s">
        <v>14</v>
      </c>
      <c r="C1007" s="7657" t="s">
        <v>4229</v>
      </c>
      <c r="D1007" s="7657" t="s">
        <v>4230</v>
      </c>
      <c r="E1007" s="7657" t="s">
        <v>4231</v>
      </c>
      <c r="F1007" s="7657" t="s">
        <v>4232</v>
      </c>
      <c r="G1007" s="7657" t="s">
        <v>17</v>
      </c>
      <c r="H1007" s="7657" t="s">
        <v>17</v>
      </c>
      <c r="I1007" s="7657" t="s">
        <v>4234</v>
      </c>
      <c r="J1007" s="0" t="s">
        <v>17</v>
      </c>
      <c r="K1007" s="0" t="s">
        <v>3365</v>
      </c>
      <c r="L1007" s="0" t="s">
        <v>3374</v>
      </c>
      <c r="M1007" s="0" t="s">
        <v>3772</v>
      </c>
      <c r="N1007" s="0" t="s">
        <v>401</v>
      </c>
    </row>
    <row customHeight="1" ht="11.25">
      <c r="A1008" s="7657" t="s">
        <v>2195</v>
      </c>
      <c r="B1008" s="7657" t="s">
        <v>14</v>
      </c>
      <c r="C1008" s="7657" t="s">
        <v>4235</v>
      </c>
      <c r="D1008" s="7657" t="s">
        <v>4236</v>
      </c>
      <c r="E1008" s="7657" t="s">
        <v>4237</v>
      </c>
      <c r="F1008" s="7657" t="s">
        <v>2227</v>
      </c>
      <c r="G1008" s="7657" t="s">
        <v>17</v>
      </c>
      <c r="H1008" s="7657" t="s">
        <v>17</v>
      </c>
      <c r="I1008" s="7657" t="s">
        <v>4238</v>
      </c>
      <c r="J1008" s="0" t="s">
        <v>17</v>
      </c>
      <c r="K1008" s="0" t="s">
        <v>3362</v>
      </c>
      <c r="L1008" s="0" t="s">
        <v>3401</v>
      </c>
      <c r="M1008" s="0" t="s">
        <v>3402</v>
      </c>
      <c r="N1008" s="0" t="s">
        <v>401</v>
      </c>
    </row>
    <row customHeight="1" ht="11.25">
      <c r="A1009" s="7657" t="s">
        <v>2195</v>
      </c>
      <c r="B1009" s="7657" t="s">
        <v>14</v>
      </c>
      <c r="C1009" s="7657" t="s">
        <v>4235</v>
      </c>
      <c r="D1009" s="7657" t="s">
        <v>4236</v>
      </c>
      <c r="E1009" s="7657" t="s">
        <v>4237</v>
      </c>
      <c r="F1009" s="7657" t="s">
        <v>2227</v>
      </c>
      <c r="G1009" s="7657" t="s">
        <v>17</v>
      </c>
      <c r="H1009" s="7657" t="s">
        <v>17</v>
      </c>
      <c r="I1009" s="7657" t="s">
        <v>4238</v>
      </c>
      <c r="J1009" s="0" t="s">
        <v>17</v>
      </c>
      <c r="K1009" s="0" t="s">
        <v>3365</v>
      </c>
      <c r="L1009" s="0" t="s">
        <v>3401</v>
      </c>
      <c r="M1009" s="0" t="s">
        <v>3402</v>
      </c>
      <c r="N1009" s="0" t="s">
        <v>401</v>
      </c>
    </row>
    <row customHeight="1" ht="11.25">
      <c r="A1010" s="7657" t="s">
        <v>2195</v>
      </c>
      <c r="B1010" s="7657" t="s">
        <v>14</v>
      </c>
      <c r="C1010" s="7657" t="s">
        <v>4239</v>
      </c>
      <c r="D1010" s="7657" t="s">
        <v>4240</v>
      </c>
      <c r="E1010" s="7657" t="s">
        <v>4241</v>
      </c>
      <c r="F1010" s="7657" t="s">
        <v>2239</v>
      </c>
      <c r="G1010" s="7657" t="s">
        <v>4242</v>
      </c>
      <c r="H1010" s="7657" t="s">
        <v>17</v>
      </c>
      <c r="I1010" s="7657" t="s">
        <v>2753</v>
      </c>
      <c r="J1010" s="0" t="s">
        <v>17</v>
      </c>
      <c r="K1010" s="0" t="s">
        <v>3362</v>
      </c>
      <c r="L1010" s="0" t="s">
        <v>3401</v>
      </c>
      <c r="M1010" s="0" t="s">
        <v>3402</v>
      </c>
      <c r="N1010" s="0" t="s">
        <v>401</v>
      </c>
    </row>
    <row customHeight="1" ht="11.25">
      <c r="A1011" s="7657" t="s">
        <v>2195</v>
      </c>
      <c r="B1011" s="7657" t="s">
        <v>14</v>
      </c>
      <c r="C1011" s="7657" t="s">
        <v>4239</v>
      </c>
      <c r="D1011" s="7657" t="s">
        <v>4240</v>
      </c>
      <c r="E1011" s="7657" t="s">
        <v>4241</v>
      </c>
      <c r="F1011" s="7657" t="s">
        <v>2239</v>
      </c>
      <c r="G1011" s="7657" t="s">
        <v>4242</v>
      </c>
      <c r="H1011" s="7657" t="s">
        <v>17</v>
      </c>
      <c r="I1011" s="7657" t="s">
        <v>2753</v>
      </c>
      <c r="J1011" s="0" t="s">
        <v>17</v>
      </c>
      <c r="K1011" s="0" t="s">
        <v>3365</v>
      </c>
      <c r="L1011" s="0" t="s">
        <v>3401</v>
      </c>
      <c r="M1011" s="0" t="s">
        <v>3402</v>
      </c>
      <c r="N1011" s="0" t="s">
        <v>401</v>
      </c>
    </row>
    <row customHeight="1" ht="11.25">
      <c r="A1012" s="7657" t="s">
        <v>2195</v>
      </c>
      <c r="B1012" s="7657" t="s">
        <v>14</v>
      </c>
      <c r="C1012" s="7657" t="s">
        <v>4243</v>
      </c>
      <c r="D1012" s="7657" t="s">
        <v>4244</v>
      </c>
      <c r="E1012" s="7657" t="s">
        <v>4245</v>
      </c>
      <c r="F1012" s="7657" t="s">
        <v>2239</v>
      </c>
      <c r="G1012" s="7657" t="s">
        <v>17</v>
      </c>
      <c r="H1012" s="7657" t="s">
        <v>17</v>
      </c>
      <c r="I1012" s="7657" t="s">
        <v>2654</v>
      </c>
      <c r="J1012" s="0" t="s">
        <v>17</v>
      </c>
      <c r="K1012" s="0" t="s">
        <v>3362</v>
      </c>
      <c r="L1012" s="0" t="s">
        <v>3401</v>
      </c>
      <c r="M1012" s="0" t="s">
        <v>3402</v>
      </c>
      <c r="N1012" s="0" t="s">
        <v>401</v>
      </c>
    </row>
    <row customHeight="1" ht="11.25">
      <c r="A1013" s="7657" t="s">
        <v>2195</v>
      </c>
      <c r="B1013" s="7657" t="s">
        <v>14</v>
      </c>
      <c r="C1013" s="7657" t="s">
        <v>4243</v>
      </c>
      <c r="D1013" s="7657" t="s">
        <v>4244</v>
      </c>
      <c r="E1013" s="7657" t="s">
        <v>4245</v>
      </c>
      <c r="F1013" s="7657" t="s">
        <v>2239</v>
      </c>
      <c r="G1013" s="7657" t="s">
        <v>17</v>
      </c>
      <c r="H1013" s="7657" t="s">
        <v>17</v>
      </c>
      <c r="I1013" s="7657" t="s">
        <v>2654</v>
      </c>
      <c r="J1013" s="0" t="s">
        <v>17</v>
      </c>
      <c r="K1013" s="0" t="s">
        <v>3365</v>
      </c>
      <c r="L1013" s="0" t="s">
        <v>3401</v>
      </c>
      <c r="M1013" s="0" t="s">
        <v>3402</v>
      </c>
      <c r="N1013" s="0" t="s">
        <v>401</v>
      </c>
    </row>
    <row customHeight="1" ht="11.25">
      <c r="A1014" s="7657" t="s">
        <v>2195</v>
      </c>
      <c r="B1014" s="7657" t="s">
        <v>14</v>
      </c>
      <c r="C1014" s="7657" t="s">
        <v>4246</v>
      </c>
      <c r="D1014" s="7657" t="s">
        <v>4247</v>
      </c>
      <c r="E1014" s="7657" t="s">
        <v>4248</v>
      </c>
      <c r="F1014" s="7657" t="s">
        <v>2239</v>
      </c>
      <c r="G1014" s="7657" t="s">
        <v>4249</v>
      </c>
      <c r="H1014" s="7657" t="s">
        <v>17</v>
      </c>
      <c r="I1014" s="7657" t="s">
        <v>4249</v>
      </c>
      <c r="J1014" s="0" t="s">
        <v>17</v>
      </c>
      <c r="K1014" s="0" t="s">
        <v>3362</v>
      </c>
      <c r="L1014" s="0" t="s">
        <v>3401</v>
      </c>
      <c r="M1014" s="0" t="s">
        <v>3402</v>
      </c>
      <c r="N1014" s="0" t="s">
        <v>401</v>
      </c>
    </row>
    <row customHeight="1" ht="11.25">
      <c r="A1015" s="7657" t="s">
        <v>2195</v>
      </c>
      <c r="B1015" s="7657" t="s">
        <v>14</v>
      </c>
      <c r="C1015" s="7657" t="s">
        <v>4246</v>
      </c>
      <c r="D1015" s="7657" t="s">
        <v>4247</v>
      </c>
      <c r="E1015" s="7657" t="s">
        <v>4248</v>
      </c>
      <c r="F1015" s="7657" t="s">
        <v>2239</v>
      </c>
      <c r="G1015" s="7657" t="s">
        <v>4249</v>
      </c>
      <c r="H1015" s="7657" t="s">
        <v>17</v>
      </c>
      <c r="I1015" s="7657" t="s">
        <v>4249</v>
      </c>
      <c r="J1015" s="0" t="s">
        <v>17</v>
      </c>
      <c r="K1015" s="0" t="s">
        <v>3365</v>
      </c>
      <c r="L1015" s="0" t="s">
        <v>3401</v>
      </c>
      <c r="M1015" s="0" t="s">
        <v>3402</v>
      </c>
      <c r="N1015" s="0" t="s">
        <v>401</v>
      </c>
    </row>
    <row customHeight="1" ht="11.25">
      <c r="A1016" s="7657" t="s">
        <v>2195</v>
      </c>
      <c r="B1016" s="7657" t="s">
        <v>14</v>
      </c>
      <c r="C1016" s="7657" t="s">
        <v>4250</v>
      </c>
      <c r="D1016" s="7657" t="s">
        <v>4251</v>
      </c>
      <c r="E1016" s="7657" t="s">
        <v>4252</v>
      </c>
      <c r="F1016" s="7657" t="s">
        <v>4126</v>
      </c>
      <c r="G1016" s="7657" t="s">
        <v>4253</v>
      </c>
      <c r="H1016" s="7657" t="s">
        <v>17</v>
      </c>
      <c r="I1016" s="7657" t="s">
        <v>3841</v>
      </c>
      <c r="J1016" s="0" t="s">
        <v>17</v>
      </c>
      <c r="K1016" s="0" t="s">
        <v>3362</v>
      </c>
      <c r="L1016" s="0" t="s">
        <v>3363</v>
      </c>
      <c r="M1016" s="0" t="s">
        <v>3364</v>
      </c>
      <c r="N1016" s="0" t="s">
        <v>401</v>
      </c>
    </row>
    <row customHeight="1" ht="11.25">
      <c r="A1017" s="7657" t="s">
        <v>2195</v>
      </c>
      <c r="B1017" s="7657" t="s">
        <v>14</v>
      </c>
      <c r="C1017" s="7657" t="s">
        <v>4250</v>
      </c>
      <c r="D1017" s="7657" t="s">
        <v>4251</v>
      </c>
      <c r="E1017" s="7657" t="s">
        <v>4252</v>
      </c>
      <c r="F1017" s="7657" t="s">
        <v>4126</v>
      </c>
      <c r="G1017" s="7657" t="s">
        <v>4253</v>
      </c>
      <c r="H1017" s="7657" t="s">
        <v>17</v>
      </c>
      <c r="I1017" s="7657" t="s">
        <v>3841</v>
      </c>
      <c r="J1017" s="0" t="s">
        <v>17</v>
      </c>
      <c r="K1017" s="0" t="s">
        <v>3365</v>
      </c>
      <c r="L1017" s="0" t="s">
        <v>3363</v>
      </c>
      <c r="M1017" s="0" t="s">
        <v>3364</v>
      </c>
      <c r="N1017" s="0" t="s">
        <v>401</v>
      </c>
    </row>
    <row customHeight="1" ht="11.25">
      <c r="A1018" s="7657" t="s">
        <v>2195</v>
      </c>
      <c r="B1018" s="7657" t="s">
        <v>14</v>
      </c>
      <c r="C1018" s="7657" t="s">
        <v>4254</v>
      </c>
      <c r="D1018" s="7657" t="s">
        <v>4251</v>
      </c>
      <c r="E1018" s="7657" t="s">
        <v>4255</v>
      </c>
      <c r="F1018" s="7657" t="s">
        <v>2527</v>
      </c>
      <c r="G1018" s="7657" t="s">
        <v>17</v>
      </c>
      <c r="H1018" s="7657" t="s">
        <v>17</v>
      </c>
      <c r="I1018" s="7657" t="s">
        <v>4256</v>
      </c>
      <c r="J1018" s="0" t="s">
        <v>17</v>
      </c>
      <c r="K1018" s="0" t="s">
        <v>3362</v>
      </c>
      <c r="L1018" s="0" t="s">
        <v>3363</v>
      </c>
      <c r="M1018" s="0" t="s">
        <v>3364</v>
      </c>
      <c r="N1018" s="0" t="s">
        <v>401</v>
      </c>
    </row>
    <row customHeight="1" ht="11.25">
      <c r="A1019" s="7657" t="s">
        <v>2195</v>
      </c>
      <c r="B1019" s="7657" t="s">
        <v>14</v>
      </c>
      <c r="C1019" s="7657" t="s">
        <v>4254</v>
      </c>
      <c r="D1019" s="7657" t="s">
        <v>4251</v>
      </c>
      <c r="E1019" s="7657" t="s">
        <v>4255</v>
      </c>
      <c r="F1019" s="7657" t="s">
        <v>2527</v>
      </c>
      <c r="G1019" s="7657" t="s">
        <v>17</v>
      </c>
      <c r="H1019" s="7657" t="s">
        <v>17</v>
      </c>
      <c r="I1019" s="7657" t="s">
        <v>4256</v>
      </c>
      <c r="J1019" s="0" t="s">
        <v>17</v>
      </c>
      <c r="K1019" s="0" t="s">
        <v>3365</v>
      </c>
      <c r="L1019" s="0" t="s">
        <v>3363</v>
      </c>
      <c r="M1019" s="0" t="s">
        <v>3364</v>
      </c>
      <c r="N1019" s="0" t="s">
        <v>401</v>
      </c>
    </row>
    <row customHeight="1" ht="11.25">
      <c r="A1020" s="7657" t="s">
        <v>2195</v>
      </c>
      <c r="B1020" s="7657" t="s">
        <v>14</v>
      </c>
      <c r="C1020" s="7657" t="s">
        <v>4257</v>
      </c>
      <c r="D1020" s="7657" t="s">
        <v>4258</v>
      </c>
      <c r="E1020" s="7657" t="s">
        <v>4259</v>
      </c>
      <c r="F1020" s="7657" t="s">
        <v>2212</v>
      </c>
      <c r="G1020" s="7657" t="s">
        <v>17</v>
      </c>
      <c r="H1020" s="7657" t="s">
        <v>17</v>
      </c>
      <c r="I1020" s="7657" t="s">
        <v>2426</v>
      </c>
      <c r="J1020" s="0" t="s">
        <v>17</v>
      </c>
      <c r="K1020" s="0" t="s">
        <v>3362</v>
      </c>
      <c r="L1020" s="0" t="s">
        <v>3363</v>
      </c>
      <c r="M1020" s="0" t="s">
        <v>3364</v>
      </c>
      <c r="N1020" s="0" t="s">
        <v>401</v>
      </c>
    </row>
    <row customHeight="1" ht="11.25">
      <c r="A1021" s="7657" t="s">
        <v>2195</v>
      </c>
      <c r="B1021" s="7657" t="s">
        <v>14</v>
      </c>
      <c r="C1021" s="7657" t="s">
        <v>4257</v>
      </c>
      <c r="D1021" s="7657" t="s">
        <v>4258</v>
      </c>
      <c r="E1021" s="7657" t="s">
        <v>4259</v>
      </c>
      <c r="F1021" s="7657" t="s">
        <v>2212</v>
      </c>
      <c r="G1021" s="7657" t="s">
        <v>17</v>
      </c>
      <c r="H1021" s="7657" t="s">
        <v>17</v>
      </c>
      <c r="I1021" s="7657" t="s">
        <v>2426</v>
      </c>
      <c r="J1021" s="0" t="s">
        <v>17</v>
      </c>
      <c r="K1021" s="0" t="s">
        <v>3365</v>
      </c>
      <c r="L1021" s="0" t="s">
        <v>3363</v>
      </c>
      <c r="M1021" s="0" t="s">
        <v>3364</v>
      </c>
      <c r="N1021" s="0" t="s">
        <v>401</v>
      </c>
    </row>
    <row customHeight="1" ht="11.25">
      <c r="A1022" s="7657" t="s">
        <v>2195</v>
      </c>
      <c r="B1022" s="7657" t="s">
        <v>14</v>
      </c>
      <c r="C1022" s="7657" t="s">
        <v>4260</v>
      </c>
      <c r="D1022" s="7657" t="s">
        <v>4261</v>
      </c>
      <c r="E1022" s="7657" t="s">
        <v>4262</v>
      </c>
      <c r="F1022" s="7657" t="s">
        <v>2595</v>
      </c>
      <c r="G1022" s="7657" t="s">
        <v>4263</v>
      </c>
      <c r="H1022" s="7657" t="s">
        <v>17</v>
      </c>
      <c r="I1022" s="7657" t="s">
        <v>3065</v>
      </c>
      <c r="J1022" s="0" t="s">
        <v>17</v>
      </c>
      <c r="K1022" s="0" t="s">
        <v>3362</v>
      </c>
      <c r="L1022" s="0" t="s">
        <v>3401</v>
      </c>
      <c r="M1022" s="0" t="s">
        <v>3402</v>
      </c>
      <c r="N1022" s="0" t="s">
        <v>401</v>
      </c>
    </row>
    <row customHeight="1" ht="11.25">
      <c r="A1023" s="7657" t="s">
        <v>2195</v>
      </c>
      <c r="B1023" s="7657" t="s">
        <v>14</v>
      </c>
      <c r="C1023" s="7657" t="s">
        <v>4260</v>
      </c>
      <c r="D1023" s="7657" t="s">
        <v>4261</v>
      </c>
      <c r="E1023" s="7657" t="s">
        <v>4262</v>
      </c>
      <c r="F1023" s="7657" t="s">
        <v>2595</v>
      </c>
      <c r="G1023" s="7657" t="s">
        <v>4263</v>
      </c>
      <c r="H1023" s="7657" t="s">
        <v>17</v>
      </c>
      <c r="I1023" s="7657" t="s">
        <v>3065</v>
      </c>
      <c r="J1023" s="0" t="s">
        <v>17</v>
      </c>
      <c r="K1023" s="0" t="s">
        <v>3365</v>
      </c>
      <c r="L1023" s="0" t="s">
        <v>3401</v>
      </c>
      <c r="M1023" s="0" t="s">
        <v>3402</v>
      </c>
      <c r="N1023" s="0" t="s">
        <v>401</v>
      </c>
    </row>
    <row customHeight="1" ht="11.25">
      <c r="A1024" s="7657" t="s">
        <v>2195</v>
      </c>
      <c r="B1024" s="7657" t="s">
        <v>14</v>
      </c>
      <c r="C1024" s="7657" t="s">
        <v>4264</v>
      </c>
      <c r="D1024" s="7657" t="s">
        <v>4265</v>
      </c>
      <c r="E1024" s="7657" t="s">
        <v>4266</v>
      </c>
      <c r="F1024" s="7657" t="s">
        <v>2239</v>
      </c>
      <c r="G1024" s="7657" t="s">
        <v>4267</v>
      </c>
      <c r="H1024" s="7657" t="s">
        <v>17</v>
      </c>
      <c r="I1024" s="7657" t="s">
        <v>2287</v>
      </c>
      <c r="J1024" s="0" t="s">
        <v>17</v>
      </c>
      <c r="K1024" s="0" t="s">
        <v>3362</v>
      </c>
      <c r="L1024" s="0" t="s">
        <v>3363</v>
      </c>
      <c r="M1024" s="0" t="s">
        <v>3364</v>
      </c>
      <c r="N1024" s="0" t="s">
        <v>401</v>
      </c>
    </row>
    <row customHeight="1" ht="11.25">
      <c r="A1025" s="7657" t="s">
        <v>2195</v>
      </c>
      <c r="B1025" s="7657" t="s">
        <v>14</v>
      </c>
      <c r="C1025" s="7657" t="s">
        <v>4264</v>
      </c>
      <c r="D1025" s="7657" t="s">
        <v>4265</v>
      </c>
      <c r="E1025" s="7657" t="s">
        <v>4266</v>
      </c>
      <c r="F1025" s="7657" t="s">
        <v>2239</v>
      </c>
      <c r="G1025" s="7657" t="s">
        <v>4267</v>
      </c>
      <c r="H1025" s="7657" t="s">
        <v>17</v>
      </c>
      <c r="I1025" s="7657" t="s">
        <v>2287</v>
      </c>
      <c r="J1025" s="0" t="s">
        <v>17</v>
      </c>
      <c r="K1025" s="0" t="s">
        <v>3365</v>
      </c>
      <c r="L1025" s="0" t="s">
        <v>3363</v>
      </c>
      <c r="M1025" s="0" t="s">
        <v>3364</v>
      </c>
      <c r="N1025" s="0" t="s">
        <v>401</v>
      </c>
    </row>
    <row customHeight="1" ht="11.25">
      <c r="A1026" s="7657" t="s">
        <v>2195</v>
      </c>
      <c r="B1026" s="7657" t="s">
        <v>14</v>
      </c>
      <c r="C1026" s="7657" t="s">
        <v>4268</v>
      </c>
      <c r="D1026" s="7657" t="s">
        <v>4269</v>
      </c>
      <c r="E1026" s="7657" t="s">
        <v>4270</v>
      </c>
      <c r="F1026" s="7657" t="s">
        <v>2599</v>
      </c>
      <c r="G1026" s="7657" t="s">
        <v>4271</v>
      </c>
      <c r="H1026" s="7657" t="s">
        <v>17</v>
      </c>
      <c r="I1026" s="7657" t="s">
        <v>3197</v>
      </c>
      <c r="J1026" s="0" t="s">
        <v>17</v>
      </c>
      <c r="K1026" s="0" t="s">
        <v>3362</v>
      </c>
      <c r="L1026" s="0" t="s">
        <v>3363</v>
      </c>
      <c r="M1026" s="0" t="s">
        <v>3364</v>
      </c>
      <c r="N1026" s="0" t="s">
        <v>401</v>
      </c>
    </row>
    <row customHeight="1" ht="11.25">
      <c r="A1027" s="7657" t="s">
        <v>2195</v>
      </c>
      <c r="B1027" s="7657" t="s">
        <v>14</v>
      </c>
      <c r="C1027" s="7657" t="s">
        <v>4268</v>
      </c>
      <c r="D1027" s="7657" t="s">
        <v>4269</v>
      </c>
      <c r="E1027" s="7657" t="s">
        <v>4270</v>
      </c>
      <c r="F1027" s="7657" t="s">
        <v>2599</v>
      </c>
      <c r="G1027" s="7657" t="s">
        <v>4271</v>
      </c>
      <c r="H1027" s="7657" t="s">
        <v>17</v>
      </c>
      <c r="I1027" s="7657" t="s">
        <v>3197</v>
      </c>
      <c r="J1027" s="0" t="s">
        <v>17</v>
      </c>
      <c r="K1027" s="0" t="s">
        <v>3365</v>
      </c>
      <c r="L1027" s="0" t="s">
        <v>3363</v>
      </c>
      <c r="M1027" s="0" t="s">
        <v>3364</v>
      </c>
      <c r="N1027" s="0" t="s">
        <v>401</v>
      </c>
    </row>
    <row customHeight="1" ht="11.25">
      <c r="A1028" s="7657" t="s">
        <v>2195</v>
      </c>
      <c r="B1028" s="7657" t="s">
        <v>14</v>
      </c>
      <c r="C1028" s="7657" t="s">
        <v>2843</v>
      </c>
      <c r="D1028" s="7657" t="s">
        <v>2844</v>
      </c>
      <c r="E1028" s="7657" t="s">
        <v>2845</v>
      </c>
      <c r="F1028" s="7657" t="s">
        <v>2254</v>
      </c>
      <c r="G1028" s="7657" t="s">
        <v>2846</v>
      </c>
      <c r="H1028" s="7657" t="s">
        <v>17</v>
      </c>
      <c r="I1028" s="7657" t="s">
        <v>4272</v>
      </c>
      <c r="J1028" s="0" t="s">
        <v>17</v>
      </c>
      <c r="K1028" s="0" t="s">
        <v>3362</v>
      </c>
      <c r="L1028" s="0" t="s">
        <v>3363</v>
      </c>
      <c r="M1028" s="0" t="s">
        <v>3364</v>
      </c>
      <c r="N1028" s="0" t="s">
        <v>401</v>
      </c>
    </row>
    <row customHeight="1" ht="11.25">
      <c r="A1029" s="7657" t="s">
        <v>2195</v>
      </c>
      <c r="B1029" s="7657" t="s">
        <v>14</v>
      </c>
      <c r="C1029" s="7657" t="s">
        <v>2843</v>
      </c>
      <c r="D1029" s="7657" t="s">
        <v>2844</v>
      </c>
      <c r="E1029" s="7657" t="s">
        <v>2845</v>
      </c>
      <c r="F1029" s="7657" t="s">
        <v>2254</v>
      </c>
      <c r="G1029" s="7657" t="s">
        <v>2846</v>
      </c>
      <c r="H1029" s="7657" t="s">
        <v>17</v>
      </c>
      <c r="I1029" s="7657" t="s">
        <v>4272</v>
      </c>
      <c r="J1029" s="0" t="s">
        <v>17</v>
      </c>
      <c r="K1029" s="0" t="s">
        <v>3365</v>
      </c>
      <c r="L1029" s="0" t="s">
        <v>3363</v>
      </c>
      <c r="M1029" s="0" t="s">
        <v>3364</v>
      </c>
      <c r="N1029" s="0" t="s">
        <v>401</v>
      </c>
    </row>
    <row customHeight="1" ht="11.25">
      <c r="A1030" s="7657" t="s">
        <v>2195</v>
      </c>
      <c r="B1030" s="7657" t="s">
        <v>14</v>
      </c>
      <c r="C1030" s="7657" t="s">
        <v>4273</v>
      </c>
      <c r="D1030" s="7657" t="s">
        <v>4274</v>
      </c>
      <c r="E1030" s="7657" t="s">
        <v>4275</v>
      </c>
      <c r="F1030" s="7657" t="s">
        <v>2719</v>
      </c>
      <c r="G1030" s="7657" t="s">
        <v>4276</v>
      </c>
      <c r="H1030" s="7657" t="s">
        <v>17</v>
      </c>
      <c r="I1030" s="7657" t="s">
        <v>2426</v>
      </c>
      <c r="J1030" s="0" t="s">
        <v>17</v>
      </c>
      <c r="K1030" s="0" t="s">
        <v>3362</v>
      </c>
      <c r="L1030" s="0" t="s">
        <v>3363</v>
      </c>
      <c r="M1030" s="0" t="s">
        <v>3364</v>
      </c>
      <c r="N1030" s="0" t="s">
        <v>401</v>
      </c>
    </row>
    <row customHeight="1" ht="11.25">
      <c r="A1031" s="7657" t="s">
        <v>2195</v>
      </c>
      <c r="B1031" s="7657" t="s">
        <v>14</v>
      </c>
      <c r="C1031" s="7657" t="s">
        <v>4273</v>
      </c>
      <c r="D1031" s="7657" t="s">
        <v>4274</v>
      </c>
      <c r="E1031" s="7657" t="s">
        <v>4275</v>
      </c>
      <c r="F1031" s="7657" t="s">
        <v>2719</v>
      </c>
      <c r="G1031" s="7657" t="s">
        <v>4276</v>
      </c>
      <c r="H1031" s="7657" t="s">
        <v>17</v>
      </c>
      <c r="I1031" s="7657" t="s">
        <v>2426</v>
      </c>
      <c r="J1031" s="0" t="s">
        <v>17</v>
      </c>
      <c r="K1031" s="0" t="s">
        <v>3365</v>
      </c>
      <c r="L1031" s="0" t="s">
        <v>3363</v>
      </c>
      <c r="M1031" s="0" t="s">
        <v>3364</v>
      </c>
      <c r="N1031" s="0" t="s">
        <v>401</v>
      </c>
    </row>
    <row customHeight="1" ht="11.25">
      <c r="A1032" s="7657" t="s">
        <v>2195</v>
      </c>
      <c r="B1032" s="7657" t="s">
        <v>14</v>
      </c>
      <c r="C1032" s="7657" t="s">
        <v>4273</v>
      </c>
      <c r="D1032" s="7657" t="s">
        <v>4274</v>
      </c>
      <c r="E1032" s="7657" t="s">
        <v>4275</v>
      </c>
      <c r="F1032" s="7657" t="s">
        <v>2719</v>
      </c>
      <c r="G1032" s="7657" t="s">
        <v>4276</v>
      </c>
      <c r="H1032" s="7657" t="s">
        <v>17</v>
      </c>
      <c r="I1032" s="7657" t="s">
        <v>2313</v>
      </c>
      <c r="J1032" s="0" t="s">
        <v>17</v>
      </c>
      <c r="K1032" s="0" t="s">
        <v>3362</v>
      </c>
      <c r="L1032" s="0" t="s">
        <v>3434</v>
      </c>
      <c r="M1032" s="0" t="s">
        <v>3435</v>
      </c>
      <c r="N1032" s="0" t="s">
        <v>401</v>
      </c>
    </row>
    <row customHeight="1" ht="11.25">
      <c r="A1033" s="7657" t="s">
        <v>2195</v>
      </c>
      <c r="B1033" s="7657" t="s">
        <v>14</v>
      </c>
      <c r="C1033" s="7657" t="s">
        <v>4273</v>
      </c>
      <c r="D1033" s="7657" t="s">
        <v>4274</v>
      </c>
      <c r="E1033" s="7657" t="s">
        <v>4275</v>
      </c>
      <c r="F1033" s="7657" t="s">
        <v>2719</v>
      </c>
      <c r="G1033" s="7657" t="s">
        <v>4276</v>
      </c>
      <c r="H1033" s="7657" t="s">
        <v>17</v>
      </c>
      <c r="I1033" s="7657" t="s">
        <v>2979</v>
      </c>
      <c r="J1033" s="0" t="s">
        <v>17</v>
      </c>
      <c r="K1033" s="0" t="s">
        <v>3362</v>
      </c>
      <c r="L1033" s="0" t="s">
        <v>3363</v>
      </c>
      <c r="M1033" s="0" t="s">
        <v>3364</v>
      </c>
      <c r="N1033" s="0" t="s">
        <v>401</v>
      </c>
    </row>
    <row customHeight="1" ht="11.25">
      <c r="A1034" s="7657" t="s">
        <v>2195</v>
      </c>
      <c r="B1034" s="7657" t="s">
        <v>14</v>
      </c>
      <c r="C1034" s="7657" t="s">
        <v>4273</v>
      </c>
      <c r="D1034" s="7657" t="s">
        <v>4274</v>
      </c>
      <c r="E1034" s="7657" t="s">
        <v>4275</v>
      </c>
      <c r="F1034" s="7657" t="s">
        <v>2719</v>
      </c>
      <c r="G1034" s="7657" t="s">
        <v>4276</v>
      </c>
      <c r="H1034" s="7657" t="s">
        <v>17</v>
      </c>
      <c r="I1034" s="7657" t="s">
        <v>2979</v>
      </c>
      <c r="J1034" s="0" t="s">
        <v>17</v>
      </c>
      <c r="K1034" s="0" t="s">
        <v>3365</v>
      </c>
      <c r="L1034" s="0" t="s">
        <v>3363</v>
      </c>
      <c r="M1034" s="0" t="s">
        <v>3364</v>
      </c>
      <c r="N1034" s="0" t="s">
        <v>401</v>
      </c>
    </row>
    <row customHeight="1" ht="11.25">
      <c r="A1035" s="7657" t="s">
        <v>2195</v>
      </c>
      <c r="B1035" s="7657" t="s">
        <v>14</v>
      </c>
      <c r="C1035" s="7657" t="s">
        <v>2848</v>
      </c>
      <c r="D1035" s="7657" t="s">
        <v>2849</v>
      </c>
      <c r="E1035" s="7657" t="s">
        <v>2850</v>
      </c>
      <c r="F1035" s="7657" t="s">
        <v>2254</v>
      </c>
      <c r="G1035" s="7657" t="s">
        <v>2851</v>
      </c>
      <c r="H1035" s="7657" t="s">
        <v>17</v>
      </c>
      <c r="I1035" s="7657" t="s">
        <v>2851</v>
      </c>
      <c r="J1035" s="0" t="s">
        <v>17</v>
      </c>
      <c r="K1035" s="0" t="s">
        <v>3362</v>
      </c>
      <c r="L1035" s="0" t="s">
        <v>3401</v>
      </c>
      <c r="M1035" s="0" t="s">
        <v>3402</v>
      </c>
      <c r="N1035" s="0" t="s">
        <v>401</v>
      </c>
    </row>
    <row customHeight="1" ht="11.25">
      <c r="A1036" s="7657" t="s">
        <v>2195</v>
      </c>
      <c r="B1036" s="7657" t="s">
        <v>14</v>
      </c>
      <c r="C1036" s="7657" t="s">
        <v>2848</v>
      </c>
      <c r="D1036" s="7657" t="s">
        <v>2849</v>
      </c>
      <c r="E1036" s="7657" t="s">
        <v>2850</v>
      </c>
      <c r="F1036" s="7657" t="s">
        <v>2254</v>
      </c>
      <c r="G1036" s="7657" t="s">
        <v>2851</v>
      </c>
      <c r="H1036" s="7657" t="s">
        <v>17</v>
      </c>
      <c r="I1036" s="7657" t="s">
        <v>2851</v>
      </c>
      <c r="J1036" s="0" t="s">
        <v>17</v>
      </c>
      <c r="K1036" s="0" t="s">
        <v>3365</v>
      </c>
      <c r="L1036" s="0" t="s">
        <v>3401</v>
      </c>
      <c r="M1036" s="0" t="s">
        <v>3402</v>
      </c>
      <c r="N1036" s="0" t="s">
        <v>401</v>
      </c>
    </row>
    <row customHeight="1" ht="11.25">
      <c r="A1037" s="7657" t="s">
        <v>2195</v>
      </c>
      <c r="B1037" s="7657" t="s">
        <v>14</v>
      </c>
      <c r="C1037" s="7657" t="s">
        <v>4277</v>
      </c>
      <c r="D1037" s="7657" t="s">
        <v>4278</v>
      </c>
      <c r="E1037" s="7657" t="s">
        <v>4279</v>
      </c>
      <c r="F1037" s="7657" t="s">
        <v>2267</v>
      </c>
      <c r="G1037" s="7657" t="s">
        <v>4280</v>
      </c>
      <c r="H1037" s="7657" t="s">
        <v>17</v>
      </c>
      <c r="I1037" s="7657" t="s">
        <v>4280</v>
      </c>
      <c r="J1037" s="0" t="s">
        <v>17</v>
      </c>
      <c r="K1037" s="0" t="s">
        <v>3362</v>
      </c>
      <c r="L1037" s="0" t="s">
        <v>3401</v>
      </c>
      <c r="M1037" s="0" t="s">
        <v>3402</v>
      </c>
      <c r="N1037" s="0" t="s">
        <v>401</v>
      </c>
    </row>
    <row customHeight="1" ht="11.25">
      <c r="A1038" s="7657" t="s">
        <v>2195</v>
      </c>
      <c r="B1038" s="7657" t="s">
        <v>14</v>
      </c>
      <c r="C1038" s="7657" t="s">
        <v>4277</v>
      </c>
      <c r="D1038" s="7657" t="s">
        <v>4278</v>
      </c>
      <c r="E1038" s="7657" t="s">
        <v>4279</v>
      </c>
      <c r="F1038" s="7657" t="s">
        <v>2267</v>
      </c>
      <c r="G1038" s="7657" t="s">
        <v>4280</v>
      </c>
      <c r="H1038" s="7657" t="s">
        <v>17</v>
      </c>
      <c r="I1038" s="7657" t="s">
        <v>4280</v>
      </c>
      <c r="J1038" s="0" t="s">
        <v>17</v>
      </c>
      <c r="K1038" s="0" t="s">
        <v>3365</v>
      </c>
      <c r="L1038" s="0" t="s">
        <v>3401</v>
      </c>
      <c r="M1038" s="0" t="s">
        <v>3402</v>
      </c>
      <c r="N1038" s="0" t="s">
        <v>401</v>
      </c>
    </row>
    <row customHeight="1" ht="11.25">
      <c r="A1039" s="7657" t="s">
        <v>2195</v>
      </c>
      <c r="B1039" s="7657" t="s">
        <v>14</v>
      </c>
      <c r="C1039" s="7657" t="s">
        <v>4281</v>
      </c>
      <c r="D1039" s="7657" t="s">
        <v>4282</v>
      </c>
      <c r="E1039" s="7657" t="s">
        <v>4283</v>
      </c>
      <c r="F1039" s="7657" t="s">
        <v>4126</v>
      </c>
      <c r="G1039" s="7657" t="s">
        <v>4284</v>
      </c>
      <c r="H1039" s="7657" t="s">
        <v>17</v>
      </c>
      <c r="I1039" s="7657" t="s">
        <v>4285</v>
      </c>
      <c r="J1039" s="0" t="s">
        <v>17</v>
      </c>
      <c r="K1039" s="0" t="s">
        <v>3362</v>
      </c>
      <c r="L1039" s="0" t="s">
        <v>3363</v>
      </c>
      <c r="M1039" s="0" t="s">
        <v>3364</v>
      </c>
      <c r="N1039" s="0" t="s">
        <v>401</v>
      </c>
    </row>
    <row customHeight="1" ht="11.25">
      <c r="A1040" s="7657" t="s">
        <v>2195</v>
      </c>
      <c r="B1040" s="7657" t="s">
        <v>14</v>
      </c>
      <c r="C1040" s="7657" t="s">
        <v>4281</v>
      </c>
      <c r="D1040" s="7657" t="s">
        <v>4282</v>
      </c>
      <c r="E1040" s="7657" t="s">
        <v>4283</v>
      </c>
      <c r="F1040" s="7657" t="s">
        <v>4126</v>
      </c>
      <c r="G1040" s="7657" t="s">
        <v>4284</v>
      </c>
      <c r="H1040" s="7657" t="s">
        <v>17</v>
      </c>
      <c r="I1040" s="7657" t="s">
        <v>4285</v>
      </c>
      <c r="J1040" s="0" t="s">
        <v>17</v>
      </c>
      <c r="K1040" s="0" t="s">
        <v>3365</v>
      </c>
      <c r="L1040" s="0" t="s">
        <v>3363</v>
      </c>
      <c r="M1040" s="0" t="s">
        <v>3364</v>
      </c>
      <c r="N1040" s="0" t="s">
        <v>401</v>
      </c>
    </row>
    <row customHeight="1" ht="11.25">
      <c r="A1041" s="7657" t="s">
        <v>2195</v>
      </c>
      <c r="B1041" s="7657" t="s">
        <v>14</v>
      </c>
      <c r="C1041" s="7657" t="s">
        <v>4286</v>
      </c>
      <c r="D1041" s="7657" t="s">
        <v>4287</v>
      </c>
      <c r="E1041" s="7657" t="s">
        <v>4288</v>
      </c>
      <c r="F1041" s="7657" t="s">
        <v>4126</v>
      </c>
      <c r="G1041" s="7657" t="s">
        <v>4289</v>
      </c>
      <c r="H1041" s="7657" t="s">
        <v>17</v>
      </c>
      <c r="I1041" s="7657" t="s">
        <v>2426</v>
      </c>
      <c r="J1041" s="0" t="s">
        <v>17</v>
      </c>
      <c r="K1041" s="0" t="s">
        <v>3362</v>
      </c>
      <c r="L1041" s="0" t="s">
        <v>3363</v>
      </c>
      <c r="M1041" s="0" t="s">
        <v>3364</v>
      </c>
      <c r="N1041" s="0" t="s">
        <v>401</v>
      </c>
    </row>
    <row customHeight="1" ht="11.25">
      <c r="A1042" s="7657" t="s">
        <v>2195</v>
      </c>
      <c r="B1042" s="7657" t="s">
        <v>14</v>
      </c>
      <c r="C1042" s="7657" t="s">
        <v>4286</v>
      </c>
      <c r="D1042" s="7657" t="s">
        <v>4287</v>
      </c>
      <c r="E1042" s="7657" t="s">
        <v>4288</v>
      </c>
      <c r="F1042" s="7657" t="s">
        <v>4126</v>
      </c>
      <c r="G1042" s="7657" t="s">
        <v>4289</v>
      </c>
      <c r="H1042" s="7657" t="s">
        <v>17</v>
      </c>
      <c r="I1042" s="7657" t="s">
        <v>2426</v>
      </c>
      <c r="J1042" s="0" t="s">
        <v>17</v>
      </c>
      <c r="K1042" s="0" t="s">
        <v>3365</v>
      </c>
      <c r="L1042" s="0" t="s">
        <v>3363</v>
      </c>
      <c r="M1042" s="0" t="s">
        <v>3364</v>
      </c>
      <c r="N1042" s="0" t="s">
        <v>401</v>
      </c>
    </row>
    <row customHeight="1" ht="11.25">
      <c r="A1043" s="7657" t="s">
        <v>2195</v>
      </c>
      <c r="B1043" s="7657" t="s">
        <v>14</v>
      </c>
      <c r="C1043" s="7657" t="s">
        <v>4290</v>
      </c>
      <c r="D1043" s="7657" t="s">
        <v>4291</v>
      </c>
      <c r="E1043" s="7657" t="s">
        <v>4292</v>
      </c>
      <c r="F1043" s="7657" t="s">
        <v>2212</v>
      </c>
      <c r="G1043" s="7657" t="s">
        <v>17</v>
      </c>
      <c r="H1043" s="7657" t="s">
        <v>17</v>
      </c>
      <c r="I1043" s="7657" t="s">
        <v>4293</v>
      </c>
      <c r="J1043" s="0" t="s">
        <v>17</v>
      </c>
      <c r="K1043" s="0" t="s">
        <v>3362</v>
      </c>
      <c r="L1043" s="0" t="s">
        <v>3363</v>
      </c>
      <c r="M1043" s="0" t="s">
        <v>3364</v>
      </c>
      <c r="N1043" s="0" t="s">
        <v>401</v>
      </c>
    </row>
    <row customHeight="1" ht="11.25">
      <c r="A1044" s="7657" t="s">
        <v>2195</v>
      </c>
      <c r="B1044" s="7657" t="s">
        <v>14</v>
      </c>
      <c r="C1044" s="7657" t="s">
        <v>4290</v>
      </c>
      <c r="D1044" s="7657" t="s">
        <v>4291</v>
      </c>
      <c r="E1044" s="7657" t="s">
        <v>4292</v>
      </c>
      <c r="F1044" s="7657" t="s">
        <v>2212</v>
      </c>
      <c r="G1044" s="7657" t="s">
        <v>17</v>
      </c>
      <c r="H1044" s="7657" t="s">
        <v>17</v>
      </c>
      <c r="I1044" s="7657" t="s">
        <v>4293</v>
      </c>
      <c r="J1044" s="0" t="s">
        <v>17</v>
      </c>
      <c r="K1044" s="0" t="s">
        <v>3365</v>
      </c>
      <c r="L1044" s="0" t="s">
        <v>3363</v>
      </c>
      <c r="M1044" s="0" t="s">
        <v>3364</v>
      </c>
      <c r="N1044" s="0" t="s">
        <v>401</v>
      </c>
    </row>
    <row customHeight="1" ht="11.25">
      <c r="A1045" s="7657" t="s">
        <v>2195</v>
      </c>
      <c r="B1045" s="7657" t="s">
        <v>14</v>
      </c>
      <c r="C1045" s="7657" t="s">
        <v>4294</v>
      </c>
      <c r="D1045" s="7657" t="s">
        <v>4295</v>
      </c>
      <c r="E1045" s="7657" t="s">
        <v>4296</v>
      </c>
      <c r="F1045" s="7657" t="s">
        <v>2267</v>
      </c>
      <c r="G1045" s="7657" t="s">
        <v>4297</v>
      </c>
      <c r="H1045" s="7657" t="s">
        <v>17</v>
      </c>
      <c r="I1045" s="7657" t="s">
        <v>4298</v>
      </c>
      <c r="J1045" s="0" t="s">
        <v>17</v>
      </c>
      <c r="K1045" s="0" t="s">
        <v>3365</v>
      </c>
      <c r="L1045" s="0" t="s">
        <v>3374</v>
      </c>
      <c r="M1045" s="0" t="s">
        <v>3772</v>
      </c>
      <c r="N1045" s="0" t="s">
        <v>401</v>
      </c>
    </row>
    <row customHeight="1" ht="11.25">
      <c r="A1046" s="7657" t="s">
        <v>2195</v>
      </c>
      <c r="B1046" s="7657" t="s">
        <v>14</v>
      </c>
      <c r="C1046" s="7657" t="s">
        <v>4299</v>
      </c>
      <c r="D1046" s="7657" t="s">
        <v>4300</v>
      </c>
      <c r="E1046" s="7657" t="s">
        <v>4301</v>
      </c>
      <c r="F1046" s="7657" t="s">
        <v>4302</v>
      </c>
      <c r="G1046" s="7657" t="s">
        <v>4303</v>
      </c>
      <c r="H1046" s="7657" t="s">
        <v>17</v>
      </c>
      <c r="I1046" s="7657" t="s">
        <v>4303</v>
      </c>
      <c r="J1046" s="0" t="s">
        <v>17</v>
      </c>
      <c r="K1046" s="0" t="s">
        <v>3362</v>
      </c>
      <c r="L1046" s="0" t="s">
        <v>3363</v>
      </c>
      <c r="M1046" s="0" t="s">
        <v>3364</v>
      </c>
      <c r="N1046" s="0" t="s">
        <v>401</v>
      </c>
    </row>
    <row customHeight="1" ht="11.25">
      <c r="A1047" s="7657" t="s">
        <v>2195</v>
      </c>
      <c r="B1047" s="7657" t="s">
        <v>14</v>
      </c>
      <c r="C1047" s="7657" t="s">
        <v>4299</v>
      </c>
      <c r="D1047" s="7657" t="s">
        <v>4300</v>
      </c>
      <c r="E1047" s="7657" t="s">
        <v>4301</v>
      </c>
      <c r="F1047" s="7657" t="s">
        <v>4302</v>
      </c>
      <c r="G1047" s="7657" t="s">
        <v>4303</v>
      </c>
      <c r="H1047" s="7657" t="s">
        <v>17</v>
      </c>
      <c r="I1047" s="7657" t="s">
        <v>4303</v>
      </c>
      <c r="J1047" s="0" t="s">
        <v>17</v>
      </c>
      <c r="K1047" s="0" t="s">
        <v>3365</v>
      </c>
      <c r="L1047" s="0" t="s">
        <v>3363</v>
      </c>
      <c r="M1047" s="0" t="s">
        <v>3364</v>
      </c>
      <c r="N1047" s="0" t="s">
        <v>401</v>
      </c>
    </row>
    <row customHeight="1" ht="11.25">
      <c r="A1048" s="7657" t="s">
        <v>2195</v>
      </c>
      <c r="B1048" s="7657" t="s">
        <v>14</v>
      </c>
      <c r="C1048" s="7657" t="s">
        <v>4304</v>
      </c>
      <c r="D1048" s="7657" t="s">
        <v>4305</v>
      </c>
      <c r="E1048" s="7657" t="s">
        <v>4306</v>
      </c>
      <c r="F1048" s="7657" t="s">
        <v>2239</v>
      </c>
      <c r="G1048" s="7657" t="s">
        <v>4307</v>
      </c>
      <c r="H1048" s="7657" t="s">
        <v>17</v>
      </c>
      <c r="I1048" s="7657" t="s">
        <v>2340</v>
      </c>
      <c r="J1048" s="0" t="s">
        <v>17</v>
      </c>
      <c r="K1048" s="0" t="s">
        <v>3362</v>
      </c>
      <c r="L1048" s="0" t="s">
        <v>3363</v>
      </c>
      <c r="M1048" s="0" t="s">
        <v>3364</v>
      </c>
      <c r="N1048" s="0" t="s">
        <v>401</v>
      </c>
    </row>
    <row customHeight="1" ht="11.25">
      <c r="A1049" s="7657" t="s">
        <v>2195</v>
      </c>
      <c r="B1049" s="7657" t="s">
        <v>14</v>
      </c>
      <c r="C1049" s="7657" t="s">
        <v>4304</v>
      </c>
      <c r="D1049" s="7657" t="s">
        <v>4305</v>
      </c>
      <c r="E1049" s="7657" t="s">
        <v>4306</v>
      </c>
      <c r="F1049" s="7657" t="s">
        <v>2239</v>
      </c>
      <c r="G1049" s="7657" t="s">
        <v>4307</v>
      </c>
      <c r="H1049" s="7657" t="s">
        <v>17</v>
      </c>
      <c r="I1049" s="7657" t="s">
        <v>2340</v>
      </c>
      <c r="J1049" s="0" t="s">
        <v>17</v>
      </c>
      <c r="K1049" s="0" t="s">
        <v>3365</v>
      </c>
      <c r="L1049" s="0" t="s">
        <v>3363</v>
      </c>
      <c r="M1049" s="0" t="s">
        <v>3364</v>
      </c>
      <c r="N1049" s="0" t="s">
        <v>401</v>
      </c>
    </row>
    <row customHeight="1" ht="11.25">
      <c r="A1050" s="7657" t="s">
        <v>2195</v>
      </c>
      <c r="B1050" s="7657" t="s">
        <v>14</v>
      </c>
      <c r="C1050" s="7657" t="s">
        <v>4308</v>
      </c>
      <c r="D1050" s="7657" t="s">
        <v>4309</v>
      </c>
      <c r="E1050" s="7657" t="s">
        <v>4310</v>
      </c>
      <c r="F1050" s="7657" t="s">
        <v>2711</v>
      </c>
      <c r="G1050" s="7657" t="s">
        <v>4311</v>
      </c>
      <c r="H1050" s="7657" t="s">
        <v>17</v>
      </c>
      <c r="I1050" s="7657" t="s">
        <v>2552</v>
      </c>
      <c r="J1050" s="0" t="s">
        <v>17</v>
      </c>
      <c r="K1050" s="0" t="s">
        <v>3362</v>
      </c>
      <c r="L1050" s="0" t="s">
        <v>3374</v>
      </c>
      <c r="M1050" s="0" t="s">
        <v>4220</v>
      </c>
      <c r="N1050" s="0" t="s">
        <v>401</v>
      </c>
    </row>
    <row customHeight="1" ht="11.25">
      <c r="A1051" s="7657" t="s">
        <v>2195</v>
      </c>
      <c r="B1051" s="7657" t="s">
        <v>14</v>
      </c>
      <c r="C1051" s="7657" t="s">
        <v>4308</v>
      </c>
      <c r="D1051" s="7657" t="s">
        <v>4309</v>
      </c>
      <c r="E1051" s="7657" t="s">
        <v>4310</v>
      </c>
      <c r="F1051" s="7657" t="s">
        <v>2711</v>
      </c>
      <c r="G1051" s="7657" t="s">
        <v>4311</v>
      </c>
      <c r="H1051" s="7657" t="s">
        <v>17</v>
      </c>
      <c r="I1051" s="7657" t="s">
        <v>4312</v>
      </c>
      <c r="J1051" s="0" t="s">
        <v>17</v>
      </c>
      <c r="K1051" s="0" t="s">
        <v>3362</v>
      </c>
      <c r="L1051" s="0" t="s">
        <v>3374</v>
      </c>
      <c r="M1051" s="0" t="s">
        <v>3375</v>
      </c>
      <c r="N1051" s="0" t="s">
        <v>401</v>
      </c>
    </row>
    <row customHeight="1" ht="11.25">
      <c r="A1052" s="7657" t="s">
        <v>2195</v>
      </c>
      <c r="B1052" s="7657" t="s">
        <v>14</v>
      </c>
      <c r="C1052" s="7657" t="s">
        <v>4313</v>
      </c>
      <c r="D1052" s="7657" t="s">
        <v>4314</v>
      </c>
      <c r="E1052" s="7657" t="s">
        <v>4315</v>
      </c>
      <c r="F1052" s="7657" t="s">
        <v>2658</v>
      </c>
      <c r="G1052" s="7657" t="s">
        <v>4316</v>
      </c>
      <c r="H1052" s="7657" t="s">
        <v>17</v>
      </c>
      <c r="I1052" s="7657" t="s">
        <v>4317</v>
      </c>
      <c r="J1052" s="0" t="s">
        <v>4318</v>
      </c>
      <c r="K1052" s="0" t="s">
        <v>3365</v>
      </c>
      <c r="L1052" s="0" t="s">
        <v>3374</v>
      </c>
      <c r="M1052" s="0" t="s">
        <v>3772</v>
      </c>
      <c r="N1052" s="0" t="s">
        <v>401</v>
      </c>
    </row>
    <row customHeight="1" ht="11.25">
      <c r="A1053" s="7657" t="s">
        <v>2195</v>
      </c>
      <c r="B1053" s="7657" t="s">
        <v>14</v>
      </c>
      <c r="C1053" s="7657" t="s">
        <v>4313</v>
      </c>
      <c r="D1053" s="7657" t="s">
        <v>4314</v>
      </c>
      <c r="E1053" s="7657" t="s">
        <v>4315</v>
      </c>
      <c r="F1053" s="7657" t="s">
        <v>2658</v>
      </c>
      <c r="G1053" s="7657" t="s">
        <v>4316</v>
      </c>
      <c r="H1053" s="7657" t="s">
        <v>17</v>
      </c>
      <c r="I1053" s="7657" t="s">
        <v>4316</v>
      </c>
      <c r="J1053" s="0" t="s">
        <v>17</v>
      </c>
      <c r="K1053" s="0" t="s">
        <v>3362</v>
      </c>
      <c r="L1053" s="0" t="s">
        <v>3394</v>
      </c>
      <c r="M1053" s="0" t="s">
        <v>4319</v>
      </c>
      <c r="N1053" s="0" t="s">
        <v>401</v>
      </c>
    </row>
    <row customHeight="1" ht="11.25">
      <c r="A1054" s="7657" t="s">
        <v>2195</v>
      </c>
      <c r="B1054" s="7657" t="s">
        <v>14</v>
      </c>
      <c r="C1054" s="7657" t="s">
        <v>4313</v>
      </c>
      <c r="D1054" s="7657" t="s">
        <v>4314</v>
      </c>
      <c r="E1054" s="7657" t="s">
        <v>4315</v>
      </c>
      <c r="F1054" s="7657" t="s">
        <v>2658</v>
      </c>
      <c r="G1054" s="7657" t="s">
        <v>4316</v>
      </c>
      <c r="H1054" s="7657" t="s">
        <v>17</v>
      </c>
      <c r="I1054" s="7657" t="s">
        <v>4316</v>
      </c>
      <c r="J1054" s="0" t="s">
        <v>17</v>
      </c>
      <c r="K1054" s="0" t="s">
        <v>3365</v>
      </c>
      <c r="L1054" s="0" t="s">
        <v>3394</v>
      </c>
      <c r="M1054" s="0" t="s">
        <v>4319</v>
      </c>
      <c r="N1054" s="0" t="s">
        <v>401</v>
      </c>
    </row>
    <row customHeight="1" ht="11.25">
      <c r="A1055" s="7657" t="s">
        <v>2195</v>
      </c>
      <c r="B1055" s="7657" t="s">
        <v>14</v>
      </c>
      <c r="C1055" s="7657" t="s">
        <v>4313</v>
      </c>
      <c r="D1055" s="7657" t="s">
        <v>4314</v>
      </c>
      <c r="E1055" s="7657" t="s">
        <v>4315</v>
      </c>
      <c r="F1055" s="7657" t="s">
        <v>2658</v>
      </c>
      <c r="G1055" s="7657" t="s">
        <v>4316</v>
      </c>
      <c r="H1055" s="7657" t="s">
        <v>17</v>
      </c>
      <c r="I1055" s="7657" t="s">
        <v>2672</v>
      </c>
      <c r="J1055" s="0" t="s">
        <v>17</v>
      </c>
      <c r="K1055" s="0" t="s">
        <v>3362</v>
      </c>
      <c r="L1055" s="0" t="s">
        <v>3401</v>
      </c>
      <c r="M1055" s="0" t="s">
        <v>3402</v>
      </c>
      <c r="N1055" s="0" t="s">
        <v>401</v>
      </c>
    </row>
    <row customHeight="1" ht="11.25">
      <c r="A1056" s="7657" t="s">
        <v>2195</v>
      </c>
      <c r="B1056" s="7657" t="s">
        <v>14</v>
      </c>
      <c r="C1056" s="7657" t="s">
        <v>4313</v>
      </c>
      <c r="D1056" s="7657" t="s">
        <v>4314</v>
      </c>
      <c r="E1056" s="7657" t="s">
        <v>4315</v>
      </c>
      <c r="F1056" s="7657" t="s">
        <v>2658</v>
      </c>
      <c r="G1056" s="7657" t="s">
        <v>4316</v>
      </c>
      <c r="H1056" s="7657" t="s">
        <v>17</v>
      </c>
      <c r="I1056" s="7657" t="s">
        <v>2672</v>
      </c>
      <c r="J1056" s="0" t="s">
        <v>17</v>
      </c>
      <c r="K1056" s="0" t="s">
        <v>3365</v>
      </c>
      <c r="L1056" s="0" t="s">
        <v>3401</v>
      </c>
      <c r="M1056" s="0" t="s">
        <v>3402</v>
      </c>
      <c r="N1056" s="0" t="s">
        <v>401</v>
      </c>
    </row>
    <row customHeight="1" ht="11.25">
      <c r="A1057" s="7657" t="s">
        <v>2195</v>
      </c>
      <c r="B1057" s="7657" t="s">
        <v>14</v>
      </c>
      <c r="C1057" s="7657" t="s">
        <v>4313</v>
      </c>
      <c r="D1057" s="7657" t="s">
        <v>4314</v>
      </c>
      <c r="E1057" s="7657" t="s">
        <v>4315</v>
      </c>
      <c r="F1057" s="7657" t="s">
        <v>2658</v>
      </c>
      <c r="G1057" s="7657" t="s">
        <v>4316</v>
      </c>
      <c r="H1057" s="7657" t="s">
        <v>17</v>
      </c>
      <c r="I1057" s="7657" t="s">
        <v>3765</v>
      </c>
      <c r="J1057" s="0" t="s">
        <v>17</v>
      </c>
      <c r="K1057" s="0" t="s">
        <v>3362</v>
      </c>
      <c r="L1057" s="0" t="s">
        <v>3401</v>
      </c>
      <c r="M1057" s="0" t="s">
        <v>3402</v>
      </c>
      <c r="N1057" s="0" t="s">
        <v>401</v>
      </c>
    </row>
    <row customHeight="1" ht="11.25">
      <c r="A1058" s="7657" t="s">
        <v>2195</v>
      </c>
      <c r="B1058" s="7657" t="s">
        <v>14</v>
      </c>
      <c r="C1058" s="7657" t="s">
        <v>4313</v>
      </c>
      <c r="D1058" s="7657" t="s">
        <v>4314</v>
      </c>
      <c r="E1058" s="7657" t="s">
        <v>4315</v>
      </c>
      <c r="F1058" s="7657" t="s">
        <v>2658</v>
      </c>
      <c r="G1058" s="7657" t="s">
        <v>4316</v>
      </c>
      <c r="H1058" s="7657" t="s">
        <v>17</v>
      </c>
      <c r="I1058" s="7657" t="s">
        <v>3765</v>
      </c>
      <c r="J1058" s="0" t="s">
        <v>17</v>
      </c>
      <c r="K1058" s="0" t="s">
        <v>3365</v>
      </c>
      <c r="L1058" s="0" t="s">
        <v>3401</v>
      </c>
      <c r="M1058" s="0" t="s">
        <v>3402</v>
      </c>
      <c r="N1058" s="0" t="s">
        <v>401</v>
      </c>
    </row>
    <row customHeight="1" ht="11.25">
      <c r="A1059" s="7657" t="s">
        <v>2195</v>
      </c>
      <c r="B1059" s="7657" t="s">
        <v>14</v>
      </c>
      <c r="C1059" s="7657" t="s">
        <v>4313</v>
      </c>
      <c r="D1059" s="7657" t="s">
        <v>4314</v>
      </c>
      <c r="E1059" s="7657" t="s">
        <v>4315</v>
      </c>
      <c r="F1059" s="7657" t="s">
        <v>2658</v>
      </c>
      <c r="G1059" s="7657" t="s">
        <v>4316</v>
      </c>
      <c r="H1059" s="7657" t="s">
        <v>17</v>
      </c>
      <c r="I1059" s="7657" t="s">
        <v>4320</v>
      </c>
      <c r="J1059" s="0" t="s">
        <v>17</v>
      </c>
      <c r="K1059" s="0" t="s">
        <v>3362</v>
      </c>
      <c r="L1059" s="0" t="s">
        <v>3374</v>
      </c>
      <c r="M1059" s="0" t="s">
        <v>4220</v>
      </c>
      <c r="N1059" s="0" t="s">
        <v>401</v>
      </c>
    </row>
    <row customHeight="1" ht="11.25">
      <c r="A1060" s="7657" t="s">
        <v>2195</v>
      </c>
      <c r="B1060" s="7657" t="s">
        <v>14</v>
      </c>
      <c r="C1060" s="7657" t="s">
        <v>4313</v>
      </c>
      <c r="D1060" s="7657" t="s">
        <v>4314</v>
      </c>
      <c r="E1060" s="7657" t="s">
        <v>4315</v>
      </c>
      <c r="F1060" s="7657" t="s">
        <v>2658</v>
      </c>
      <c r="G1060" s="7657" t="s">
        <v>4316</v>
      </c>
      <c r="H1060" s="7657" t="s">
        <v>17</v>
      </c>
      <c r="I1060" s="7657" t="s">
        <v>2916</v>
      </c>
      <c r="J1060" s="0" t="s">
        <v>17</v>
      </c>
      <c r="K1060" s="0" t="s">
        <v>3362</v>
      </c>
      <c r="L1060" s="0" t="s">
        <v>3374</v>
      </c>
      <c r="M1060" s="0" t="s">
        <v>3375</v>
      </c>
      <c r="N1060" s="0" t="s">
        <v>401</v>
      </c>
    </row>
    <row customHeight="1" ht="11.25">
      <c r="A1061" s="7657" t="s">
        <v>2195</v>
      </c>
      <c r="B1061" s="7657" t="s">
        <v>14</v>
      </c>
      <c r="C1061" s="7657" t="s">
        <v>4313</v>
      </c>
      <c r="D1061" s="7657" t="s">
        <v>4314</v>
      </c>
      <c r="E1061" s="7657" t="s">
        <v>4315</v>
      </c>
      <c r="F1061" s="7657" t="s">
        <v>2658</v>
      </c>
      <c r="G1061" s="7657" t="s">
        <v>4316</v>
      </c>
      <c r="H1061" s="7657" t="s">
        <v>17</v>
      </c>
      <c r="I1061" s="7657" t="s">
        <v>2313</v>
      </c>
      <c r="J1061" s="0" t="s">
        <v>17</v>
      </c>
      <c r="K1061" s="0" t="s">
        <v>3362</v>
      </c>
      <c r="L1061" s="0" t="s">
        <v>3363</v>
      </c>
      <c r="M1061" s="0" t="s">
        <v>3364</v>
      </c>
      <c r="N1061" s="0" t="s">
        <v>401</v>
      </c>
    </row>
    <row customHeight="1" ht="11.25">
      <c r="A1062" s="7657" t="s">
        <v>2195</v>
      </c>
      <c r="B1062" s="7657" t="s">
        <v>14</v>
      </c>
      <c r="C1062" s="7657" t="s">
        <v>4313</v>
      </c>
      <c r="D1062" s="7657" t="s">
        <v>4314</v>
      </c>
      <c r="E1062" s="7657" t="s">
        <v>4315</v>
      </c>
      <c r="F1062" s="7657" t="s">
        <v>2658</v>
      </c>
      <c r="G1062" s="7657" t="s">
        <v>4316</v>
      </c>
      <c r="H1062" s="7657" t="s">
        <v>17</v>
      </c>
      <c r="I1062" s="7657" t="s">
        <v>2313</v>
      </c>
      <c r="J1062" s="0" t="s">
        <v>17</v>
      </c>
      <c r="K1062" s="0" t="s">
        <v>3365</v>
      </c>
      <c r="L1062" s="0" t="s">
        <v>3363</v>
      </c>
      <c r="M1062" s="0" t="s">
        <v>3364</v>
      </c>
      <c r="N1062" s="0" t="s">
        <v>401</v>
      </c>
    </row>
    <row customHeight="1" ht="11.25">
      <c r="A1063" s="7657" t="s">
        <v>2195</v>
      </c>
      <c r="B1063" s="7657" t="s">
        <v>14</v>
      </c>
      <c r="C1063" s="7657" t="s">
        <v>4313</v>
      </c>
      <c r="D1063" s="7657" t="s">
        <v>4314</v>
      </c>
      <c r="E1063" s="7657" t="s">
        <v>4315</v>
      </c>
      <c r="F1063" s="7657" t="s">
        <v>2658</v>
      </c>
      <c r="G1063" s="7657" t="s">
        <v>4316</v>
      </c>
      <c r="H1063" s="7657" t="s">
        <v>17</v>
      </c>
      <c r="I1063" s="7657" t="s">
        <v>4317</v>
      </c>
      <c r="J1063" s="0" t="s">
        <v>17</v>
      </c>
      <c r="K1063" s="0" t="s">
        <v>3362</v>
      </c>
      <c r="L1063" s="0" t="s">
        <v>3434</v>
      </c>
      <c r="M1063" s="0" t="s">
        <v>3435</v>
      </c>
      <c r="N1063" s="0" t="s">
        <v>401</v>
      </c>
    </row>
    <row customHeight="1" ht="11.25">
      <c r="A1064" s="7657" t="s">
        <v>2195</v>
      </c>
      <c r="B1064" s="7657" t="s">
        <v>14</v>
      </c>
      <c r="C1064" s="7657" t="s">
        <v>4313</v>
      </c>
      <c r="D1064" s="7657" t="s">
        <v>4314</v>
      </c>
      <c r="E1064" s="7657" t="s">
        <v>4315</v>
      </c>
      <c r="F1064" s="7657" t="s">
        <v>2658</v>
      </c>
      <c r="G1064" s="7657" t="s">
        <v>4316</v>
      </c>
      <c r="H1064" s="7657" t="s">
        <v>17</v>
      </c>
      <c r="I1064" s="7657" t="s">
        <v>4321</v>
      </c>
      <c r="J1064" s="0" t="s">
        <v>17</v>
      </c>
      <c r="K1064" s="0" t="s">
        <v>3365</v>
      </c>
      <c r="L1064" s="0" t="s">
        <v>3374</v>
      </c>
      <c r="M1064" s="0" t="s">
        <v>3772</v>
      </c>
      <c r="N1064" s="0" t="s">
        <v>401</v>
      </c>
    </row>
    <row customHeight="1" ht="11.25">
      <c r="A1065" s="7657" t="s">
        <v>2195</v>
      </c>
      <c r="B1065" s="7657" t="s">
        <v>14</v>
      </c>
      <c r="C1065" s="7657" t="s">
        <v>4322</v>
      </c>
      <c r="D1065" s="7657" t="s">
        <v>4323</v>
      </c>
      <c r="E1065" s="7657" t="s">
        <v>4324</v>
      </c>
      <c r="F1065" s="7657" t="s">
        <v>4232</v>
      </c>
      <c r="G1065" s="7657" t="s">
        <v>2534</v>
      </c>
      <c r="H1065" s="7657" t="s">
        <v>17</v>
      </c>
      <c r="I1065" s="7657" t="s">
        <v>2534</v>
      </c>
      <c r="J1065" s="0" t="s">
        <v>17</v>
      </c>
      <c r="K1065" s="0" t="s">
        <v>3362</v>
      </c>
      <c r="L1065" s="0" t="s">
        <v>3401</v>
      </c>
      <c r="M1065" s="0" t="s">
        <v>3402</v>
      </c>
      <c r="N1065" s="0" t="s">
        <v>401</v>
      </c>
    </row>
    <row customHeight="1" ht="11.25">
      <c r="A1066" s="7657" t="s">
        <v>2195</v>
      </c>
      <c r="B1066" s="7657" t="s">
        <v>14</v>
      </c>
      <c r="C1066" s="7657" t="s">
        <v>4322</v>
      </c>
      <c r="D1066" s="7657" t="s">
        <v>4323</v>
      </c>
      <c r="E1066" s="7657" t="s">
        <v>4324</v>
      </c>
      <c r="F1066" s="7657" t="s">
        <v>4232</v>
      </c>
      <c r="G1066" s="7657" t="s">
        <v>2534</v>
      </c>
      <c r="H1066" s="7657" t="s">
        <v>17</v>
      </c>
      <c r="I1066" s="7657" t="s">
        <v>2534</v>
      </c>
      <c r="J1066" s="0" t="s">
        <v>17</v>
      </c>
      <c r="K1066" s="0" t="s">
        <v>3365</v>
      </c>
      <c r="L1066" s="0" t="s">
        <v>3401</v>
      </c>
      <c r="M1066" s="0" t="s">
        <v>3402</v>
      </c>
      <c r="N1066" s="0" t="s">
        <v>401</v>
      </c>
    </row>
    <row customHeight="1" ht="11.25">
      <c r="A1067" s="7657" t="s">
        <v>2195</v>
      </c>
      <c r="B1067" s="7657" t="s">
        <v>14</v>
      </c>
      <c r="C1067" s="7657" t="s">
        <v>2917</v>
      </c>
      <c r="D1067" s="7657" t="s">
        <v>2918</v>
      </c>
      <c r="E1067" s="7657" t="s">
        <v>2919</v>
      </c>
      <c r="F1067" s="7657" t="s">
        <v>2321</v>
      </c>
      <c r="G1067" s="7657" t="s">
        <v>2920</v>
      </c>
      <c r="H1067" s="7657" t="s">
        <v>17</v>
      </c>
      <c r="I1067" s="7657" t="s">
        <v>2287</v>
      </c>
      <c r="J1067" s="0" t="s">
        <v>17</v>
      </c>
      <c r="K1067" s="0" t="s">
        <v>3362</v>
      </c>
      <c r="L1067" s="0" t="s">
        <v>3519</v>
      </c>
      <c r="M1067" s="0" t="s">
        <v>3520</v>
      </c>
      <c r="N1067" s="0" t="s">
        <v>401</v>
      </c>
    </row>
    <row customHeight="1" ht="11.25">
      <c r="A1068" s="7657" t="s">
        <v>2195</v>
      </c>
      <c r="B1068" s="7657" t="s">
        <v>14</v>
      </c>
      <c r="C1068" s="7657" t="s">
        <v>2917</v>
      </c>
      <c r="D1068" s="7657" t="s">
        <v>2918</v>
      </c>
      <c r="E1068" s="7657" t="s">
        <v>2919</v>
      </c>
      <c r="F1068" s="7657" t="s">
        <v>2321</v>
      </c>
      <c r="G1068" s="7657" t="s">
        <v>2920</v>
      </c>
      <c r="H1068" s="7657" t="s">
        <v>17</v>
      </c>
      <c r="I1068" s="7657" t="s">
        <v>2287</v>
      </c>
      <c r="J1068" s="0" t="s">
        <v>17</v>
      </c>
      <c r="K1068" s="0" t="s">
        <v>3365</v>
      </c>
      <c r="L1068" s="0" t="s">
        <v>3519</v>
      </c>
      <c r="M1068" s="0" t="s">
        <v>3520</v>
      </c>
      <c r="N1068" s="0" t="s">
        <v>401</v>
      </c>
    </row>
    <row customHeight="1" ht="11.25">
      <c r="A1069" s="7657" t="s">
        <v>2195</v>
      </c>
      <c r="B1069" s="7657" t="s">
        <v>14</v>
      </c>
      <c r="C1069" s="7657" t="s">
        <v>4325</v>
      </c>
      <c r="D1069" s="7657" t="s">
        <v>4326</v>
      </c>
      <c r="E1069" s="7657" t="s">
        <v>4327</v>
      </c>
      <c r="F1069" s="7657" t="s">
        <v>2254</v>
      </c>
      <c r="G1069" s="7657" t="s">
        <v>4328</v>
      </c>
      <c r="H1069" s="7657" t="s">
        <v>17</v>
      </c>
      <c r="I1069" s="7657" t="s">
        <v>3465</v>
      </c>
      <c r="J1069" s="0" t="s">
        <v>17</v>
      </c>
      <c r="K1069" s="0" t="s">
        <v>3365</v>
      </c>
      <c r="L1069" s="0" t="s">
        <v>3374</v>
      </c>
      <c r="M1069" s="0" t="s">
        <v>3772</v>
      </c>
      <c r="N1069" s="0" t="s">
        <v>401</v>
      </c>
    </row>
    <row customHeight="1" ht="11.25">
      <c r="A1070" s="7657" t="s">
        <v>2195</v>
      </c>
      <c r="B1070" s="7657" t="s">
        <v>14</v>
      </c>
      <c r="C1070" s="7657" t="s">
        <v>4329</v>
      </c>
      <c r="D1070" s="7657" t="s">
        <v>4330</v>
      </c>
      <c r="E1070" s="7657" t="s">
        <v>4331</v>
      </c>
      <c r="F1070" s="7657" t="s">
        <v>2254</v>
      </c>
      <c r="G1070" s="7657" t="s">
        <v>4332</v>
      </c>
      <c r="H1070" s="7657" t="s">
        <v>17</v>
      </c>
      <c r="I1070" s="7657" t="s">
        <v>2390</v>
      </c>
      <c r="J1070" s="0" t="s">
        <v>17</v>
      </c>
      <c r="K1070" s="0" t="s">
        <v>3362</v>
      </c>
      <c r="L1070" s="0" t="s">
        <v>3401</v>
      </c>
      <c r="M1070" s="0" t="s">
        <v>3402</v>
      </c>
      <c r="N1070" s="0" t="s">
        <v>401</v>
      </c>
    </row>
    <row customHeight="1" ht="11.25">
      <c r="A1071" s="7657" t="s">
        <v>2195</v>
      </c>
      <c r="B1071" s="7657" t="s">
        <v>14</v>
      </c>
      <c r="C1071" s="7657" t="s">
        <v>4329</v>
      </c>
      <c r="D1071" s="7657" t="s">
        <v>4330</v>
      </c>
      <c r="E1071" s="7657" t="s">
        <v>4331</v>
      </c>
      <c r="F1071" s="7657" t="s">
        <v>2254</v>
      </c>
      <c r="G1071" s="7657" t="s">
        <v>4332</v>
      </c>
      <c r="H1071" s="7657" t="s">
        <v>17</v>
      </c>
      <c r="I1071" s="7657" t="s">
        <v>2390</v>
      </c>
      <c r="J1071" s="0" t="s">
        <v>17</v>
      </c>
      <c r="K1071" s="0" t="s">
        <v>3365</v>
      </c>
      <c r="L1071" s="0" t="s">
        <v>3401</v>
      </c>
      <c r="M1071" s="0" t="s">
        <v>3402</v>
      </c>
      <c r="N1071" s="0" t="s">
        <v>401</v>
      </c>
    </row>
    <row customHeight="1" ht="11.25">
      <c r="A1072" s="7657" t="s">
        <v>2195</v>
      </c>
      <c r="B1072" s="7657" t="s">
        <v>14</v>
      </c>
      <c r="C1072" s="7657" t="s">
        <v>4333</v>
      </c>
      <c r="D1072" s="7657" t="s">
        <v>4334</v>
      </c>
      <c r="E1072" s="7657" t="s">
        <v>4335</v>
      </c>
      <c r="F1072" s="7657" t="s">
        <v>4336</v>
      </c>
      <c r="G1072" s="7657" t="s">
        <v>4337</v>
      </c>
      <c r="H1072" s="7657" t="s">
        <v>17</v>
      </c>
      <c r="I1072" s="7657" t="s">
        <v>2581</v>
      </c>
      <c r="J1072" s="0" t="s">
        <v>17</v>
      </c>
      <c r="K1072" s="0" t="s">
        <v>3362</v>
      </c>
      <c r="L1072" s="0" t="s">
        <v>3401</v>
      </c>
      <c r="M1072" s="0" t="s">
        <v>3402</v>
      </c>
      <c r="N1072" s="0" t="s">
        <v>401</v>
      </c>
    </row>
    <row customHeight="1" ht="11.25">
      <c r="A1073" s="7657" t="s">
        <v>2195</v>
      </c>
      <c r="B1073" s="7657" t="s">
        <v>14</v>
      </c>
      <c r="C1073" s="7657" t="s">
        <v>4333</v>
      </c>
      <c r="D1073" s="7657" t="s">
        <v>4334</v>
      </c>
      <c r="E1073" s="7657" t="s">
        <v>4335</v>
      </c>
      <c r="F1073" s="7657" t="s">
        <v>4336</v>
      </c>
      <c r="G1073" s="7657" t="s">
        <v>4337</v>
      </c>
      <c r="H1073" s="7657" t="s">
        <v>17</v>
      </c>
      <c r="I1073" s="7657" t="s">
        <v>2581</v>
      </c>
      <c r="J1073" s="0" t="s">
        <v>17</v>
      </c>
      <c r="K1073" s="0" t="s">
        <v>3365</v>
      </c>
      <c r="L1073" s="0" t="s">
        <v>3401</v>
      </c>
      <c r="M1073" s="0" t="s">
        <v>3402</v>
      </c>
      <c r="N1073" s="0" t="s">
        <v>401</v>
      </c>
    </row>
    <row customHeight="1" ht="11.25">
      <c r="A1074" s="7657" t="s">
        <v>2195</v>
      </c>
      <c r="B1074" s="7657" t="s">
        <v>14</v>
      </c>
      <c r="C1074" s="7657" t="s">
        <v>4338</v>
      </c>
      <c r="D1074" s="7657" t="s">
        <v>4339</v>
      </c>
      <c r="E1074" s="7657" t="s">
        <v>4340</v>
      </c>
      <c r="F1074" s="7657" t="s">
        <v>4341</v>
      </c>
      <c r="G1074" s="7657" t="s">
        <v>17</v>
      </c>
      <c r="H1074" s="7657" t="s">
        <v>17</v>
      </c>
      <c r="I1074" s="7657" t="s">
        <v>4342</v>
      </c>
      <c r="J1074" s="0" t="s">
        <v>17</v>
      </c>
      <c r="K1074" s="0" t="s">
        <v>3362</v>
      </c>
      <c r="L1074" s="0" t="s">
        <v>3401</v>
      </c>
      <c r="M1074" s="0" t="s">
        <v>3402</v>
      </c>
      <c r="N1074" s="0" t="s">
        <v>401</v>
      </c>
    </row>
    <row customHeight="1" ht="11.25">
      <c r="A1075" s="7657" t="s">
        <v>2195</v>
      </c>
      <c r="B1075" s="7657" t="s">
        <v>14</v>
      </c>
      <c r="C1075" s="7657" t="s">
        <v>4338</v>
      </c>
      <c r="D1075" s="7657" t="s">
        <v>4339</v>
      </c>
      <c r="E1075" s="7657" t="s">
        <v>4340</v>
      </c>
      <c r="F1075" s="7657" t="s">
        <v>4341</v>
      </c>
      <c r="G1075" s="7657" t="s">
        <v>17</v>
      </c>
      <c r="H1075" s="7657" t="s">
        <v>17</v>
      </c>
      <c r="I1075" s="7657" t="s">
        <v>4342</v>
      </c>
      <c r="J1075" s="0" t="s">
        <v>17</v>
      </c>
      <c r="K1075" s="0" t="s">
        <v>3365</v>
      </c>
      <c r="L1075" s="0" t="s">
        <v>3401</v>
      </c>
      <c r="M1075" s="0" t="s">
        <v>3402</v>
      </c>
      <c r="N1075" s="0" t="s">
        <v>401</v>
      </c>
    </row>
    <row customHeight="1" ht="11.25">
      <c r="A1076" s="7657" t="s">
        <v>2195</v>
      </c>
      <c r="B1076" s="7657" t="s">
        <v>14</v>
      </c>
      <c r="C1076" s="7657" t="s">
        <v>4343</v>
      </c>
      <c r="D1076" s="7657" t="s">
        <v>4344</v>
      </c>
      <c r="E1076" s="7657" t="s">
        <v>4345</v>
      </c>
      <c r="F1076" s="7657" t="s">
        <v>2556</v>
      </c>
      <c r="G1076" s="7657" t="s">
        <v>4346</v>
      </c>
      <c r="H1076" s="7657" t="s">
        <v>17</v>
      </c>
      <c r="I1076" s="7657" t="s">
        <v>4347</v>
      </c>
      <c r="J1076" s="0" t="s">
        <v>17</v>
      </c>
      <c r="K1076" s="0" t="s">
        <v>3362</v>
      </c>
      <c r="L1076" s="0" t="s">
        <v>3363</v>
      </c>
      <c r="M1076" s="0" t="s">
        <v>3364</v>
      </c>
      <c r="N1076" s="0" t="s">
        <v>401</v>
      </c>
    </row>
    <row customHeight="1" ht="11.25">
      <c r="A1077" s="7657" t="s">
        <v>2195</v>
      </c>
      <c r="B1077" s="7657" t="s">
        <v>14</v>
      </c>
      <c r="C1077" s="7657" t="s">
        <v>4343</v>
      </c>
      <c r="D1077" s="7657" t="s">
        <v>4344</v>
      </c>
      <c r="E1077" s="7657" t="s">
        <v>4345</v>
      </c>
      <c r="F1077" s="7657" t="s">
        <v>2556</v>
      </c>
      <c r="G1077" s="7657" t="s">
        <v>4346</v>
      </c>
      <c r="H1077" s="7657" t="s">
        <v>17</v>
      </c>
      <c r="I1077" s="7657" t="s">
        <v>4347</v>
      </c>
      <c r="J1077" s="0" t="s">
        <v>17</v>
      </c>
      <c r="K1077" s="0" t="s">
        <v>3365</v>
      </c>
      <c r="L1077" s="0" t="s">
        <v>3363</v>
      </c>
      <c r="M1077" s="0" t="s">
        <v>3364</v>
      </c>
      <c r="N1077" s="0" t="s">
        <v>401</v>
      </c>
    </row>
    <row customHeight="1" ht="11.25">
      <c r="A1078" s="7657" t="s">
        <v>2195</v>
      </c>
      <c r="B1078" s="7657" t="s">
        <v>14</v>
      </c>
      <c r="C1078" s="7657" t="s">
        <v>2960</v>
      </c>
      <c r="D1078" s="7657" t="s">
        <v>2961</v>
      </c>
      <c r="E1078" s="7657" t="s">
        <v>2962</v>
      </c>
      <c r="F1078" s="7657" t="s">
        <v>2317</v>
      </c>
      <c r="G1078" s="7657" t="s">
        <v>2963</v>
      </c>
      <c r="H1078" s="7657" t="s">
        <v>17</v>
      </c>
      <c r="I1078" s="7657" t="s">
        <v>3587</v>
      </c>
      <c r="J1078" s="0" t="s">
        <v>17</v>
      </c>
      <c r="K1078" s="0" t="s">
        <v>3362</v>
      </c>
      <c r="L1078" s="0" t="s">
        <v>3394</v>
      </c>
      <c r="M1078" s="0" t="s">
        <v>3471</v>
      </c>
      <c r="N1078" s="0" t="s">
        <v>401</v>
      </c>
    </row>
    <row customHeight="1" ht="11.25">
      <c r="A1079" s="7657" t="s">
        <v>2195</v>
      </c>
      <c r="B1079" s="7657" t="s">
        <v>14</v>
      </c>
      <c r="C1079" s="7657" t="s">
        <v>4348</v>
      </c>
      <c r="D1079" s="7657" t="s">
        <v>4349</v>
      </c>
      <c r="E1079" s="7657" t="s">
        <v>4350</v>
      </c>
      <c r="F1079" s="7657" t="s">
        <v>2856</v>
      </c>
      <c r="G1079" s="7657" t="s">
        <v>3871</v>
      </c>
      <c r="H1079" s="7657" t="s">
        <v>17</v>
      </c>
      <c r="I1079" s="7657" t="s">
        <v>4351</v>
      </c>
      <c r="J1079" s="0" t="s">
        <v>17</v>
      </c>
      <c r="K1079" s="0" t="s">
        <v>3362</v>
      </c>
      <c r="L1079" s="0" t="s">
        <v>3363</v>
      </c>
      <c r="M1079" s="0" t="s">
        <v>3364</v>
      </c>
      <c r="N1079" s="0" t="s">
        <v>401</v>
      </c>
    </row>
    <row customHeight="1" ht="11.25">
      <c r="A1080" s="7657" t="s">
        <v>2195</v>
      </c>
      <c r="B1080" s="7657" t="s">
        <v>14</v>
      </c>
      <c r="C1080" s="7657" t="s">
        <v>4348</v>
      </c>
      <c r="D1080" s="7657" t="s">
        <v>4349</v>
      </c>
      <c r="E1080" s="7657" t="s">
        <v>4350</v>
      </c>
      <c r="F1080" s="7657" t="s">
        <v>2856</v>
      </c>
      <c r="G1080" s="7657" t="s">
        <v>3871</v>
      </c>
      <c r="H1080" s="7657" t="s">
        <v>17</v>
      </c>
      <c r="I1080" s="7657" t="s">
        <v>4351</v>
      </c>
      <c r="J1080" s="0" t="s">
        <v>17</v>
      </c>
      <c r="K1080" s="0" t="s">
        <v>3365</v>
      </c>
      <c r="L1080" s="0" t="s">
        <v>3363</v>
      </c>
      <c r="M1080" s="0" t="s">
        <v>3364</v>
      </c>
      <c r="N1080" s="0" t="s">
        <v>401</v>
      </c>
    </row>
    <row customHeight="1" ht="11.25">
      <c r="A1081" s="7657" t="s">
        <v>2195</v>
      </c>
      <c r="B1081" s="7657" t="s">
        <v>14</v>
      </c>
      <c r="C1081" s="7657" t="s">
        <v>4352</v>
      </c>
      <c r="D1081" s="7657" t="s">
        <v>4353</v>
      </c>
      <c r="E1081" s="7657" t="s">
        <v>4354</v>
      </c>
      <c r="F1081" s="7657" t="s">
        <v>2556</v>
      </c>
      <c r="G1081" s="7657" t="s">
        <v>4355</v>
      </c>
      <c r="H1081" s="7657" t="s">
        <v>17</v>
      </c>
      <c r="I1081" s="7657" t="s">
        <v>3091</v>
      </c>
      <c r="J1081" s="0" t="s">
        <v>17</v>
      </c>
      <c r="K1081" s="0" t="s">
        <v>3362</v>
      </c>
      <c r="L1081" s="0" t="s">
        <v>3363</v>
      </c>
      <c r="M1081" s="0" t="s">
        <v>3364</v>
      </c>
      <c r="N1081" s="0" t="s">
        <v>401</v>
      </c>
    </row>
    <row customHeight="1" ht="11.25">
      <c r="A1082" s="7657" t="s">
        <v>2195</v>
      </c>
      <c r="B1082" s="7657" t="s">
        <v>14</v>
      </c>
      <c r="C1082" s="7657" t="s">
        <v>4352</v>
      </c>
      <c r="D1082" s="7657" t="s">
        <v>4353</v>
      </c>
      <c r="E1082" s="7657" t="s">
        <v>4354</v>
      </c>
      <c r="F1082" s="7657" t="s">
        <v>2556</v>
      </c>
      <c r="G1082" s="7657" t="s">
        <v>4355</v>
      </c>
      <c r="H1082" s="7657" t="s">
        <v>17</v>
      </c>
      <c r="I1082" s="7657" t="s">
        <v>3091</v>
      </c>
      <c r="J1082" s="0" t="s">
        <v>17</v>
      </c>
      <c r="K1082" s="0" t="s">
        <v>3365</v>
      </c>
      <c r="L1082" s="0" t="s">
        <v>3363</v>
      </c>
      <c r="M1082" s="0" t="s">
        <v>3364</v>
      </c>
      <c r="N1082" s="0" t="s">
        <v>401</v>
      </c>
    </row>
    <row customHeight="1" ht="11.25">
      <c r="A1083" s="7657" t="s">
        <v>2195</v>
      </c>
      <c r="B1083" s="7657" t="s">
        <v>14</v>
      </c>
      <c r="C1083" s="7657" t="s">
        <v>3053</v>
      </c>
      <c r="D1083" s="7657" t="s">
        <v>3054</v>
      </c>
      <c r="E1083" s="7657" t="s">
        <v>3055</v>
      </c>
      <c r="F1083" s="7657" t="s">
        <v>2199</v>
      </c>
      <c r="G1083" s="7657" t="s">
        <v>3056</v>
      </c>
      <c r="H1083" s="7657" t="s">
        <v>17</v>
      </c>
      <c r="I1083" s="7657" t="s">
        <v>2228</v>
      </c>
      <c r="J1083" s="0" t="s">
        <v>17</v>
      </c>
      <c r="K1083" s="0" t="s">
        <v>3362</v>
      </c>
      <c r="L1083" s="0" t="s">
        <v>3363</v>
      </c>
      <c r="M1083" s="0" t="s">
        <v>3364</v>
      </c>
      <c r="N1083" s="0" t="s">
        <v>401</v>
      </c>
    </row>
    <row customHeight="1" ht="11.25">
      <c r="A1084" s="7657" t="s">
        <v>2195</v>
      </c>
      <c r="B1084" s="7657" t="s">
        <v>14</v>
      </c>
      <c r="C1084" s="7657" t="s">
        <v>3053</v>
      </c>
      <c r="D1084" s="7657" t="s">
        <v>3054</v>
      </c>
      <c r="E1084" s="7657" t="s">
        <v>3055</v>
      </c>
      <c r="F1084" s="7657" t="s">
        <v>2199</v>
      </c>
      <c r="G1084" s="7657" t="s">
        <v>3056</v>
      </c>
      <c r="H1084" s="7657" t="s">
        <v>17</v>
      </c>
      <c r="I1084" s="7657" t="s">
        <v>2228</v>
      </c>
      <c r="J1084" s="0" t="s">
        <v>17</v>
      </c>
      <c r="K1084" s="0" t="s">
        <v>3365</v>
      </c>
      <c r="L1084" s="0" t="s">
        <v>3363</v>
      </c>
      <c r="M1084" s="0" t="s">
        <v>3364</v>
      </c>
      <c r="N1084" s="0" t="s">
        <v>401</v>
      </c>
    </row>
    <row customHeight="1" ht="11.25">
      <c r="A1085" s="7657" t="s">
        <v>2195</v>
      </c>
      <c r="B1085" s="7657" t="s">
        <v>14</v>
      </c>
      <c r="C1085" s="7657" t="s">
        <v>3057</v>
      </c>
      <c r="D1085" s="7657" t="s">
        <v>3058</v>
      </c>
      <c r="E1085" s="7657" t="s">
        <v>3059</v>
      </c>
      <c r="F1085" s="7657" t="s">
        <v>2239</v>
      </c>
      <c r="G1085" s="7657" t="s">
        <v>3060</v>
      </c>
      <c r="H1085" s="7657" t="s">
        <v>17</v>
      </c>
      <c r="I1085" s="7657" t="s">
        <v>3065</v>
      </c>
      <c r="J1085" s="0" t="s">
        <v>17</v>
      </c>
      <c r="K1085" s="0" t="s">
        <v>3362</v>
      </c>
      <c r="L1085" s="0" t="s">
        <v>3401</v>
      </c>
      <c r="M1085" s="0" t="s">
        <v>3402</v>
      </c>
      <c r="N1085" s="0" t="s">
        <v>401</v>
      </c>
    </row>
    <row customHeight="1" ht="11.25">
      <c r="A1086" s="7657" t="s">
        <v>2195</v>
      </c>
      <c r="B1086" s="7657" t="s">
        <v>14</v>
      </c>
      <c r="C1086" s="7657" t="s">
        <v>3057</v>
      </c>
      <c r="D1086" s="7657" t="s">
        <v>3058</v>
      </c>
      <c r="E1086" s="7657" t="s">
        <v>3059</v>
      </c>
      <c r="F1086" s="7657" t="s">
        <v>2239</v>
      </c>
      <c r="G1086" s="7657" t="s">
        <v>3060</v>
      </c>
      <c r="H1086" s="7657" t="s">
        <v>17</v>
      </c>
      <c r="I1086" s="7657" t="s">
        <v>3065</v>
      </c>
      <c r="J1086" s="0" t="s">
        <v>17</v>
      </c>
      <c r="K1086" s="0" t="s">
        <v>3365</v>
      </c>
      <c r="L1086" s="0" t="s">
        <v>3401</v>
      </c>
      <c r="M1086" s="0" t="s">
        <v>3402</v>
      </c>
      <c r="N1086" s="0" t="s">
        <v>401</v>
      </c>
    </row>
    <row customHeight="1" ht="11.25">
      <c r="A1087" s="7657" t="s">
        <v>2195</v>
      </c>
      <c r="B1087" s="7657" t="s">
        <v>14</v>
      </c>
      <c r="C1087" s="7657" t="s">
        <v>4356</v>
      </c>
      <c r="D1087" s="7657" t="s">
        <v>4357</v>
      </c>
      <c r="E1087" s="7657" t="s">
        <v>4358</v>
      </c>
      <c r="F1087" s="7657" t="s">
        <v>4359</v>
      </c>
      <c r="G1087" s="7657" t="s">
        <v>2949</v>
      </c>
      <c r="H1087" s="7657" t="s">
        <v>17</v>
      </c>
      <c r="I1087" s="7657" t="s">
        <v>4360</v>
      </c>
      <c r="J1087" s="0" t="s">
        <v>17</v>
      </c>
      <c r="K1087" s="0" t="s">
        <v>3362</v>
      </c>
      <c r="L1087" s="0" t="s">
        <v>3434</v>
      </c>
      <c r="M1087" s="0" t="s">
        <v>3435</v>
      </c>
      <c r="N1087" s="0" t="s">
        <v>401</v>
      </c>
    </row>
    <row customHeight="1" ht="11.25">
      <c r="A1088" s="7657" t="s">
        <v>2195</v>
      </c>
      <c r="B1088" s="7657" t="s">
        <v>14</v>
      </c>
      <c r="C1088" s="7657" t="s">
        <v>4361</v>
      </c>
      <c r="D1088" s="7657" t="s">
        <v>4362</v>
      </c>
      <c r="E1088" s="7657" t="s">
        <v>4363</v>
      </c>
      <c r="F1088" s="7657" t="s">
        <v>2599</v>
      </c>
      <c r="G1088" s="7657" t="s">
        <v>4364</v>
      </c>
      <c r="H1088" s="7657" t="s">
        <v>17</v>
      </c>
      <c r="I1088" s="7657" t="s">
        <v>4364</v>
      </c>
      <c r="J1088" s="0" t="s">
        <v>17</v>
      </c>
      <c r="K1088" s="0" t="s">
        <v>3362</v>
      </c>
      <c r="L1088" s="0" t="s">
        <v>3363</v>
      </c>
      <c r="M1088" s="0" t="s">
        <v>3364</v>
      </c>
      <c r="N1088" s="0" t="s">
        <v>401</v>
      </c>
    </row>
    <row customHeight="1" ht="11.25">
      <c r="A1089" s="7657" t="s">
        <v>2195</v>
      </c>
      <c r="B1089" s="7657" t="s">
        <v>14</v>
      </c>
      <c r="C1089" s="7657" t="s">
        <v>4361</v>
      </c>
      <c r="D1089" s="7657" t="s">
        <v>4362</v>
      </c>
      <c r="E1089" s="7657" t="s">
        <v>4363</v>
      </c>
      <c r="F1089" s="7657" t="s">
        <v>2599</v>
      </c>
      <c r="G1089" s="7657" t="s">
        <v>4364</v>
      </c>
      <c r="H1089" s="7657" t="s">
        <v>17</v>
      </c>
      <c r="I1089" s="7657" t="s">
        <v>4364</v>
      </c>
      <c r="J1089" s="0" t="s">
        <v>17</v>
      </c>
      <c r="K1089" s="0" t="s">
        <v>3365</v>
      </c>
      <c r="L1089" s="0" t="s">
        <v>3363</v>
      </c>
      <c r="M1089" s="0" t="s">
        <v>3364</v>
      </c>
      <c r="N1089" s="0" t="s">
        <v>401</v>
      </c>
    </row>
    <row customHeight="1" ht="11.25">
      <c r="A1090" s="7657" t="s">
        <v>2195</v>
      </c>
      <c r="B1090" s="7657" t="s">
        <v>14</v>
      </c>
      <c r="C1090" s="7657" t="s">
        <v>4365</v>
      </c>
      <c r="D1090" s="7657" t="s">
        <v>4366</v>
      </c>
      <c r="E1090" s="7657" t="s">
        <v>4367</v>
      </c>
      <c r="F1090" s="7657" t="s">
        <v>2624</v>
      </c>
      <c r="G1090" s="7657" t="s">
        <v>4368</v>
      </c>
      <c r="H1090" s="7657" t="s">
        <v>17</v>
      </c>
      <c r="I1090" s="7657" t="s">
        <v>2645</v>
      </c>
      <c r="J1090" s="0" t="s">
        <v>4369</v>
      </c>
      <c r="K1090" s="0" t="s">
        <v>3362</v>
      </c>
      <c r="L1090" s="0" t="s">
        <v>3480</v>
      </c>
      <c r="M1090" s="0" t="s">
        <v>3481</v>
      </c>
      <c r="N1090" s="0" t="s">
        <v>401</v>
      </c>
    </row>
    <row customHeight="1" ht="11.25">
      <c r="A1091" s="7657" t="s">
        <v>2195</v>
      </c>
      <c r="B1091" s="7657" t="s">
        <v>14</v>
      </c>
      <c r="C1091" s="7657" t="s">
        <v>4365</v>
      </c>
      <c r="D1091" s="7657" t="s">
        <v>4366</v>
      </c>
      <c r="E1091" s="7657" t="s">
        <v>4367</v>
      </c>
      <c r="F1091" s="7657" t="s">
        <v>2624</v>
      </c>
      <c r="G1091" s="7657" t="s">
        <v>4368</v>
      </c>
      <c r="H1091" s="7657" t="s">
        <v>17</v>
      </c>
      <c r="I1091" s="7657" t="s">
        <v>4368</v>
      </c>
      <c r="J1091" s="0" t="s">
        <v>17</v>
      </c>
      <c r="K1091" s="0" t="s">
        <v>3362</v>
      </c>
      <c r="L1091" s="0" t="s">
        <v>3394</v>
      </c>
      <c r="M1091" s="0" t="s">
        <v>3395</v>
      </c>
      <c r="N1091" s="0" t="s">
        <v>401</v>
      </c>
    </row>
    <row customHeight="1" ht="11.25">
      <c r="A1092" s="7657" t="s">
        <v>2195</v>
      </c>
      <c r="B1092" s="7657" t="s">
        <v>14</v>
      </c>
      <c r="C1092" s="7657" t="s">
        <v>4365</v>
      </c>
      <c r="D1092" s="7657" t="s">
        <v>4366</v>
      </c>
      <c r="E1092" s="7657" t="s">
        <v>4367</v>
      </c>
      <c r="F1092" s="7657" t="s">
        <v>2624</v>
      </c>
      <c r="G1092" s="7657" t="s">
        <v>4368</v>
      </c>
      <c r="H1092" s="7657" t="s">
        <v>17</v>
      </c>
      <c r="I1092" s="7657" t="s">
        <v>4368</v>
      </c>
      <c r="J1092" s="0" t="s">
        <v>17</v>
      </c>
      <c r="K1092" s="0" t="s">
        <v>3365</v>
      </c>
      <c r="L1092" s="0" t="s">
        <v>3394</v>
      </c>
      <c r="M1092" s="0" t="s">
        <v>3395</v>
      </c>
      <c r="N1092" s="0" t="s">
        <v>401</v>
      </c>
    </row>
    <row customHeight="1" ht="11.25">
      <c r="A1093" s="7657" t="s">
        <v>2195</v>
      </c>
      <c r="B1093" s="7657" t="s">
        <v>14</v>
      </c>
      <c r="C1093" s="7657" t="s">
        <v>4365</v>
      </c>
      <c r="D1093" s="7657" t="s">
        <v>4366</v>
      </c>
      <c r="E1093" s="7657" t="s">
        <v>4367</v>
      </c>
      <c r="F1093" s="7657" t="s">
        <v>2624</v>
      </c>
      <c r="G1093" s="7657" t="s">
        <v>4368</v>
      </c>
      <c r="H1093" s="7657" t="s">
        <v>17</v>
      </c>
      <c r="I1093" s="7657" t="s">
        <v>2645</v>
      </c>
      <c r="J1093" s="0" t="s">
        <v>17</v>
      </c>
      <c r="K1093" s="0" t="s">
        <v>3362</v>
      </c>
      <c r="L1093" s="0" t="s">
        <v>3423</v>
      </c>
      <c r="M1093" s="0" t="s">
        <v>3659</v>
      </c>
      <c r="N1093" s="0" t="s">
        <v>401</v>
      </c>
    </row>
    <row customHeight="1" ht="11.25">
      <c r="A1094" s="7657" t="s">
        <v>2195</v>
      </c>
      <c r="B1094" s="7657" t="s">
        <v>14</v>
      </c>
      <c r="C1094" s="7657" t="s">
        <v>4365</v>
      </c>
      <c r="D1094" s="7657" t="s">
        <v>4366</v>
      </c>
      <c r="E1094" s="7657" t="s">
        <v>4367</v>
      </c>
      <c r="F1094" s="7657" t="s">
        <v>2624</v>
      </c>
      <c r="G1094" s="7657" t="s">
        <v>4368</v>
      </c>
      <c r="H1094" s="7657" t="s">
        <v>17</v>
      </c>
      <c r="I1094" s="7657" t="s">
        <v>2645</v>
      </c>
      <c r="J1094" s="0" t="s">
        <v>17</v>
      </c>
      <c r="K1094" s="0" t="s">
        <v>3365</v>
      </c>
      <c r="L1094" s="0" t="s">
        <v>3423</v>
      </c>
      <c r="M1094" s="0" t="s">
        <v>3659</v>
      </c>
      <c r="N1094" s="0" t="s">
        <v>401</v>
      </c>
    </row>
    <row customHeight="1" ht="11.25">
      <c r="A1095" s="7657" t="s">
        <v>2195</v>
      </c>
      <c r="B1095" s="7657" t="s">
        <v>14</v>
      </c>
      <c r="C1095" s="7657" t="s">
        <v>4365</v>
      </c>
      <c r="D1095" s="7657" t="s">
        <v>4366</v>
      </c>
      <c r="E1095" s="7657" t="s">
        <v>4367</v>
      </c>
      <c r="F1095" s="7657" t="s">
        <v>2624</v>
      </c>
      <c r="G1095" s="7657" t="s">
        <v>4368</v>
      </c>
      <c r="H1095" s="7657" t="s">
        <v>17</v>
      </c>
      <c r="I1095" s="7657" t="s">
        <v>4370</v>
      </c>
      <c r="J1095" s="0" t="s">
        <v>17</v>
      </c>
      <c r="K1095" s="0" t="s">
        <v>3362</v>
      </c>
      <c r="L1095" s="0" t="s">
        <v>3480</v>
      </c>
      <c r="M1095" s="0" t="s">
        <v>3481</v>
      </c>
      <c r="N1095" s="0" t="s">
        <v>401</v>
      </c>
    </row>
    <row customHeight="1" ht="11.25">
      <c r="A1096" s="7657" t="s">
        <v>2195</v>
      </c>
      <c r="B1096" s="7657" t="s">
        <v>14</v>
      </c>
      <c r="C1096" s="7657" t="s">
        <v>4371</v>
      </c>
      <c r="D1096" s="7657" t="s">
        <v>4372</v>
      </c>
      <c r="E1096" s="7657" t="s">
        <v>4373</v>
      </c>
      <c r="F1096" s="7657" t="s">
        <v>3754</v>
      </c>
      <c r="G1096" s="7657" t="s">
        <v>3841</v>
      </c>
      <c r="H1096" s="7657" t="s">
        <v>17</v>
      </c>
      <c r="I1096" s="7657" t="s">
        <v>3841</v>
      </c>
      <c r="J1096" s="0" t="s">
        <v>17</v>
      </c>
      <c r="K1096" s="0" t="s">
        <v>3362</v>
      </c>
      <c r="L1096" s="0" t="s">
        <v>3401</v>
      </c>
      <c r="M1096" s="0" t="s">
        <v>3402</v>
      </c>
      <c r="N1096" s="0" t="s">
        <v>401</v>
      </c>
    </row>
    <row customHeight="1" ht="11.25">
      <c r="A1097" s="7657" t="s">
        <v>2195</v>
      </c>
      <c r="B1097" s="7657" t="s">
        <v>14</v>
      </c>
      <c r="C1097" s="7657" t="s">
        <v>4371</v>
      </c>
      <c r="D1097" s="7657" t="s">
        <v>4372</v>
      </c>
      <c r="E1097" s="7657" t="s">
        <v>4373</v>
      </c>
      <c r="F1097" s="7657" t="s">
        <v>3754</v>
      </c>
      <c r="G1097" s="7657" t="s">
        <v>3841</v>
      </c>
      <c r="H1097" s="7657" t="s">
        <v>17</v>
      </c>
      <c r="I1097" s="7657" t="s">
        <v>3841</v>
      </c>
      <c r="J1097" s="0" t="s">
        <v>17</v>
      </c>
      <c r="K1097" s="0" t="s">
        <v>3365</v>
      </c>
      <c r="L1097" s="0" t="s">
        <v>3401</v>
      </c>
      <c r="M1097" s="0" t="s">
        <v>3402</v>
      </c>
      <c r="N1097" s="0" t="s">
        <v>401</v>
      </c>
    </row>
    <row customHeight="1" ht="11.25">
      <c r="A1098" s="7657" t="s">
        <v>2195</v>
      </c>
      <c r="B1098" s="7657" t="s">
        <v>14</v>
      </c>
      <c r="C1098" s="7657" t="s">
        <v>3099</v>
      </c>
      <c r="D1098" s="7657" t="s">
        <v>3100</v>
      </c>
      <c r="E1098" s="7657" t="s">
        <v>3101</v>
      </c>
      <c r="F1098" s="7657" t="s">
        <v>2254</v>
      </c>
      <c r="G1098" s="7657" t="s">
        <v>3102</v>
      </c>
      <c r="H1098" s="7657" t="s">
        <v>17</v>
      </c>
      <c r="I1098" s="7657" t="s">
        <v>4374</v>
      </c>
      <c r="J1098" s="0" t="s">
        <v>17</v>
      </c>
      <c r="K1098" s="0" t="s">
        <v>3362</v>
      </c>
      <c r="L1098" s="0" t="s">
        <v>3401</v>
      </c>
      <c r="M1098" s="0" t="s">
        <v>3402</v>
      </c>
      <c r="N1098" s="0" t="s">
        <v>401</v>
      </c>
    </row>
    <row customHeight="1" ht="11.25">
      <c r="A1099" s="7657" t="s">
        <v>2195</v>
      </c>
      <c r="B1099" s="7657" t="s">
        <v>14</v>
      </c>
      <c r="C1099" s="7657" t="s">
        <v>3099</v>
      </c>
      <c r="D1099" s="7657" t="s">
        <v>3100</v>
      </c>
      <c r="E1099" s="7657" t="s">
        <v>3101</v>
      </c>
      <c r="F1099" s="7657" t="s">
        <v>2254</v>
      </c>
      <c r="G1099" s="7657" t="s">
        <v>3102</v>
      </c>
      <c r="H1099" s="7657" t="s">
        <v>17</v>
      </c>
      <c r="I1099" s="7657" t="s">
        <v>4374</v>
      </c>
      <c r="J1099" s="0" t="s">
        <v>17</v>
      </c>
      <c r="K1099" s="0" t="s">
        <v>3365</v>
      </c>
      <c r="L1099" s="0" t="s">
        <v>3401</v>
      </c>
      <c r="M1099" s="0" t="s">
        <v>3402</v>
      </c>
      <c r="N1099" s="0" t="s">
        <v>401</v>
      </c>
    </row>
    <row customHeight="1" ht="11.25">
      <c r="A1100" s="7657" t="s">
        <v>2195</v>
      </c>
      <c r="B1100" s="7657" t="s">
        <v>14</v>
      </c>
      <c r="C1100" s="7657" t="s">
        <v>3099</v>
      </c>
      <c r="D1100" s="7657" t="s">
        <v>3100</v>
      </c>
      <c r="E1100" s="7657" t="s">
        <v>3101</v>
      </c>
      <c r="F1100" s="7657" t="s">
        <v>2254</v>
      </c>
      <c r="G1100" s="7657" t="s">
        <v>3102</v>
      </c>
      <c r="H1100" s="7657" t="s">
        <v>17</v>
      </c>
      <c r="I1100" s="7657" t="s">
        <v>4374</v>
      </c>
      <c r="J1100" s="0" t="s">
        <v>17</v>
      </c>
      <c r="K1100" s="0" t="s">
        <v>3362</v>
      </c>
      <c r="L1100" s="0" t="s">
        <v>3519</v>
      </c>
      <c r="M1100" s="0" t="s">
        <v>3520</v>
      </c>
      <c r="N1100" s="0" t="s">
        <v>401</v>
      </c>
    </row>
    <row customHeight="1" ht="11.25">
      <c r="A1101" s="7657" t="s">
        <v>2195</v>
      </c>
      <c r="B1101" s="7657" t="s">
        <v>14</v>
      </c>
      <c r="C1101" s="7657" t="s">
        <v>3099</v>
      </c>
      <c r="D1101" s="7657" t="s">
        <v>3100</v>
      </c>
      <c r="E1101" s="7657" t="s">
        <v>3101</v>
      </c>
      <c r="F1101" s="7657" t="s">
        <v>2254</v>
      </c>
      <c r="G1101" s="7657" t="s">
        <v>3102</v>
      </c>
      <c r="H1101" s="7657" t="s">
        <v>17</v>
      </c>
      <c r="I1101" s="7657" t="s">
        <v>4374</v>
      </c>
      <c r="J1101" s="0" t="s">
        <v>17</v>
      </c>
      <c r="K1101" s="0" t="s">
        <v>3365</v>
      </c>
      <c r="L1101" s="0" t="s">
        <v>3519</v>
      </c>
      <c r="M1101" s="0" t="s">
        <v>3520</v>
      </c>
      <c r="N1101" s="0" t="s">
        <v>401</v>
      </c>
    </row>
    <row customHeight="1" ht="11.25">
      <c r="A1102" s="7657" t="s">
        <v>2195</v>
      </c>
      <c r="B1102" s="7657" t="s">
        <v>14</v>
      </c>
      <c r="C1102" s="7657" t="s">
        <v>4375</v>
      </c>
      <c r="D1102" s="7657" t="s">
        <v>4376</v>
      </c>
      <c r="E1102" s="7657" t="s">
        <v>4377</v>
      </c>
      <c r="F1102" s="7657" t="s">
        <v>2254</v>
      </c>
      <c r="G1102" s="7657" t="s">
        <v>4378</v>
      </c>
      <c r="H1102" s="7657" t="s">
        <v>17</v>
      </c>
      <c r="I1102" s="7657" t="s">
        <v>2240</v>
      </c>
      <c r="J1102" s="0" t="s">
        <v>17</v>
      </c>
      <c r="K1102" s="0" t="s">
        <v>3362</v>
      </c>
      <c r="L1102" s="0" t="s">
        <v>3401</v>
      </c>
      <c r="M1102" s="0" t="s">
        <v>3402</v>
      </c>
      <c r="N1102" s="0" t="s">
        <v>401</v>
      </c>
    </row>
    <row customHeight="1" ht="11.25">
      <c r="A1103" s="7657" t="s">
        <v>2195</v>
      </c>
      <c r="B1103" s="7657" t="s">
        <v>14</v>
      </c>
      <c r="C1103" s="7657" t="s">
        <v>4375</v>
      </c>
      <c r="D1103" s="7657" t="s">
        <v>4376</v>
      </c>
      <c r="E1103" s="7657" t="s">
        <v>4377</v>
      </c>
      <c r="F1103" s="7657" t="s">
        <v>2254</v>
      </c>
      <c r="G1103" s="7657" t="s">
        <v>4378</v>
      </c>
      <c r="H1103" s="7657" t="s">
        <v>17</v>
      </c>
      <c r="I1103" s="7657" t="s">
        <v>2240</v>
      </c>
      <c r="J1103" s="0" t="s">
        <v>17</v>
      </c>
      <c r="K1103" s="0" t="s">
        <v>3365</v>
      </c>
      <c r="L1103" s="0" t="s">
        <v>3401</v>
      </c>
      <c r="M1103" s="0" t="s">
        <v>3402</v>
      </c>
      <c r="N1103" s="0" t="s">
        <v>401</v>
      </c>
    </row>
    <row customHeight="1" ht="11.25">
      <c r="A1104" s="7657" t="s">
        <v>2195</v>
      </c>
      <c r="B1104" s="7657" t="s">
        <v>14</v>
      </c>
      <c r="C1104" s="7657" t="s">
        <v>3109</v>
      </c>
      <c r="D1104" s="7657" t="s">
        <v>3110</v>
      </c>
      <c r="E1104" s="7657" t="s">
        <v>3111</v>
      </c>
      <c r="F1104" s="7657" t="s">
        <v>2212</v>
      </c>
      <c r="G1104" s="7657" t="s">
        <v>17</v>
      </c>
      <c r="H1104" s="7657" t="s">
        <v>17</v>
      </c>
      <c r="I1104" s="7657" t="s">
        <v>2228</v>
      </c>
      <c r="J1104" s="0" t="s">
        <v>17</v>
      </c>
      <c r="K1104" s="0" t="s">
        <v>3362</v>
      </c>
      <c r="L1104" s="0" t="s">
        <v>3363</v>
      </c>
      <c r="M1104" s="0" t="s">
        <v>3364</v>
      </c>
      <c r="N1104" s="0" t="s">
        <v>401</v>
      </c>
    </row>
    <row customHeight="1" ht="11.25">
      <c r="A1105" s="7657" t="s">
        <v>2195</v>
      </c>
      <c r="B1105" s="7657" t="s">
        <v>14</v>
      </c>
      <c r="C1105" s="7657" t="s">
        <v>3109</v>
      </c>
      <c r="D1105" s="7657" t="s">
        <v>3110</v>
      </c>
      <c r="E1105" s="7657" t="s">
        <v>3111</v>
      </c>
      <c r="F1105" s="7657" t="s">
        <v>2212</v>
      </c>
      <c r="G1105" s="7657" t="s">
        <v>17</v>
      </c>
      <c r="H1105" s="7657" t="s">
        <v>17</v>
      </c>
      <c r="I1105" s="7657" t="s">
        <v>2228</v>
      </c>
      <c r="J1105" s="0" t="s">
        <v>17</v>
      </c>
      <c r="K1105" s="0" t="s">
        <v>3365</v>
      </c>
      <c r="L1105" s="0" t="s">
        <v>3363</v>
      </c>
      <c r="M1105" s="0" t="s">
        <v>3364</v>
      </c>
      <c r="N1105" s="0" t="s">
        <v>401</v>
      </c>
    </row>
    <row customHeight="1" ht="11.25">
      <c r="A1106" s="7657" t="s">
        <v>2195</v>
      </c>
      <c r="B1106" s="7657" t="s">
        <v>14</v>
      </c>
      <c r="C1106" s="7657" t="s">
        <v>4379</v>
      </c>
      <c r="D1106" s="7657" t="s">
        <v>4380</v>
      </c>
      <c r="E1106" s="7657" t="s">
        <v>4381</v>
      </c>
      <c r="F1106" s="7657" t="s">
        <v>2321</v>
      </c>
      <c r="G1106" s="7657" t="s">
        <v>4382</v>
      </c>
      <c r="H1106" s="7657" t="s">
        <v>17</v>
      </c>
      <c r="I1106" s="7657" t="s">
        <v>4383</v>
      </c>
      <c r="J1106" s="0" t="s">
        <v>17</v>
      </c>
      <c r="K1106" s="0" t="s">
        <v>3362</v>
      </c>
      <c r="L1106" s="0" t="s">
        <v>3363</v>
      </c>
      <c r="M1106" s="0" t="s">
        <v>3364</v>
      </c>
      <c r="N1106" s="0" t="s">
        <v>401</v>
      </c>
    </row>
    <row customHeight="1" ht="11.25">
      <c r="A1107" s="7657" t="s">
        <v>2195</v>
      </c>
      <c r="B1107" s="7657" t="s">
        <v>14</v>
      </c>
      <c r="C1107" s="7657" t="s">
        <v>4379</v>
      </c>
      <c r="D1107" s="7657" t="s">
        <v>4380</v>
      </c>
      <c r="E1107" s="7657" t="s">
        <v>4381</v>
      </c>
      <c r="F1107" s="7657" t="s">
        <v>2321</v>
      </c>
      <c r="G1107" s="7657" t="s">
        <v>4382</v>
      </c>
      <c r="H1107" s="7657" t="s">
        <v>17</v>
      </c>
      <c r="I1107" s="7657" t="s">
        <v>4383</v>
      </c>
      <c r="J1107" s="0" t="s">
        <v>17</v>
      </c>
      <c r="K1107" s="0" t="s">
        <v>3365</v>
      </c>
      <c r="L1107" s="0" t="s">
        <v>3363</v>
      </c>
      <c r="M1107" s="0" t="s">
        <v>3364</v>
      </c>
      <c r="N1107" s="0" t="s">
        <v>401</v>
      </c>
    </row>
    <row customHeight="1" ht="11.25">
      <c r="A1108" s="7657" t="s">
        <v>2195</v>
      </c>
      <c r="B1108" s="7657" t="s">
        <v>14</v>
      </c>
      <c r="C1108" s="7657" t="s">
        <v>4384</v>
      </c>
      <c r="D1108" s="7657" t="s">
        <v>4385</v>
      </c>
      <c r="E1108" s="7657" t="s">
        <v>4386</v>
      </c>
      <c r="F1108" s="7657" t="s">
        <v>2254</v>
      </c>
      <c r="G1108" s="7657" t="s">
        <v>4387</v>
      </c>
      <c r="H1108" s="7657" t="s">
        <v>17</v>
      </c>
      <c r="I1108" s="7657" t="s">
        <v>4388</v>
      </c>
      <c r="J1108" s="0" t="s">
        <v>17</v>
      </c>
      <c r="K1108" s="0" t="s">
        <v>3362</v>
      </c>
      <c r="L1108" s="0" t="s">
        <v>3363</v>
      </c>
      <c r="M1108" s="0" t="s">
        <v>3364</v>
      </c>
      <c r="N1108" s="0" t="s">
        <v>401</v>
      </c>
    </row>
    <row customHeight="1" ht="11.25">
      <c r="A1109" s="7657" t="s">
        <v>2195</v>
      </c>
      <c r="B1109" s="7657" t="s">
        <v>14</v>
      </c>
      <c r="C1109" s="7657" t="s">
        <v>4384</v>
      </c>
      <c r="D1109" s="7657" t="s">
        <v>4385</v>
      </c>
      <c r="E1109" s="7657" t="s">
        <v>4386</v>
      </c>
      <c r="F1109" s="7657" t="s">
        <v>2254</v>
      </c>
      <c r="G1109" s="7657" t="s">
        <v>4387</v>
      </c>
      <c r="H1109" s="7657" t="s">
        <v>17</v>
      </c>
      <c r="I1109" s="7657" t="s">
        <v>4388</v>
      </c>
      <c r="J1109" s="0" t="s">
        <v>17</v>
      </c>
      <c r="K1109" s="0" t="s">
        <v>3365</v>
      </c>
      <c r="L1109" s="0" t="s">
        <v>3363</v>
      </c>
      <c r="M1109" s="0" t="s">
        <v>3364</v>
      </c>
      <c r="N1109" s="0" t="s">
        <v>401</v>
      </c>
    </row>
    <row customHeight="1" ht="11.25">
      <c r="A1110" s="7657" t="s">
        <v>2195</v>
      </c>
      <c r="B1110" s="7657" t="s">
        <v>14</v>
      </c>
      <c r="C1110" s="7657" t="s">
        <v>4389</v>
      </c>
      <c r="D1110" s="7657" t="s">
        <v>4390</v>
      </c>
      <c r="E1110" s="7657" t="s">
        <v>4391</v>
      </c>
      <c r="F1110" s="7657" t="s">
        <v>2556</v>
      </c>
      <c r="G1110" s="7657" t="s">
        <v>4392</v>
      </c>
      <c r="H1110" s="7657" t="s">
        <v>17</v>
      </c>
      <c r="I1110" s="7657" t="s">
        <v>4393</v>
      </c>
      <c r="J1110" s="0" t="s">
        <v>17</v>
      </c>
      <c r="K1110" s="0" t="s">
        <v>3362</v>
      </c>
      <c r="L1110" s="0" t="s">
        <v>3363</v>
      </c>
      <c r="M1110" s="0" t="s">
        <v>3364</v>
      </c>
      <c r="N1110" s="0" t="s">
        <v>401</v>
      </c>
    </row>
    <row customHeight="1" ht="11.25">
      <c r="A1111" s="7657" t="s">
        <v>2195</v>
      </c>
      <c r="B1111" s="7657" t="s">
        <v>14</v>
      </c>
      <c r="C1111" s="7657" t="s">
        <v>4389</v>
      </c>
      <c r="D1111" s="7657" t="s">
        <v>4390</v>
      </c>
      <c r="E1111" s="7657" t="s">
        <v>4391</v>
      </c>
      <c r="F1111" s="7657" t="s">
        <v>2556</v>
      </c>
      <c r="G1111" s="7657" t="s">
        <v>4392</v>
      </c>
      <c r="H1111" s="7657" t="s">
        <v>17</v>
      </c>
      <c r="I1111" s="7657" t="s">
        <v>4393</v>
      </c>
      <c r="J1111" s="0" t="s">
        <v>17</v>
      </c>
      <c r="K1111" s="0" t="s">
        <v>3365</v>
      </c>
      <c r="L1111" s="0" t="s">
        <v>3363</v>
      </c>
      <c r="M1111" s="0" t="s">
        <v>3364</v>
      </c>
      <c r="N1111" s="0" t="s">
        <v>401</v>
      </c>
    </row>
    <row customHeight="1" ht="11.25">
      <c r="A1112" s="7657" t="s">
        <v>2195</v>
      </c>
      <c r="B1112" s="7657" t="s">
        <v>14</v>
      </c>
      <c r="C1112" s="7657" t="s">
        <v>3117</v>
      </c>
      <c r="D1112" s="7657" t="s">
        <v>3118</v>
      </c>
      <c r="E1112" s="7657" t="s">
        <v>3119</v>
      </c>
      <c r="F1112" s="7657" t="s">
        <v>2199</v>
      </c>
      <c r="G1112" s="7657" t="s">
        <v>3120</v>
      </c>
      <c r="H1112" s="7657" t="s">
        <v>17</v>
      </c>
      <c r="I1112" s="7657" t="s">
        <v>2228</v>
      </c>
      <c r="J1112" s="0" t="s">
        <v>17</v>
      </c>
      <c r="K1112" s="0" t="s">
        <v>3362</v>
      </c>
      <c r="L1112" s="0" t="s">
        <v>3363</v>
      </c>
      <c r="M1112" s="0" t="s">
        <v>3364</v>
      </c>
      <c r="N1112" s="0" t="s">
        <v>401</v>
      </c>
    </row>
    <row customHeight="1" ht="11.25">
      <c r="A1113" s="7657" t="s">
        <v>2195</v>
      </c>
      <c r="B1113" s="7657" t="s">
        <v>14</v>
      </c>
      <c r="C1113" s="7657" t="s">
        <v>3117</v>
      </c>
      <c r="D1113" s="7657" t="s">
        <v>3118</v>
      </c>
      <c r="E1113" s="7657" t="s">
        <v>3119</v>
      </c>
      <c r="F1113" s="7657" t="s">
        <v>2199</v>
      </c>
      <c r="G1113" s="7657" t="s">
        <v>3120</v>
      </c>
      <c r="H1113" s="7657" t="s">
        <v>17</v>
      </c>
      <c r="I1113" s="7657" t="s">
        <v>2228</v>
      </c>
      <c r="J1113" s="0" t="s">
        <v>17</v>
      </c>
      <c r="K1113" s="0" t="s">
        <v>3365</v>
      </c>
      <c r="L1113" s="0" t="s">
        <v>3363</v>
      </c>
      <c r="M1113" s="0" t="s">
        <v>3364</v>
      </c>
      <c r="N1113" s="0" t="s">
        <v>401</v>
      </c>
    </row>
    <row customHeight="1" ht="11.25">
      <c r="A1114" s="7657" t="s">
        <v>2195</v>
      </c>
      <c r="B1114" s="7657" t="s">
        <v>14</v>
      </c>
      <c r="C1114" s="7657" t="s">
        <v>3124</v>
      </c>
      <c r="D1114" s="7657" t="s">
        <v>3125</v>
      </c>
      <c r="E1114" s="7657" t="s">
        <v>3126</v>
      </c>
      <c r="F1114" s="7657" t="s">
        <v>3127</v>
      </c>
      <c r="G1114" s="7657" t="s">
        <v>2654</v>
      </c>
      <c r="H1114" s="7657" t="s">
        <v>17</v>
      </c>
      <c r="I1114" s="7657" t="s">
        <v>4394</v>
      </c>
      <c r="J1114" s="0" t="s">
        <v>17</v>
      </c>
      <c r="K1114" s="0" t="s">
        <v>3362</v>
      </c>
      <c r="L1114" s="0" t="s">
        <v>3363</v>
      </c>
      <c r="M1114" s="0" t="s">
        <v>3364</v>
      </c>
      <c r="N1114" s="0" t="s">
        <v>401</v>
      </c>
    </row>
    <row customHeight="1" ht="11.25">
      <c r="A1115" s="7657" t="s">
        <v>2195</v>
      </c>
      <c r="B1115" s="7657" t="s">
        <v>14</v>
      </c>
      <c r="C1115" s="7657" t="s">
        <v>3124</v>
      </c>
      <c r="D1115" s="7657" t="s">
        <v>3125</v>
      </c>
      <c r="E1115" s="7657" t="s">
        <v>3126</v>
      </c>
      <c r="F1115" s="7657" t="s">
        <v>3127</v>
      </c>
      <c r="G1115" s="7657" t="s">
        <v>2654</v>
      </c>
      <c r="H1115" s="7657" t="s">
        <v>17</v>
      </c>
      <c r="I1115" s="7657" t="s">
        <v>4394</v>
      </c>
      <c r="J1115" s="0" t="s">
        <v>17</v>
      </c>
      <c r="K1115" s="0" t="s">
        <v>3365</v>
      </c>
      <c r="L1115" s="0" t="s">
        <v>3363</v>
      </c>
      <c r="M1115" s="0" t="s">
        <v>3364</v>
      </c>
      <c r="N1115" s="0" t="s">
        <v>401</v>
      </c>
    </row>
    <row customHeight="1" ht="11.25">
      <c r="A1116" s="7657" t="s">
        <v>2195</v>
      </c>
      <c r="B1116" s="7657" t="s">
        <v>14</v>
      </c>
      <c r="C1116" s="7657" t="s">
        <v>4395</v>
      </c>
      <c r="D1116" s="7657" t="s">
        <v>4396</v>
      </c>
      <c r="E1116" s="7657" t="s">
        <v>4397</v>
      </c>
      <c r="F1116" s="7657" t="s">
        <v>2239</v>
      </c>
      <c r="G1116" s="7657" t="s">
        <v>4398</v>
      </c>
      <c r="H1116" s="7657" t="s">
        <v>17</v>
      </c>
      <c r="I1116" s="7657" t="s">
        <v>2753</v>
      </c>
      <c r="J1116" s="0" t="s">
        <v>17</v>
      </c>
      <c r="K1116" s="0" t="s">
        <v>3362</v>
      </c>
      <c r="L1116" s="0" t="s">
        <v>3374</v>
      </c>
      <c r="M1116" s="0" t="s">
        <v>3375</v>
      </c>
      <c r="N1116" s="0" t="s">
        <v>401</v>
      </c>
    </row>
    <row customHeight="1" ht="11.25">
      <c r="A1117" s="7657" t="s">
        <v>2195</v>
      </c>
      <c r="B1117" s="7657" t="s">
        <v>14</v>
      </c>
      <c r="C1117" s="7657" t="s">
        <v>4399</v>
      </c>
      <c r="D1117" s="7657" t="s">
        <v>4400</v>
      </c>
      <c r="E1117" s="7657" t="s">
        <v>4401</v>
      </c>
      <c r="F1117" s="7657" t="s">
        <v>2212</v>
      </c>
      <c r="G1117" s="7657" t="s">
        <v>17</v>
      </c>
      <c r="H1117" s="7657" t="s">
        <v>17</v>
      </c>
      <c r="I1117" s="7657" t="s">
        <v>2426</v>
      </c>
      <c r="J1117" s="0" t="s">
        <v>17</v>
      </c>
      <c r="K1117" s="0" t="s">
        <v>3362</v>
      </c>
      <c r="L1117" s="0" t="s">
        <v>3363</v>
      </c>
      <c r="M1117" s="0" t="s">
        <v>3364</v>
      </c>
      <c r="N1117" s="0" t="s">
        <v>401</v>
      </c>
    </row>
    <row customHeight="1" ht="11.25">
      <c r="A1118" s="7657" t="s">
        <v>2195</v>
      </c>
      <c r="B1118" s="7657" t="s">
        <v>14</v>
      </c>
      <c r="C1118" s="7657" t="s">
        <v>4399</v>
      </c>
      <c r="D1118" s="7657" t="s">
        <v>4400</v>
      </c>
      <c r="E1118" s="7657" t="s">
        <v>4401</v>
      </c>
      <c r="F1118" s="7657" t="s">
        <v>2212</v>
      </c>
      <c r="G1118" s="7657" t="s">
        <v>17</v>
      </c>
      <c r="H1118" s="7657" t="s">
        <v>17</v>
      </c>
      <c r="I1118" s="7657" t="s">
        <v>2426</v>
      </c>
      <c r="J1118" s="0" t="s">
        <v>17</v>
      </c>
      <c r="K1118" s="0" t="s">
        <v>3365</v>
      </c>
      <c r="L1118" s="0" t="s">
        <v>3363</v>
      </c>
      <c r="M1118" s="0" t="s">
        <v>3364</v>
      </c>
      <c r="N1118" s="0" t="s">
        <v>401</v>
      </c>
    </row>
    <row customHeight="1" ht="11.25">
      <c r="A1119" s="7657" t="s">
        <v>2195</v>
      </c>
      <c r="B1119" s="7657" t="s">
        <v>14</v>
      </c>
      <c r="C1119" s="7657" t="s">
        <v>4402</v>
      </c>
      <c r="D1119" s="7657" t="s">
        <v>4403</v>
      </c>
      <c r="E1119" s="7657" t="s">
        <v>4404</v>
      </c>
      <c r="F1119" s="7657" t="s">
        <v>2649</v>
      </c>
      <c r="G1119" s="7657" t="s">
        <v>2534</v>
      </c>
      <c r="H1119" s="7657" t="s">
        <v>17</v>
      </c>
      <c r="I1119" s="7657" t="s">
        <v>2534</v>
      </c>
      <c r="J1119" s="0" t="s">
        <v>17</v>
      </c>
      <c r="K1119" s="0" t="s">
        <v>3362</v>
      </c>
      <c r="L1119" s="0" t="s">
        <v>3401</v>
      </c>
      <c r="M1119" s="0" t="s">
        <v>3402</v>
      </c>
      <c r="N1119" s="0" t="s">
        <v>401</v>
      </c>
    </row>
    <row customHeight="1" ht="11.25">
      <c r="A1120" s="7657" t="s">
        <v>2195</v>
      </c>
      <c r="B1120" s="7657" t="s">
        <v>14</v>
      </c>
      <c r="C1120" s="7657" t="s">
        <v>4402</v>
      </c>
      <c r="D1120" s="7657" t="s">
        <v>4403</v>
      </c>
      <c r="E1120" s="7657" t="s">
        <v>4404</v>
      </c>
      <c r="F1120" s="7657" t="s">
        <v>2649</v>
      </c>
      <c r="G1120" s="7657" t="s">
        <v>2534</v>
      </c>
      <c r="H1120" s="7657" t="s">
        <v>17</v>
      </c>
      <c r="I1120" s="7657" t="s">
        <v>2534</v>
      </c>
      <c r="J1120" s="0" t="s">
        <v>17</v>
      </c>
      <c r="K1120" s="0" t="s">
        <v>3365</v>
      </c>
      <c r="L1120" s="0" t="s">
        <v>3401</v>
      </c>
      <c r="M1120" s="0" t="s">
        <v>3402</v>
      </c>
      <c r="N1120" s="0" t="s">
        <v>401</v>
      </c>
    </row>
    <row customHeight="1" ht="11.25">
      <c r="A1121" s="7657" t="s">
        <v>2195</v>
      </c>
      <c r="B1121" s="7657" t="s">
        <v>14</v>
      </c>
      <c r="C1121" s="7657" t="s">
        <v>4405</v>
      </c>
      <c r="D1121" s="7657" t="s">
        <v>4406</v>
      </c>
      <c r="E1121" s="7657" t="s">
        <v>4407</v>
      </c>
      <c r="F1121" s="7657" t="s">
        <v>3166</v>
      </c>
      <c r="G1121" s="7657" t="s">
        <v>4408</v>
      </c>
      <c r="H1121" s="7657" t="s">
        <v>17</v>
      </c>
      <c r="I1121" s="7657" t="s">
        <v>4408</v>
      </c>
      <c r="J1121" s="0" t="s">
        <v>17</v>
      </c>
      <c r="K1121" s="0" t="s">
        <v>3362</v>
      </c>
      <c r="L1121" s="0" t="s">
        <v>3401</v>
      </c>
      <c r="M1121" s="0" t="s">
        <v>3402</v>
      </c>
      <c r="N1121" s="0" t="s">
        <v>401</v>
      </c>
    </row>
    <row customHeight="1" ht="11.25">
      <c r="A1122" s="7657" t="s">
        <v>2195</v>
      </c>
      <c r="B1122" s="7657" t="s">
        <v>14</v>
      </c>
      <c r="C1122" s="7657" t="s">
        <v>4405</v>
      </c>
      <c r="D1122" s="7657" t="s">
        <v>4406</v>
      </c>
      <c r="E1122" s="7657" t="s">
        <v>4407</v>
      </c>
      <c r="F1122" s="7657" t="s">
        <v>3166</v>
      </c>
      <c r="G1122" s="7657" t="s">
        <v>4408</v>
      </c>
      <c r="H1122" s="7657" t="s">
        <v>17</v>
      </c>
      <c r="I1122" s="7657" t="s">
        <v>4408</v>
      </c>
      <c r="J1122" s="0" t="s">
        <v>17</v>
      </c>
      <c r="K1122" s="0" t="s">
        <v>3365</v>
      </c>
      <c r="L1122" s="0" t="s">
        <v>3401</v>
      </c>
      <c r="M1122" s="0" t="s">
        <v>3402</v>
      </c>
      <c r="N1122" s="0" t="s">
        <v>401</v>
      </c>
    </row>
    <row customHeight="1" ht="11.25">
      <c r="A1123" s="7657" t="s">
        <v>2195</v>
      </c>
      <c r="B1123" s="7657" t="s">
        <v>14</v>
      </c>
      <c r="C1123" s="7657" t="s">
        <v>4409</v>
      </c>
      <c r="D1123" s="7657" t="s">
        <v>4410</v>
      </c>
      <c r="E1123" s="7657" t="s">
        <v>4411</v>
      </c>
      <c r="F1123" s="7657" t="s">
        <v>4412</v>
      </c>
      <c r="G1123" s="7657" t="s">
        <v>4413</v>
      </c>
      <c r="H1123" s="7657" t="s">
        <v>17</v>
      </c>
      <c r="I1123" s="7657" t="s">
        <v>4388</v>
      </c>
      <c r="J1123" s="0" t="s">
        <v>17</v>
      </c>
      <c r="K1123" s="0" t="s">
        <v>3362</v>
      </c>
      <c r="L1123" s="0" t="s">
        <v>3401</v>
      </c>
      <c r="M1123" s="0" t="s">
        <v>3402</v>
      </c>
      <c r="N1123" s="0" t="s">
        <v>401</v>
      </c>
    </row>
    <row customHeight="1" ht="11.25">
      <c r="A1124" s="7657" t="s">
        <v>2195</v>
      </c>
      <c r="B1124" s="7657" t="s">
        <v>14</v>
      </c>
      <c r="C1124" s="7657" t="s">
        <v>4409</v>
      </c>
      <c r="D1124" s="7657" t="s">
        <v>4410</v>
      </c>
      <c r="E1124" s="7657" t="s">
        <v>4411</v>
      </c>
      <c r="F1124" s="7657" t="s">
        <v>4412</v>
      </c>
      <c r="G1124" s="7657" t="s">
        <v>4413</v>
      </c>
      <c r="H1124" s="7657" t="s">
        <v>17</v>
      </c>
      <c r="I1124" s="7657" t="s">
        <v>4388</v>
      </c>
      <c r="J1124" s="0" t="s">
        <v>17</v>
      </c>
      <c r="K1124" s="0" t="s">
        <v>3365</v>
      </c>
      <c r="L1124" s="0" t="s">
        <v>3401</v>
      </c>
      <c r="M1124" s="0" t="s">
        <v>3402</v>
      </c>
      <c r="N1124" s="0" t="s">
        <v>401</v>
      </c>
    </row>
    <row customHeight="1" ht="11.25">
      <c r="A1125" s="7657" t="s">
        <v>2195</v>
      </c>
      <c r="B1125" s="7657" t="s">
        <v>14</v>
      </c>
      <c r="C1125" s="7657" t="s">
        <v>4414</v>
      </c>
      <c r="D1125" s="7657" t="s">
        <v>4415</v>
      </c>
      <c r="E1125" s="7657" t="s">
        <v>4416</v>
      </c>
      <c r="F1125" s="7657" t="s">
        <v>2649</v>
      </c>
      <c r="G1125" s="7657" t="s">
        <v>2534</v>
      </c>
      <c r="H1125" s="7657" t="s">
        <v>17</v>
      </c>
      <c r="I1125" s="7657" t="s">
        <v>2534</v>
      </c>
      <c r="J1125" s="0" t="s">
        <v>17</v>
      </c>
      <c r="K1125" s="0" t="s">
        <v>3362</v>
      </c>
      <c r="L1125" s="0" t="s">
        <v>3401</v>
      </c>
      <c r="M1125" s="0" t="s">
        <v>3402</v>
      </c>
      <c r="N1125" s="0" t="s">
        <v>401</v>
      </c>
    </row>
    <row customHeight="1" ht="11.25">
      <c r="A1126" s="7657" t="s">
        <v>2195</v>
      </c>
      <c r="B1126" s="7657" t="s">
        <v>14</v>
      </c>
      <c r="C1126" s="7657" t="s">
        <v>4414</v>
      </c>
      <c r="D1126" s="7657" t="s">
        <v>4415</v>
      </c>
      <c r="E1126" s="7657" t="s">
        <v>4416</v>
      </c>
      <c r="F1126" s="7657" t="s">
        <v>2649</v>
      </c>
      <c r="G1126" s="7657" t="s">
        <v>2534</v>
      </c>
      <c r="H1126" s="7657" t="s">
        <v>17</v>
      </c>
      <c r="I1126" s="7657" t="s">
        <v>2534</v>
      </c>
      <c r="J1126" s="0" t="s">
        <v>17</v>
      </c>
      <c r="K1126" s="0" t="s">
        <v>3365</v>
      </c>
      <c r="L1126" s="0" t="s">
        <v>3401</v>
      </c>
      <c r="M1126" s="0" t="s">
        <v>3402</v>
      </c>
      <c r="N1126" s="0" t="s">
        <v>401</v>
      </c>
    </row>
    <row customHeight="1" ht="11.25">
      <c r="A1127" s="7657" t="s">
        <v>2195</v>
      </c>
      <c r="B1127" s="7657" t="s">
        <v>14</v>
      </c>
      <c r="C1127" s="7657" t="s">
        <v>4417</v>
      </c>
      <c r="D1127" s="7657" t="s">
        <v>4418</v>
      </c>
      <c r="E1127" s="7657" t="s">
        <v>4419</v>
      </c>
      <c r="F1127" s="7657" t="s">
        <v>2649</v>
      </c>
      <c r="G1127" s="7657" t="s">
        <v>2534</v>
      </c>
      <c r="H1127" s="7657" t="s">
        <v>17</v>
      </c>
      <c r="I1127" s="7657" t="s">
        <v>2534</v>
      </c>
      <c r="J1127" s="0" t="s">
        <v>17</v>
      </c>
      <c r="K1127" s="0" t="s">
        <v>3362</v>
      </c>
      <c r="L1127" s="0" t="s">
        <v>3401</v>
      </c>
      <c r="M1127" s="0" t="s">
        <v>3402</v>
      </c>
      <c r="N1127" s="0" t="s">
        <v>401</v>
      </c>
    </row>
    <row customHeight="1" ht="11.25">
      <c r="A1128" s="7657" t="s">
        <v>2195</v>
      </c>
      <c r="B1128" s="7657" t="s">
        <v>14</v>
      </c>
      <c r="C1128" s="7657" t="s">
        <v>4417</v>
      </c>
      <c r="D1128" s="7657" t="s">
        <v>4418</v>
      </c>
      <c r="E1128" s="7657" t="s">
        <v>4419</v>
      </c>
      <c r="F1128" s="7657" t="s">
        <v>2649</v>
      </c>
      <c r="G1128" s="7657" t="s">
        <v>2534</v>
      </c>
      <c r="H1128" s="7657" t="s">
        <v>17</v>
      </c>
      <c r="I1128" s="7657" t="s">
        <v>2534</v>
      </c>
      <c r="J1128" s="0" t="s">
        <v>17</v>
      </c>
      <c r="K1128" s="0" t="s">
        <v>3365</v>
      </c>
      <c r="L1128" s="0" t="s">
        <v>3401</v>
      </c>
      <c r="M1128" s="0" t="s">
        <v>3402</v>
      </c>
      <c r="N1128" s="0" t="s">
        <v>401</v>
      </c>
    </row>
    <row customHeight="1" ht="11.25">
      <c r="A1129" s="7657" t="s">
        <v>2195</v>
      </c>
      <c r="B1129" s="7657" t="s">
        <v>14</v>
      </c>
      <c r="C1129" s="7657" t="s">
        <v>3168</v>
      </c>
      <c r="D1129" s="7657" t="s">
        <v>46</v>
      </c>
      <c r="E1129" s="7657" t="s">
        <v>49</v>
      </c>
      <c r="F1129" s="7657" t="s">
        <v>51</v>
      </c>
      <c r="G1129" s="7657" t="s">
        <v>17</v>
      </c>
      <c r="H1129" s="7657" t="s">
        <v>17</v>
      </c>
      <c r="I1129" s="7657" t="s">
        <v>4420</v>
      </c>
      <c r="J1129" s="0" t="s">
        <v>17</v>
      </c>
      <c r="K1129" s="0" t="s">
        <v>3362</v>
      </c>
      <c r="L1129" s="0" t="s">
        <v>3363</v>
      </c>
      <c r="M1129" s="0" t="s">
        <v>3364</v>
      </c>
      <c r="N1129" s="0" t="s">
        <v>401</v>
      </c>
    </row>
    <row customHeight="1" ht="11.25">
      <c r="A1130" s="7657" t="s">
        <v>2195</v>
      </c>
      <c r="B1130" s="7657" t="s">
        <v>14</v>
      </c>
      <c r="C1130" s="7657" t="s">
        <v>3168</v>
      </c>
      <c r="D1130" s="7657" t="s">
        <v>46</v>
      </c>
      <c r="E1130" s="7657" t="s">
        <v>49</v>
      </c>
      <c r="F1130" s="7657" t="s">
        <v>51</v>
      </c>
      <c r="G1130" s="7657" t="s">
        <v>17</v>
      </c>
      <c r="H1130" s="7657" t="s">
        <v>17</v>
      </c>
      <c r="I1130" s="7657" t="s">
        <v>4420</v>
      </c>
      <c r="J1130" s="0" t="s">
        <v>17</v>
      </c>
      <c r="K1130" s="0" t="s">
        <v>3365</v>
      </c>
      <c r="L1130" s="0" t="s">
        <v>3363</v>
      </c>
      <c r="M1130" s="0" t="s">
        <v>3364</v>
      </c>
      <c r="N1130" s="0" t="s">
        <v>401</v>
      </c>
    </row>
    <row customHeight="1" ht="11.25">
      <c r="A1131" s="7657" t="s">
        <v>2195</v>
      </c>
      <c r="B1131" s="7657" t="s">
        <v>14</v>
      </c>
      <c r="C1131" s="7657" t="s">
        <v>3168</v>
      </c>
      <c r="D1131" s="7657" t="s">
        <v>46</v>
      </c>
      <c r="E1131" s="7657" t="s">
        <v>49</v>
      </c>
      <c r="F1131" s="7657" t="s">
        <v>51</v>
      </c>
      <c r="G1131" s="7657" t="s">
        <v>17</v>
      </c>
      <c r="H1131" s="7657" t="s">
        <v>17</v>
      </c>
      <c r="I1131" s="7657" t="s">
        <v>3385</v>
      </c>
      <c r="J1131" s="0" t="s">
        <v>17</v>
      </c>
      <c r="K1131" s="0" t="s">
        <v>3365</v>
      </c>
      <c r="L1131" s="0" t="s">
        <v>3374</v>
      </c>
      <c r="M1131" s="0" t="s">
        <v>3772</v>
      </c>
      <c r="N1131" s="0" t="s">
        <v>401</v>
      </c>
    </row>
    <row customHeight="1" ht="11.25">
      <c r="A1132" s="7657" t="s">
        <v>2195</v>
      </c>
      <c r="B1132" s="7657" t="s">
        <v>14</v>
      </c>
      <c r="C1132" s="7657" t="s">
        <v>3168</v>
      </c>
      <c r="D1132" s="7657" t="s">
        <v>46</v>
      </c>
      <c r="E1132" s="7657" t="s">
        <v>49</v>
      </c>
      <c r="F1132" s="7657" t="s">
        <v>51</v>
      </c>
      <c r="G1132" s="7657" t="s">
        <v>17</v>
      </c>
      <c r="H1132" s="7657" t="s">
        <v>17</v>
      </c>
      <c r="I1132" s="7657" t="s">
        <v>3385</v>
      </c>
      <c r="J1132" s="0" t="s">
        <v>17</v>
      </c>
      <c r="K1132" s="0" t="s">
        <v>3362</v>
      </c>
      <c r="L1132" s="0" t="s">
        <v>3363</v>
      </c>
      <c r="M1132" s="0" t="s">
        <v>3364</v>
      </c>
      <c r="N1132" s="0" t="s">
        <v>401</v>
      </c>
    </row>
    <row customHeight="1" ht="11.25">
      <c r="A1133" s="7657" t="s">
        <v>2195</v>
      </c>
      <c r="B1133" s="7657" t="s">
        <v>14</v>
      </c>
      <c r="C1133" s="7657" t="s">
        <v>3168</v>
      </c>
      <c r="D1133" s="7657" t="s">
        <v>46</v>
      </c>
      <c r="E1133" s="7657" t="s">
        <v>49</v>
      </c>
      <c r="F1133" s="7657" t="s">
        <v>51</v>
      </c>
      <c r="G1133" s="7657" t="s">
        <v>17</v>
      </c>
      <c r="H1133" s="7657" t="s">
        <v>17</v>
      </c>
      <c r="I1133" s="7657" t="s">
        <v>3385</v>
      </c>
      <c r="J1133" s="0" t="s">
        <v>17</v>
      </c>
      <c r="K1133" s="0" t="s">
        <v>3365</v>
      </c>
      <c r="L1133" s="0" t="s">
        <v>3363</v>
      </c>
      <c r="M1133" s="0" t="s">
        <v>3364</v>
      </c>
      <c r="N1133" s="0" t="s">
        <v>401</v>
      </c>
    </row>
    <row customHeight="1" ht="11.25">
      <c r="A1134" s="7657" t="s">
        <v>2195</v>
      </c>
      <c r="B1134" s="7657" t="s">
        <v>14</v>
      </c>
      <c r="C1134" s="7657" t="s">
        <v>3168</v>
      </c>
      <c r="D1134" s="7657" t="s">
        <v>46</v>
      </c>
      <c r="E1134" s="7657" t="s">
        <v>49</v>
      </c>
      <c r="F1134" s="7657" t="s">
        <v>51</v>
      </c>
      <c r="G1134" s="7657" t="s">
        <v>17</v>
      </c>
      <c r="H1134" s="7657" t="s">
        <v>17</v>
      </c>
      <c r="I1134" s="7657" t="s">
        <v>2390</v>
      </c>
      <c r="J1134" s="0" t="s">
        <v>17</v>
      </c>
      <c r="K1134" s="0" t="s">
        <v>3362</v>
      </c>
      <c r="L1134" s="0" t="s">
        <v>3434</v>
      </c>
      <c r="M1134" s="0" t="s">
        <v>3435</v>
      </c>
      <c r="N1134" s="0" t="s">
        <v>401</v>
      </c>
    </row>
    <row customHeight="1" ht="11.25">
      <c r="A1135" s="7657" t="s">
        <v>2195</v>
      </c>
      <c r="B1135" s="7657" t="s">
        <v>14</v>
      </c>
      <c r="C1135" s="7657" t="s">
        <v>3168</v>
      </c>
      <c r="D1135" s="7657" t="s">
        <v>46</v>
      </c>
      <c r="E1135" s="7657" t="s">
        <v>49</v>
      </c>
      <c r="F1135" s="7657" t="s">
        <v>51</v>
      </c>
      <c r="G1135" s="7657" t="s">
        <v>17</v>
      </c>
      <c r="H1135" s="7657" t="s">
        <v>17</v>
      </c>
      <c r="I1135" s="7657" t="s">
        <v>2390</v>
      </c>
      <c r="J1135" s="0" t="s">
        <v>17</v>
      </c>
      <c r="K1135" s="0" t="s">
        <v>3362</v>
      </c>
      <c r="L1135" s="0" t="s">
        <v>3363</v>
      </c>
      <c r="M1135" s="0" t="s">
        <v>3364</v>
      </c>
      <c r="N1135" s="0" t="s">
        <v>401</v>
      </c>
    </row>
    <row customHeight="1" ht="11.25">
      <c r="A1136" s="7657" t="s">
        <v>2195</v>
      </c>
      <c r="B1136" s="7657" t="s">
        <v>14</v>
      </c>
      <c r="C1136" s="7657" t="s">
        <v>3168</v>
      </c>
      <c r="D1136" s="7657" t="s">
        <v>46</v>
      </c>
      <c r="E1136" s="7657" t="s">
        <v>49</v>
      </c>
      <c r="F1136" s="7657" t="s">
        <v>51</v>
      </c>
      <c r="G1136" s="7657" t="s">
        <v>17</v>
      </c>
      <c r="H1136" s="7657" t="s">
        <v>17</v>
      </c>
      <c r="I1136" s="7657" t="s">
        <v>2390</v>
      </c>
      <c r="J1136" s="0" t="s">
        <v>17</v>
      </c>
      <c r="K1136" s="0" t="s">
        <v>3365</v>
      </c>
      <c r="L1136" s="0" t="s">
        <v>3363</v>
      </c>
      <c r="M1136" s="0" t="s">
        <v>3364</v>
      </c>
      <c r="N1136" s="0" t="s">
        <v>401</v>
      </c>
    </row>
    <row customHeight="1" ht="11.25">
      <c r="A1137" s="7657" t="s">
        <v>2195</v>
      </c>
      <c r="B1137" s="7657" t="s">
        <v>14</v>
      </c>
      <c r="C1137" s="7657" t="s">
        <v>3168</v>
      </c>
      <c r="D1137" s="7657" t="s">
        <v>46</v>
      </c>
      <c r="E1137" s="7657" t="s">
        <v>49</v>
      </c>
      <c r="F1137" s="7657" t="s">
        <v>51</v>
      </c>
      <c r="G1137" s="7657" t="s">
        <v>17</v>
      </c>
      <c r="H1137" s="7657" t="s">
        <v>17</v>
      </c>
      <c r="I1137" s="7657" t="s">
        <v>2654</v>
      </c>
      <c r="J1137" s="0" t="s">
        <v>17</v>
      </c>
      <c r="K1137" s="0" t="s">
        <v>3362</v>
      </c>
      <c r="L1137" s="0" t="s">
        <v>3401</v>
      </c>
      <c r="M1137" s="0" t="s">
        <v>3402</v>
      </c>
      <c r="N1137" s="0" t="s">
        <v>401</v>
      </c>
    </row>
    <row customHeight="1" ht="11.25">
      <c r="A1138" s="7657" t="s">
        <v>2195</v>
      </c>
      <c r="B1138" s="7657" t="s">
        <v>14</v>
      </c>
      <c r="C1138" s="7657" t="s">
        <v>3168</v>
      </c>
      <c r="D1138" s="7657" t="s">
        <v>46</v>
      </c>
      <c r="E1138" s="7657" t="s">
        <v>49</v>
      </c>
      <c r="F1138" s="7657" t="s">
        <v>51</v>
      </c>
      <c r="G1138" s="7657" t="s">
        <v>17</v>
      </c>
      <c r="H1138" s="7657" t="s">
        <v>17</v>
      </c>
      <c r="I1138" s="7657" t="s">
        <v>2654</v>
      </c>
      <c r="J1138" s="0" t="s">
        <v>17</v>
      </c>
      <c r="K1138" s="0" t="s">
        <v>3365</v>
      </c>
      <c r="L1138" s="0" t="s">
        <v>3401</v>
      </c>
      <c r="M1138" s="0" t="s">
        <v>3402</v>
      </c>
      <c r="N1138" s="0" t="s">
        <v>401</v>
      </c>
    </row>
    <row customHeight="1" ht="11.25">
      <c r="A1139" s="7657" t="s">
        <v>2195</v>
      </c>
      <c r="B1139" s="7657" t="s">
        <v>14</v>
      </c>
      <c r="C1139" s="7657" t="s">
        <v>3182</v>
      </c>
      <c r="D1139" s="7657" t="s">
        <v>3183</v>
      </c>
      <c r="E1139" s="7657" t="s">
        <v>3184</v>
      </c>
      <c r="F1139" s="7657" t="s">
        <v>2321</v>
      </c>
      <c r="G1139" s="7657" t="s">
        <v>3185</v>
      </c>
      <c r="H1139" s="7657" t="s">
        <v>17</v>
      </c>
      <c r="I1139" s="7657" t="s">
        <v>2228</v>
      </c>
      <c r="J1139" s="0" t="s">
        <v>17</v>
      </c>
      <c r="K1139" s="0" t="s">
        <v>3362</v>
      </c>
      <c r="L1139" s="0" t="s">
        <v>3363</v>
      </c>
      <c r="M1139" s="0" t="s">
        <v>3364</v>
      </c>
      <c r="N1139" s="0" t="s">
        <v>401</v>
      </c>
    </row>
    <row customHeight="1" ht="11.25">
      <c r="A1140" s="7657" t="s">
        <v>2195</v>
      </c>
      <c r="B1140" s="7657" t="s">
        <v>14</v>
      </c>
      <c r="C1140" s="7657" t="s">
        <v>3182</v>
      </c>
      <c r="D1140" s="7657" t="s">
        <v>3183</v>
      </c>
      <c r="E1140" s="7657" t="s">
        <v>3184</v>
      </c>
      <c r="F1140" s="7657" t="s">
        <v>2321</v>
      </c>
      <c r="G1140" s="7657" t="s">
        <v>3185</v>
      </c>
      <c r="H1140" s="7657" t="s">
        <v>17</v>
      </c>
      <c r="I1140" s="7657" t="s">
        <v>2228</v>
      </c>
      <c r="J1140" s="0" t="s">
        <v>17</v>
      </c>
      <c r="K1140" s="0" t="s">
        <v>3365</v>
      </c>
      <c r="L1140" s="0" t="s">
        <v>3363</v>
      </c>
      <c r="M1140" s="0" t="s">
        <v>3364</v>
      </c>
      <c r="N1140" s="0" t="s">
        <v>401</v>
      </c>
    </row>
    <row customHeight="1" ht="11.25">
      <c r="A1141" s="7657" t="s">
        <v>2195</v>
      </c>
      <c r="B1141" s="7657" t="s">
        <v>14</v>
      </c>
      <c r="C1141" s="7657" t="s">
        <v>3186</v>
      </c>
      <c r="D1141" s="7657" t="s">
        <v>3187</v>
      </c>
      <c r="E1141" s="7657" t="s">
        <v>3188</v>
      </c>
      <c r="F1141" s="7657" t="s">
        <v>2239</v>
      </c>
      <c r="G1141" s="7657" t="s">
        <v>3189</v>
      </c>
      <c r="H1141" s="7657" t="s">
        <v>17</v>
      </c>
      <c r="I1141" s="7657" t="s">
        <v>3190</v>
      </c>
      <c r="J1141" s="0" t="s">
        <v>17</v>
      </c>
      <c r="K1141" s="0" t="s">
        <v>3362</v>
      </c>
      <c r="L1141" s="0" t="s">
        <v>3363</v>
      </c>
      <c r="M1141" s="0" t="s">
        <v>3364</v>
      </c>
      <c r="N1141" s="0" t="s">
        <v>401</v>
      </c>
    </row>
    <row customHeight="1" ht="11.25">
      <c r="A1142" s="7657" t="s">
        <v>2195</v>
      </c>
      <c r="B1142" s="7657" t="s">
        <v>14</v>
      </c>
      <c r="C1142" s="7657" t="s">
        <v>3186</v>
      </c>
      <c r="D1142" s="7657" t="s">
        <v>3187</v>
      </c>
      <c r="E1142" s="7657" t="s">
        <v>3188</v>
      </c>
      <c r="F1142" s="7657" t="s">
        <v>2239</v>
      </c>
      <c r="G1142" s="7657" t="s">
        <v>3189</v>
      </c>
      <c r="H1142" s="7657" t="s">
        <v>17</v>
      </c>
      <c r="I1142" s="7657" t="s">
        <v>3190</v>
      </c>
      <c r="J1142" s="0" t="s">
        <v>17</v>
      </c>
      <c r="K1142" s="0" t="s">
        <v>3365</v>
      </c>
      <c r="L1142" s="0" t="s">
        <v>3363</v>
      </c>
      <c r="M1142" s="0" t="s">
        <v>3364</v>
      </c>
      <c r="N1142" s="0" t="s">
        <v>401</v>
      </c>
    </row>
    <row customHeight="1" ht="11.25">
      <c r="A1143" s="7657" t="s">
        <v>2195</v>
      </c>
      <c r="B1143" s="7657" t="s">
        <v>14</v>
      </c>
      <c r="C1143" s="7657" t="s">
        <v>3186</v>
      </c>
      <c r="D1143" s="7657" t="s">
        <v>3187</v>
      </c>
      <c r="E1143" s="7657" t="s">
        <v>3188</v>
      </c>
      <c r="F1143" s="7657" t="s">
        <v>2239</v>
      </c>
      <c r="G1143" s="7657" t="s">
        <v>3189</v>
      </c>
      <c r="H1143" s="7657" t="s">
        <v>17</v>
      </c>
      <c r="I1143" s="7657" t="s">
        <v>2340</v>
      </c>
      <c r="J1143" s="0" t="s">
        <v>17</v>
      </c>
      <c r="K1143" s="0" t="s">
        <v>3362</v>
      </c>
      <c r="L1143" s="0" t="s">
        <v>3363</v>
      </c>
      <c r="M1143" s="0" t="s">
        <v>3364</v>
      </c>
      <c r="N1143" s="0" t="s">
        <v>401</v>
      </c>
    </row>
    <row customHeight="1" ht="11.25">
      <c r="A1144" s="7657" t="s">
        <v>2195</v>
      </c>
      <c r="B1144" s="7657" t="s">
        <v>14</v>
      </c>
      <c r="C1144" s="7657" t="s">
        <v>3186</v>
      </c>
      <c r="D1144" s="7657" t="s">
        <v>3187</v>
      </c>
      <c r="E1144" s="7657" t="s">
        <v>3188</v>
      </c>
      <c r="F1144" s="7657" t="s">
        <v>2239</v>
      </c>
      <c r="G1144" s="7657" t="s">
        <v>3189</v>
      </c>
      <c r="H1144" s="7657" t="s">
        <v>17</v>
      </c>
      <c r="I1144" s="7657" t="s">
        <v>2340</v>
      </c>
      <c r="J1144" s="0" t="s">
        <v>17</v>
      </c>
      <c r="K1144" s="0" t="s">
        <v>3365</v>
      </c>
      <c r="L1144" s="0" t="s">
        <v>3363</v>
      </c>
      <c r="M1144" s="0" t="s">
        <v>3364</v>
      </c>
      <c r="N1144" s="0" t="s">
        <v>401</v>
      </c>
    </row>
    <row customHeight="1" ht="11.25">
      <c r="A1145" s="7657" t="s">
        <v>2195</v>
      </c>
      <c r="B1145" s="7657" t="s">
        <v>14</v>
      </c>
      <c r="C1145" s="7657" t="s">
        <v>3191</v>
      </c>
      <c r="D1145" s="7657" t="s">
        <v>3192</v>
      </c>
      <c r="E1145" s="7657" t="s">
        <v>3193</v>
      </c>
      <c r="F1145" s="7657" t="s">
        <v>2321</v>
      </c>
      <c r="G1145" s="7657" t="s">
        <v>2394</v>
      </c>
      <c r="H1145" s="7657" t="s">
        <v>17</v>
      </c>
      <c r="I1145" s="7657" t="s">
        <v>2228</v>
      </c>
      <c r="J1145" s="0" t="s">
        <v>17</v>
      </c>
      <c r="K1145" s="0" t="s">
        <v>3362</v>
      </c>
      <c r="L1145" s="0" t="s">
        <v>3363</v>
      </c>
      <c r="M1145" s="0" t="s">
        <v>3364</v>
      </c>
      <c r="N1145" s="0" t="s">
        <v>401</v>
      </c>
    </row>
    <row customHeight="1" ht="11.25">
      <c r="A1146" s="7657" t="s">
        <v>2195</v>
      </c>
      <c r="B1146" s="7657" t="s">
        <v>14</v>
      </c>
      <c r="C1146" s="7657" t="s">
        <v>3191</v>
      </c>
      <c r="D1146" s="7657" t="s">
        <v>3192</v>
      </c>
      <c r="E1146" s="7657" t="s">
        <v>3193</v>
      </c>
      <c r="F1146" s="7657" t="s">
        <v>2321</v>
      </c>
      <c r="G1146" s="7657" t="s">
        <v>2394</v>
      </c>
      <c r="H1146" s="7657" t="s">
        <v>17</v>
      </c>
      <c r="I1146" s="7657" t="s">
        <v>2228</v>
      </c>
      <c r="J1146" s="0" t="s">
        <v>17</v>
      </c>
      <c r="K1146" s="0" t="s">
        <v>3365</v>
      </c>
      <c r="L1146" s="0" t="s">
        <v>3363</v>
      </c>
      <c r="M1146" s="0" t="s">
        <v>3364</v>
      </c>
      <c r="N1146" s="0" t="s">
        <v>401</v>
      </c>
    </row>
    <row customHeight="1" ht="11.25">
      <c r="A1147" s="7657" t="s">
        <v>2195</v>
      </c>
      <c r="B1147" s="7657" t="s">
        <v>14</v>
      </c>
      <c r="C1147" s="7657" t="s">
        <v>3194</v>
      </c>
      <c r="D1147" s="7657" t="s">
        <v>3195</v>
      </c>
      <c r="E1147" s="7657" t="s">
        <v>3196</v>
      </c>
      <c r="F1147" s="7657" t="s">
        <v>2239</v>
      </c>
      <c r="G1147" s="7657" t="s">
        <v>17</v>
      </c>
      <c r="H1147" s="7657" t="s">
        <v>17</v>
      </c>
      <c r="I1147" s="7657" t="s">
        <v>3385</v>
      </c>
      <c r="J1147" s="0" t="s">
        <v>17</v>
      </c>
      <c r="K1147" s="0" t="s">
        <v>3362</v>
      </c>
      <c r="L1147" s="0" t="s">
        <v>3374</v>
      </c>
      <c r="M1147" s="0" t="s">
        <v>3375</v>
      </c>
      <c r="N1147" s="0" t="s">
        <v>401</v>
      </c>
    </row>
    <row customHeight="1" ht="11.25">
      <c r="A1148" s="7657" t="s">
        <v>2195</v>
      </c>
      <c r="B1148" s="7657" t="s">
        <v>14</v>
      </c>
      <c r="C1148" s="7657" t="s">
        <v>3207</v>
      </c>
      <c r="D1148" s="7657" t="s">
        <v>3208</v>
      </c>
      <c r="E1148" s="7657" t="s">
        <v>3209</v>
      </c>
      <c r="F1148" s="7657" t="s">
        <v>3210</v>
      </c>
      <c r="G1148" s="7657" t="s">
        <v>17</v>
      </c>
      <c r="H1148" s="7657" t="s">
        <v>17</v>
      </c>
      <c r="I1148" s="7657" t="s">
        <v>4421</v>
      </c>
      <c r="J1148" s="0" t="s">
        <v>17</v>
      </c>
      <c r="K1148" s="0" t="s">
        <v>3362</v>
      </c>
      <c r="L1148" s="0" t="s">
        <v>3401</v>
      </c>
      <c r="M1148" s="0" t="s">
        <v>3402</v>
      </c>
      <c r="N1148" s="0" t="s">
        <v>401</v>
      </c>
    </row>
    <row customHeight="1" ht="11.25">
      <c r="A1149" s="7657" t="s">
        <v>2195</v>
      </c>
      <c r="B1149" s="7657" t="s">
        <v>14</v>
      </c>
      <c r="C1149" s="7657" t="s">
        <v>3207</v>
      </c>
      <c r="D1149" s="7657" t="s">
        <v>3208</v>
      </c>
      <c r="E1149" s="7657" t="s">
        <v>3209</v>
      </c>
      <c r="F1149" s="7657" t="s">
        <v>3210</v>
      </c>
      <c r="G1149" s="7657" t="s">
        <v>17</v>
      </c>
      <c r="H1149" s="7657" t="s">
        <v>17</v>
      </c>
      <c r="I1149" s="7657" t="s">
        <v>4421</v>
      </c>
      <c r="J1149" s="0" t="s">
        <v>17</v>
      </c>
      <c r="K1149" s="0" t="s">
        <v>3365</v>
      </c>
      <c r="L1149" s="0" t="s">
        <v>3401</v>
      </c>
      <c r="M1149" s="0" t="s">
        <v>3402</v>
      </c>
      <c r="N1149" s="0" t="s">
        <v>401</v>
      </c>
    </row>
    <row customHeight="1" ht="11.25">
      <c r="A1150" s="7657" t="s">
        <v>2195</v>
      </c>
      <c r="B1150" s="7657" t="s">
        <v>14</v>
      </c>
      <c r="C1150" s="7657" t="s">
        <v>3207</v>
      </c>
      <c r="D1150" s="7657" t="s">
        <v>3208</v>
      </c>
      <c r="E1150" s="7657" t="s">
        <v>3209</v>
      </c>
      <c r="F1150" s="7657" t="s">
        <v>3210</v>
      </c>
      <c r="G1150" s="7657" t="s">
        <v>17</v>
      </c>
      <c r="H1150" s="7657" t="s">
        <v>17</v>
      </c>
      <c r="I1150" s="7657" t="s">
        <v>2654</v>
      </c>
      <c r="J1150" s="0" t="s">
        <v>17</v>
      </c>
      <c r="K1150" s="0" t="s">
        <v>3362</v>
      </c>
      <c r="L1150" s="0" t="s">
        <v>3401</v>
      </c>
      <c r="M1150" s="0" t="s">
        <v>3402</v>
      </c>
      <c r="N1150" s="0" t="s">
        <v>401</v>
      </c>
    </row>
    <row customHeight="1" ht="11.25">
      <c r="A1151" s="7657" t="s">
        <v>2195</v>
      </c>
      <c r="B1151" s="7657" t="s">
        <v>14</v>
      </c>
      <c r="C1151" s="7657" t="s">
        <v>3207</v>
      </c>
      <c r="D1151" s="7657" t="s">
        <v>3208</v>
      </c>
      <c r="E1151" s="7657" t="s">
        <v>3209</v>
      </c>
      <c r="F1151" s="7657" t="s">
        <v>3210</v>
      </c>
      <c r="G1151" s="7657" t="s">
        <v>17</v>
      </c>
      <c r="H1151" s="7657" t="s">
        <v>17</v>
      </c>
      <c r="I1151" s="7657" t="s">
        <v>2654</v>
      </c>
      <c r="J1151" s="0" t="s">
        <v>17</v>
      </c>
      <c r="K1151" s="0" t="s">
        <v>3365</v>
      </c>
      <c r="L1151" s="0" t="s">
        <v>3401</v>
      </c>
      <c r="M1151" s="0" t="s">
        <v>3402</v>
      </c>
      <c r="N1151" s="0" t="s">
        <v>401</v>
      </c>
    </row>
    <row customHeight="1" ht="11.25">
      <c r="A1152" s="7657" t="s">
        <v>2195</v>
      </c>
      <c r="B1152" s="7657" t="s">
        <v>14</v>
      </c>
      <c r="C1152" s="7657" t="s">
        <v>3207</v>
      </c>
      <c r="D1152" s="7657" t="s">
        <v>3208</v>
      </c>
      <c r="E1152" s="7657" t="s">
        <v>3209</v>
      </c>
      <c r="F1152" s="7657" t="s">
        <v>3210</v>
      </c>
      <c r="G1152" s="7657" t="s">
        <v>17</v>
      </c>
      <c r="H1152" s="7657" t="s">
        <v>17</v>
      </c>
      <c r="I1152" s="7657" t="s">
        <v>2240</v>
      </c>
      <c r="J1152" s="0" t="s">
        <v>17</v>
      </c>
      <c r="K1152" s="0" t="s">
        <v>3365</v>
      </c>
      <c r="L1152" s="0" t="s">
        <v>3374</v>
      </c>
      <c r="M1152" s="0" t="s">
        <v>3772</v>
      </c>
      <c r="N1152" s="0" t="s">
        <v>401</v>
      </c>
    </row>
    <row customHeight="1" ht="11.25">
      <c r="A1153" s="7657" t="s">
        <v>2195</v>
      </c>
      <c r="B1153" s="7657" t="s">
        <v>14</v>
      </c>
      <c r="C1153" s="7657" t="s">
        <v>3207</v>
      </c>
      <c r="D1153" s="7657" t="s">
        <v>3208</v>
      </c>
      <c r="E1153" s="7657" t="s">
        <v>3209</v>
      </c>
      <c r="F1153" s="7657" t="s">
        <v>3210</v>
      </c>
      <c r="G1153" s="7657" t="s">
        <v>17</v>
      </c>
      <c r="H1153" s="7657" t="s">
        <v>17</v>
      </c>
      <c r="I1153" s="7657" t="s">
        <v>2240</v>
      </c>
      <c r="J1153" s="0" t="s">
        <v>17</v>
      </c>
      <c r="K1153" s="0" t="s">
        <v>3362</v>
      </c>
      <c r="L1153" s="0" t="s">
        <v>3401</v>
      </c>
      <c r="M1153" s="0" t="s">
        <v>3402</v>
      </c>
      <c r="N1153" s="0" t="s">
        <v>401</v>
      </c>
    </row>
    <row customHeight="1" ht="11.25">
      <c r="A1154" s="7657" t="s">
        <v>2195</v>
      </c>
      <c r="B1154" s="7657" t="s">
        <v>14</v>
      </c>
      <c r="C1154" s="7657" t="s">
        <v>3207</v>
      </c>
      <c r="D1154" s="7657" t="s">
        <v>3208</v>
      </c>
      <c r="E1154" s="7657" t="s">
        <v>3209</v>
      </c>
      <c r="F1154" s="7657" t="s">
        <v>3210</v>
      </c>
      <c r="G1154" s="7657" t="s">
        <v>17</v>
      </c>
      <c r="H1154" s="7657" t="s">
        <v>17</v>
      </c>
      <c r="I1154" s="7657" t="s">
        <v>2240</v>
      </c>
      <c r="J1154" s="0" t="s">
        <v>17</v>
      </c>
      <c r="K1154" s="0" t="s">
        <v>3365</v>
      </c>
      <c r="L1154" s="0" t="s">
        <v>3401</v>
      </c>
      <c r="M1154" s="0" t="s">
        <v>3402</v>
      </c>
      <c r="N1154" s="0" t="s">
        <v>401</v>
      </c>
    </row>
    <row customHeight="1" ht="11.25">
      <c r="A1155" s="7657" t="s">
        <v>2195</v>
      </c>
      <c r="B1155" s="7657" t="s">
        <v>14</v>
      </c>
      <c r="C1155" s="7657" t="s">
        <v>3207</v>
      </c>
      <c r="D1155" s="7657" t="s">
        <v>3208</v>
      </c>
      <c r="E1155" s="7657" t="s">
        <v>3209</v>
      </c>
      <c r="F1155" s="7657" t="s">
        <v>3210</v>
      </c>
      <c r="G1155" s="7657" t="s">
        <v>17</v>
      </c>
      <c r="H1155" s="7657" t="s">
        <v>17</v>
      </c>
      <c r="I1155" s="7657" t="s">
        <v>2753</v>
      </c>
      <c r="J1155" s="0" t="s">
        <v>17</v>
      </c>
      <c r="K1155" s="0" t="s">
        <v>3362</v>
      </c>
      <c r="L1155" s="0" t="s">
        <v>3401</v>
      </c>
      <c r="M1155" s="0" t="s">
        <v>3402</v>
      </c>
      <c r="N1155" s="0" t="s">
        <v>401</v>
      </c>
    </row>
    <row customHeight="1" ht="11.25">
      <c r="A1156" s="7657" t="s">
        <v>2195</v>
      </c>
      <c r="B1156" s="7657" t="s">
        <v>14</v>
      </c>
      <c r="C1156" s="7657" t="s">
        <v>3207</v>
      </c>
      <c r="D1156" s="7657" t="s">
        <v>3208</v>
      </c>
      <c r="E1156" s="7657" t="s">
        <v>3209</v>
      </c>
      <c r="F1156" s="7657" t="s">
        <v>3210</v>
      </c>
      <c r="G1156" s="7657" t="s">
        <v>17</v>
      </c>
      <c r="H1156" s="7657" t="s">
        <v>17</v>
      </c>
      <c r="I1156" s="7657" t="s">
        <v>2753</v>
      </c>
      <c r="J1156" s="0" t="s">
        <v>17</v>
      </c>
      <c r="K1156" s="0" t="s">
        <v>3365</v>
      </c>
      <c r="L1156" s="0" t="s">
        <v>3401</v>
      </c>
      <c r="M1156" s="0" t="s">
        <v>3402</v>
      </c>
      <c r="N1156" s="0" t="s">
        <v>401</v>
      </c>
    </row>
    <row customHeight="1" ht="11.25">
      <c r="A1157" s="7657" t="s">
        <v>2195</v>
      </c>
      <c r="B1157" s="7657" t="s">
        <v>14</v>
      </c>
      <c r="C1157" s="7657" t="s">
        <v>4422</v>
      </c>
      <c r="D1157" s="7657" t="s">
        <v>4423</v>
      </c>
      <c r="E1157" s="7657" t="s">
        <v>4424</v>
      </c>
      <c r="F1157" s="7657" t="s">
        <v>2595</v>
      </c>
      <c r="G1157" s="7657" t="s">
        <v>17</v>
      </c>
      <c r="H1157" s="7657" t="s">
        <v>17</v>
      </c>
      <c r="I1157" s="7657" t="s">
        <v>4425</v>
      </c>
      <c r="J1157" s="0" t="s">
        <v>17</v>
      </c>
      <c r="K1157" s="0" t="s">
        <v>3362</v>
      </c>
      <c r="L1157" s="0" t="s">
        <v>3401</v>
      </c>
      <c r="M1157" s="0" t="s">
        <v>3402</v>
      </c>
      <c r="N1157" s="0" t="s">
        <v>401</v>
      </c>
    </row>
    <row customHeight="1" ht="11.25">
      <c r="A1158" s="7657" t="s">
        <v>2195</v>
      </c>
      <c r="B1158" s="7657" t="s">
        <v>14</v>
      </c>
      <c r="C1158" s="7657" t="s">
        <v>4422</v>
      </c>
      <c r="D1158" s="7657" t="s">
        <v>4423</v>
      </c>
      <c r="E1158" s="7657" t="s">
        <v>4424</v>
      </c>
      <c r="F1158" s="7657" t="s">
        <v>2595</v>
      </c>
      <c r="G1158" s="7657" t="s">
        <v>17</v>
      </c>
      <c r="H1158" s="7657" t="s">
        <v>17</v>
      </c>
      <c r="I1158" s="7657" t="s">
        <v>4425</v>
      </c>
      <c r="J1158" s="0" t="s">
        <v>17</v>
      </c>
      <c r="K1158" s="0" t="s">
        <v>3365</v>
      </c>
      <c r="L1158" s="0" t="s">
        <v>3401</v>
      </c>
      <c r="M1158" s="0" t="s">
        <v>3402</v>
      </c>
      <c r="N1158" s="0" t="s">
        <v>401</v>
      </c>
    </row>
    <row customHeight="1" ht="11.25">
      <c r="A1159" s="7657" t="s">
        <v>2195</v>
      </c>
      <c r="B1159" s="7657" t="s">
        <v>14</v>
      </c>
      <c r="C1159" s="7657" t="s">
        <v>4426</v>
      </c>
      <c r="D1159" s="7657" t="s">
        <v>4427</v>
      </c>
      <c r="E1159" s="7657" t="s">
        <v>4428</v>
      </c>
      <c r="F1159" s="7657" t="s">
        <v>2239</v>
      </c>
      <c r="G1159" s="7657" t="s">
        <v>4429</v>
      </c>
      <c r="H1159" s="7657" t="s">
        <v>17</v>
      </c>
      <c r="I1159" s="7657" t="s">
        <v>2228</v>
      </c>
      <c r="J1159" s="0" t="s">
        <v>17</v>
      </c>
      <c r="K1159" s="0" t="s">
        <v>3362</v>
      </c>
      <c r="L1159" s="0" t="s">
        <v>3401</v>
      </c>
      <c r="M1159" s="0" t="s">
        <v>3402</v>
      </c>
      <c r="N1159" s="0" t="s">
        <v>401</v>
      </c>
    </row>
    <row customHeight="1" ht="11.25">
      <c r="A1160" s="7657" t="s">
        <v>2195</v>
      </c>
      <c r="B1160" s="7657" t="s">
        <v>14</v>
      </c>
      <c r="C1160" s="7657" t="s">
        <v>4426</v>
      </c>
      <c r="D1160" s="7657" t="s">
        <v>4427</v>
      </c>
      <c r="E1160" s="7657" t="s">
        <v>4428</v>
      </c>
      <c r="F1160" s="7657" t="s">
        <v>2239</v>
      </c>
      <c r="G1160" s="7657" t="s">
        <v>4429</v>
      </c>
      <c r="H1160" s="7657" t="s">
        <v>17</v>
      </c>
      <c r="I1160" s="7657" t="s">
        <v>2228</v>
      </c>
      <c r="J1160" s="0" t="s">
        <v>17</v>
      </c>
      <c r="K1160" s="0" t="s">
        <v>3365</v>
      </c>
      <c r="L1160" s="0" t="s">
        <v>3401</v>
      </c>
      <c r="M1160" s="0" t="s">
        <v>3402</v>
      </c>
      <c r="N1160" s="0" t="s">
        <v>401</v>
      </c>
    </row>
    <row customHeight="1" ht="11.25">
      <c r="A1161" s="7657" t="s">
        <v>2195</v>
      </c>
      <c r="B1161" s="7657" t="s">
        <v>14</v>
      </c>
      <c r="C1161" s="7657" t="s">
        <v>4430</v>
      </c>
      <c r="D1161" s="7657" t="s">
        <v>4431</v>
      </c>
      <c r="E1161" s="7657" t="s">
        <v>4432</v>
      </c>
      <c r="F1161" s="7657" t="s">
        <v>2279</v>
      </c>
      <c r="G1161" s="7657" t="s">
        <v>17</v>
      </c>
      <c r="H1161" s="7657" t="s">
        <v>17</v>
      </c>
      <c r="I1161" s="7657" t="s">
        <v>2228</v>
      </c>
      <c r="J1161" s="0" t="s">
        <v>17</v>
      </c>
      <c r="K1161" s="0" t="s">
        <v>3362</v>
      </c>
      <c r="L1161" s="0" t="s">
        <v>3401</v>
      </c>
      <c r="M1161" s="0" t="s">
        <v>3402</v>
      </c>
      <c r="N1161" s="0" t="s">
        <v>401</v>
      </c>
    </row>
    <row customHeight="1" ht="11.25">
      <c r="A1162" s="7657" t="s">
        <v>2195</v>
      </c>
      <c r="B1162" s="7657" t="s">
        <v>14</v>
      </c>
      <c r="C1162" s="7657" t="s">
        <v>4430</v>
      </c>
      <c r="D1162" s="7657" t="s">
        <v>4431</v>
      </c>
      <c r="E1162" s="7657" t="s">
        <v>4432</v>
      </c>
      <c r="F1162" s="7657" t="s">
        <v>2279</v>
      </c>
      <c r="G1162" s="7657" t="s">
        <v>17</v>
      </c>
      <c r="H1162" s="7657" t="s">
        <v>17</v>
      </c>
      <c r="I1162" s="7657" t="s">
        <v>2228</v>
      </c>
      <c r="J1162" s="0" t="s">
        <v>17</v>
      </c>
      <c r="K1162" s="0" t="s">
        <v>3365</v>
      </c>
      <c r="L1162" s="0" t="s">
        <v>3401</v>
      </c>
      <c r="M1162" s="0" t="s">
        <v>3402</v>
      </c>
      <c r="N1162" s="0" t="s">
        <v>401</v>
      </c>
    </row>
    <row customHeight="1" ht="11.25">
      <c r="A1163" s="7657" t="s">
        <v>2195</v>
      </c>
      <c r="B1163" s="7657" t="s">
        <v>14</v>
      </c>
      <c r="C1163" s="7657" t="s">
        <v>4433</v>
      </c>
      <c r="D1163" s="7657" t="s">
        <v>4434</v>
      </c>
      <c r="E1163" s="7657" t="s">
        <v>4435</v>
      </c>
      <c r="F1163" s="7657" t="s">
        <v>2279</v>
      </c>
      <c r="G1163" s="7657" t="s">
        <v>17</v>
      </c>
      <c r="H1163" s="7657" t="s">
        <v>17</v>
      </c>
      <c r="I1163" s="7657" t="s">
        <v>2228</v>
      </c>
      <c r="J1163" s="0" t="s">
        <v>17</v>
      </c>
      <c r="K1163" s="0" t="s">
        <v>3362</v>
      </c>
      <c r="L1163" s="0" t="s">
        <v>3401</v>
      </c>
      <c r="M1163" s="0" t="s">
        <v>3402</v>
      </c>
      <c r="N1163" s="0" t="s">
        <v>401</v>
      </c>
    </row>
    <row customHeight="1" ht="11.25">
      <c r="A1164" s="7657" t="s">
        <v>2195</v>
      </c>
      <c r="B1164" s="7657" t="s">
        <v>14</v>
      </c>
      <c r="C1164" s="7657" t="s">
        <v>4433</v>
      </c>
      <c r="D1164" s="7657" t="s">
        <v>4434</v>
      </c>
      <c r="E1164" s="7657" t="s">
        <v>4435</v>
      </c>
      <c r="F1164" s="7657" t="s">
        <v>2279</v>
      </c>
      <c r="G1164" s="7657" t="s">
        <v>17</v>
      </c>
      <c r="H1164" s="7657" t="s">
        <v>17</v>
      </c>
      <c r="I1164" s="7657" t="s">
        <v>2228</v>
      </c>
      <c r="J1164" s="0" t="s">
        <v>17</v>
      </c>
      <c r="K1164" s="0" t="s">
        <v>3365</v>
      </c>
      <c r="L1164" s="0" t="s">
        <v>3401</v>
      </c>
      <c r="M1164" s="0" t="s">
        <v>3402</v>
      </c>
      <c r="N1164" s="0" t="s">
        <v>401</v>
      </c>
    </row>
    <row customHeight="1" ht="11.25">
      <c r="A1165" s="7657" t="s">
        <v>2195</v>
      </c>
      <c r="B1165" s="7657" t="s">
        <v>14</v>
      </c>
      <c r="C1165" s="7657" t="s">
        <v>3237</v>
      </c>
      <c r="D1165" s="7657" t="s">
        <v>3238</v>
      </c>
      <c r="E1165" s="7657" t="s">
        <v>3239</v>
      </c>
      <c r="F1165" s="7657" t="s">
        <v>2321</v>
      </c>
      <c r="G1165" s="7657" t="s">
        <v>3240</v>
      </c>
      <c r="H1165" s="7657" t="s">
        <v>17</v>
      </c>
      <c r="I1165" s="7657" t="s">
        <v>2228</v>
      </c>
      <c r="J1165" s="0" t="s">
        <v>17</v>
      </c>
      <c r="K1165" s="0" t="s">
        <v>3362</v>
      </c>
      <c r="L1165" s="0" t="s">
        <v>3363</v>
      </c>
      <c r="M1165" s="0" t="s">
        <v>3364</v>
      </c>
      <c r="N1165" s="0" t="s">
        <v>401</v>
      </c>
    </row>
    <row customHeight="1" ht="11.25">
      <c r="A1166" s="7657" t="s">
        <v>2195</v>
      </c>
      <c r="B1166" s="7657" t="s">
        <v>14</v>
      </c>
      <c r="C1166" s="7657" t="s">
        <v>3237</v>
      </c>
      <c r="D1166" s="7657" t="s">
        <v>3238</v>
      </c>
      <c r="E1166" s="7657" t="s">
        <v>3239</v>
      </c>
      <c r="F1166" s="7657" t="s">
        <v>2321</v>
      </c>
      <c r="G1166" s="7657" t="s">
        <v>3240</v>
      </c>
      <c r="H1166" s="7657" t="s">
        <v>17</v>
      </c>
      <c r="I1166" s="7657" t="s">
        <v>2228</v>
      </c>
      <c r="J1166" s="0" t="s">
        <v>17</v>
      </c>
      <c r="K1166" s="0" t="s">
        <v>3365</v>
      </c>
      <c r="L1166" s="0" t="s">
        <v>3363</v>
      </c>
      <c r="M1166" s="0" t="s">
        <v>3364</v>
      </c>
      <c r="N1166" s="0" t="s">
        <v>401</v>
      </c>
    </row>
    <row customHeight="1" ht="11.25">
      <c r="A1167" s="7657" t="s">
        <v>2195</v>
      </c>
      <c r="B1167" s="7657" t="s">
        <v>14</v>
      </c>
      <c r="C1167" s="7657" t="s">
        <v>3271</v>
      </c>
      <c r="D1167" s="7657" t="s">
        <v>3272</v>
      </c>
      <c r="E1167" s="7657" t="s">
        <v>2339</v>
      </c>
      <c r="F1167" s="7657" t="s">
        <v>2595</v>
      </c>
      <c r="G1167" s="7657" t="s">
        <v>17</v>
      </c>
      <c r="H1167" s="7657" t="s">
        <v>17</v>
      </c>
      <c r="I1167" s="7657" t="s">
        <v>2340</v>
      </c>
      <c r="J1167" s="0" t="s">
        <v>17</v>
      </c>
      <c r="K1167" s="0" t="s">
        <v>3362</v>
      </c>
      <c r="L1167" s="0" t="s">
        <v>3401</v>
      </c>
      <c r="M1167" s="0" t="s">
        <v>3402</v>
      </c>
      <c r="N1167" s="0" t="s">
        <v>401</v>
      </c>
    </row>
    <row customHeight="1" ht="11.25">
      <c r="A1168" s="7657" t="s">
        <v>2195</v>
      </c>
      <c r="B1168" s="7657" t="s">
        <v>14</v>
      </c>
      <c r="C1168" s="7657" t="s">
        <v>3271</v>
      </c>
      <c r="D1168" s="7657" t="s">
        <v>3272</v>
      </c>
      <c r="E1168" s="7657" t="s">
        <v>2339</v>
      </c>
      <c r="F1168" s="7657" t="s">
        <v>2595</v>
      </c>
      <c r="G1168" s="7657" t="s">
        <v>17</v>
      </c>
      <c r="H1168" s="7657" t="s">
        <v>17</v>
      </c>
      <c r="I1168" s="7657" t="s">
        <v>2340</v>
      </c>
      <c r="J1168" s="0" t="s">
        <v>17</v>
      </c>
      <c r="K1168" s="0" t="s">
        <v>3365</v>
      </c>
      <c r="L1168" s="0" t="s">
        <v>3401</v>
      </c>
      <c r="M1168" s="0" t="s">
        <v>3402</v>
      </c>
      <c r="N1168" s="0" t="s">
        <v>401</v>
      </c>
    </row>
    <row customHeight="1" ht="11.25">
      <c r="A1169" s="7657" t="s">
        <v>2195</v>
      </c>
      <c r="B1169" s="7657" t="s">
        <v>14</v>
      </c>
      <c r="C1169" s="7657" t="s">
        <v>3271</v>
      </c>
      <c r="D1169" s="7657" t="s">
        <v>3272</v>
      </c>
      <c r="E1169" s="7657" t="s">
        <v>2339</v>
      </c>
      <c r="F1169" s="7657" t="s">
        <v>2595</v>
      </c>
      <c r="G1169" s="7657" t="s">
        <v>17</v>
      </c>
      <c r="H1169" s="7657" t="s">
        <v>17</v>
      </c>
      <c r="I1169" s="7657" t="s">
        <v>2654</v>
      </c>
      <c r="J1169" s="0" t="s">
        <v>17</v>
      </c>
      <c r="K1169" s="0" t="s">
        <v>3362</v>
      </c>
      <c r="L1169" s="0" t="s">
        <v>3401</v>
      </c>
      <c r="M1169" s="0" t="s">
        <v>3402</v>
      </c>
      <c r="N1169" s="0" t="s">
        <v>401</v>
      </c>
    </row>
    <row customHeight="1" ht="11.25">
      <c r="A1170" s="7657" t="s">
        <v>2195</v>
      </c>
      <c r="B1170" s="7657" t="s">
        <v>14</v>
      </c>
      <c r="C1170" s="7657" t="s">
        <v>3271</v>
      </c>
      <c r="D1170" s="7657" t="s">
        <v>3272</v>
      </c>
      <c r="E1170" s="7657" t="s">
        <v>2339</v>
      </c>
      <c r="F1170" s="7657" t="s">
        <v>2595</v>
      </c>
      <c r="G1170" s="7657" t="s">
        <v>17</v>
      </c>
      <c r="H1170" s="7657" t="s">
        <v>17</v>
      </c>
      <c r="I1170" s="7657" t="s">
        <v>2654</v>
      </c>
      <c r="J1170" s="0" t="s">
        <v>17</v>
      </c>
      <c r="K1170" s="0" t="s">
        <v>3365</v>
      </c>
      <c r="L1170" s="0" t="s">
        <v>3401</v>
      </c>
      <c r="M1170" s="0" t="s">
        <v>3402</v>
      </c>
      <c r="N1170" s="0" t="s">
        <v>401</v>
      </c>
    </row>
    <row customHeight="1" ht="11.25">
      <c r="A1171" s="7657" t="s">
        <v>2195</v>
      </c>
      <c r="B1171" s="7657" t="s">
        <v>14</v>
      </c>
      <c r="C1171" s="7657" t="s">
        <v>3276</v>
      </c>
      <c r="D1171" s="7657" t="s">
        <v>3277</v>
      </c>
      <c r="E1171" s="7657" t="s">
        <v>2339</v>
      </c>
      <c r="F1171" s="7657" t="s">
        <v>3278</v>
      </c>
      <c r="G1171" s="7657" t="s">
        <v>17</v>
      </c>
      <c r="H1171" s="7657" t="s">
        <v>17</v>
      </c>
      <c r="I1171" s="7657" t="s">
        <v>2654</v>
      </c>
      <c r="J1171" s="0" t="s">
        <v>17</v>
      </c>
      <c r="K1171" s="0" t="s">
        <v>3362</v>
      </c>
      <c r="L1171" s="0" t="s">
        <v>3363</v>
      </c>
      <c r="M1171" s="0" t="s">
        <v>3364</v>
      </c>
      <c r="N1171" s="0" t="s">
        <v>401</v>
      </c>
    </row>
    <row customHeight="1" ht="11.25">
      <c r="A1172" s="7657" t="s">
        <v>2195</v>
      </c>
      <c r="B1172" s="7657" t="s">
        <v>14</v>
      </c>
      <c r="C1172" s="7657" t="s">
        <v>3276</v>
      </c>
      <c r="D1172" s="7657" t="s">
        <v>3277</v>
      </c>
      <c r="E1172" s="7657" t="s">
        <v>2339</v>
      </c>
      <c r="F1172" s="7657" t="s">
        <v>3278</v>
      </c>
      <c r="G1172" s="7657" t="s">
        <v>17</v>
      </c>
      <c r="H1172" s="7657" t="s">
        <v>17</v>
      </c>
      <c r="I1172" s="7657" t="s">
        <v>2654</v>
      </c>
      <c r="J1172" s="0" t="s">
        <v>17</v>
      </c>
      <c r="K1172" s="0" t="s">
        <v>3365</v>
      </c>
      <c r="L1172" s="0" t="s">
        <v>3363</v>
      </c>
      <c r="M1172" s="0" t="s">
        <v>3364</v>
      </c>
      <c r="N1172" s="0" t="s">
        <v>401</v>
      </c>
    </row>
    <row customHeight="1" ht="11.25">
      <c r="A1173" s="7657" t="s">
        <v>2195</v>
      </c>
      <c r="B1173" s="7657" t="s">
        <v>14</v>
      </c>
      <c r="C1173" s="7657" t="s">
        <v>3292</v>
      </c>
      <c r="D1173" s="7657" t="s">
        <v>3293</v>
      </c>
      <c r="E1173" s="7657" t="s">
        <v>3294</v>
      </c>
      <c r="F1173" s="7657" t="s">
        <v>3295</v>
      </c>
      <c r="G1173" s="7657" t="s">
        <v>17</v>
      </c>
      <c r="H1173" s="7657" t="s">
        <v>17</v>
      </c>
      <c r="I1173" s="7657" t="s">
        <v>3296</v>
      </c>
      <c r="J1173" s="0" t="s">
        <v>17</v>
      </c>
      <c r="K1173" s="0" t="s">
        <v>3362</v>
      </c>
      <c r="L1173" s="0" t="s">
        <v>3401</v>
      </c>
      <c r="M1173" s="0" t="s">
        <v>3402</v>
      </c>
      <c r="N1173" s="0" t="s">
        <v>401</v>
      </c>
    </row>
    <row customHeight="1" ht="11.25">
      <c r="A1174" s="7657" t="s">
        <v>2195</v>
      </c>
      <c r="B1174" s="7657" t="s">
        <v>14</v>
      </c>
      <c r="C1174" s="7657" t="s">
        <v>3292</v>
      </c>
      <c r="D1174" s="7657" t="s">
        <v>3293</v>
      </c>
      <c r="E1174" s="7657" t="s">
        <v>3294</v>
      </c>
      <c r="F1174" s="7657" t="s">
        <v>3295</v>
      </c>
      <c r="G1174" s="7657" t="s">
        <v>17</v>
      </c>
      <c r="H1174" s="7657" t="s">
        <v>17</v>
      </c>
      <c r="I1174" s="7657" t="s">
        <v>3296</v>
      </c>
      <c r="J1174" s="0" t="s">
        <v>17</v>
      </c>
      <c r="K1174" s="0" t="s">
        <v>3365</v>
      </c>
      <c r="L1174" s="0" t="s">
        <v>3401</v>
      </c>
      <c r="M1174" s="0" t="s">
        <v>3402</v>
      </c>
      <c r="N1174" s="0" t="s">
        <v>401</v>
      </c>
    </row>
    <row customHeight="1" ht="11.25">
      <c r="A1175" s="7657" t="s">
        <v>2195</v>
      </c>
      <c r="B1175" s="7657" t="s">
        <v>14</v>
      </c>
      <c r="C1175" s="7657" t="s">
        <v>4436</v>
      </c>
      <c r="D1175" s="7657" t="s">
        <v>4437</v>
      </c>
      <c r="E1175" s="7657" t="s">
        <v>4438</v>
      </c>
      <c r="F1175" s="7657" t="s">
        <v>4439</v>
      </c>
      <c r="G1175" s="7657" t="s">
        <v>4440</v>
      </c>
      <c r="H1175" s="7657" t="s">
        <v>17</v>
      </c>
      <c r="I1175" s="7657" t="s">
        <v>2654</v>
      </c>
      <c r="J1175" s="0" t="s">
        <v>17</v>
      </c>
      <c r="K1175" s="0" t="s">
        <v>3362</v>
      </c>
      <c r="L1175" s="0" t="s">
        <v>3519</v>
      </c>
      <c r="M1175" s="0" t="s">
        <v>3520</v>
      </c>
      <c r="N1175" s="0" t="s">
        <v>401</v>
      </c>
    </row>
    <row customHeight="1" ht="11.25">
      <c r="A1176" s="7657" t="s">
        <v>2195</v>
      </c>
      <c r="B1176" s="7657" t="s">
        <v>14</v>
      </c>
      <c r="C1176" s="7657" t="s">
        <v>4436</v>
      </c>
      <c r="D1176" s="7657" t="s">
        <v>4437</v>
      </c>
      <c r="E1176" s="7657" t="s">
        <v>4438</v>
      </c>
      <c r="F1176" s="7657" t="s">
        <v>4439</v>
      </c>
      <c r="G1176" s="7657" t="s">
        <v>4440</v>
      </c>
      <c r="H1176" s="7657" t="s">
        <v>17</v>
      </c>
      <c r="I1176" s="7657" t="s">
        <v>2654</v>
      </c>
      <c r="J1176" s="0" t="s">
        <v>17</v>
      </c>
      <c r="K1176" s="0" t="s">
        <v>3365</v>
      </c>
      <c r="L1176" s="0" t="s">
        <v>3519</v>
      </c>
      <c r="M1176" s="0" t="s">
        <v>3520</v>
      </c>
      <c r="N1176" s="0" t="s">
        <v>401</v>
      </c>
    </row>
    <row customHeight="1" ht="11.25">
      <c r="A1177" s="7657" t="s">
        <v>2195</v>
      </c>
      <c r="B1177" s="7657" t="s">
        <v>14</v>
      </c>
      <c r="C1177" s="7657" t="s">
        <v>4441</v>
      </c>
      <c r="D1177" s="7657" t="s">
        <v>4442</v>
      </c>
      <c r="E1177" s="7657" t="s">
        <v>4443</v>
      </c>
      <c r="F1177" s="7657" t="s">
        <v>2199</v>
      </c>
      <c r="G1177" s="7657" t="s">
        <v>4444</v>
      </c>
      <c r="H1177" s="7657" t="s">
        <v>17</v>
      </c>
      <c r="I1177" s="7657" t="s">
        <v>4444</v>
      </c>
      <c r="J1177" s="0" t="s">
        <v>17</v>
      </c>
      <c r="K1177" s="0" t="s">
        <v>4445</v>
      </c>
      <c r="L1177" s="0" t="s">
        <v>4446</v>
      </c>
      <c r="M1177" s="0" t="s">
        <v>4447</v>
      </c>
      <c r="N1177" s="0" t="s">
        <v>402</v>
      </c>
    </row>
    <row customHeight="1" ht="11.25">
      <c r="A1178" s="7657" t="s">
        <v>2195</v>
      </c>
      <c r="B1178" s="7657" t="s">
        <v>14</v>
      </c>
      <c r="C1178" s="7657" t="s">
        <v>4441</v>
      </c>
      <c r="D1178" s="7657" t="s">
        <v>4442</v>
      </c>
      <c r="E1178" s="7657" t="s">
        <v>4443</v>
      </c>
      <c r="F1178" s="7657" t="s">
        <v>2199</v>
      </c>
      <c r="G1178" s="7657" t="s">
        <v>4444</v>
      </c>
      <c r="H1178" s="7657" t="s">
        <v>17</v>
      </c>
      <c r="I1178" s="7657" t="s">
        <v>2208</v>
      </c>
      <c r="J1178" s="0" t="s">
        <v>17</v>
      </c>
      <c r="K1178" s="0" t="s">
        <v>4448</v>
      </c>
      <c r="L1178" s="0" t="s">
        <v>4449</v>
      </c>
      <c r="M1178" s="0" t="s">
        <v>4450</v>
      </c>
      <c r="N1178" s="0" t="s">
        <v>402</v>
      </c>
    </row>
    <row customHeight="1" ht="11.25">
      <c r="A1179" s="7657" t="s">
        <v>2195</v>
      </c>
      <c r="B1179" s="7657" t="s">
        <v>14</v>
      </c>
      <c r="C1179" s="7657" t="s">
        <v>4451</v>
      </c>
      <c r="D1179" s="7657" t="s">
        <v>4452</v>
      </c>
      <c r="E1179" s="7657" t="s">
        <v>4453</v>
      </c>
      <c r="F1179" s="7657" t="s">
        <v>2254</v>
      </c>
      <c r="G1179" s="7657" t="s">
        <v>4454</v>
      </c>
      <c r="H1179" s="7657" t="s">
        <v>17</v>
      </c>
      <c r="I1179" s="7657" t="s">
        <v>2228</v>
      </c>
      <c r="J1179" s="0" t="s">
        <v>17</v>
      </c>
      <c r="K1179" s="0" t="s">
        <v>4445</v>
      </c>
      <c r="L1179" s="0" t="s">
        <v>4446</v>
      </c>
      <c r="M1179" s="0" t="s">
        <v>4447</v>
      </c>
      <c r="N1179" s="0" t="s">
        <v>402</v>
      </c>
    </row>
    <row customHeight="1" ht="11.25">
      <c r="A1180" s="7657" t="s">
        <v>2195</v>
      </c>
      <c r="B1180" s="7657" t="s">
        <v>14</v>
      </c>
      <c r="C1180" s="7657" t="s">
        <v>2203</v>
      </c>
      <c r="D1180" s="7657" t="s">
        <v>2204</v>
      </c>
      <c r="E1180" s="7657" t="s">
        <v>2205</v>
      </c>
      <c r="F1180" s="7657" t="s">
        <v>2206</v>
      </c>
      <c r="G1180" s="7657" t="s">
        <v>2207</v>
      </c>
      <c r="H1180" s="7657" t="s">
        <v>17</v>
      </c>
      <c r="I1180" s="7657" t="s">
        <v>2208</v>
      </c>
      <c r="J1180" s="0" t="s">
        <v>17</v>
      </c>
      <c r="K1180" s="0" t="s">
        <v>4445</v>
      </c>
      <c r="L1180" s="0" t="s">
        <v>4446</v>
      </c>
      <c r="M1180" s="0" t="s">
        <v>4447</v>
      </c>
      <c r="N1180" s="0" t="s">
        <v>402</v>
      </c>
    </row>
    <row customHeight="1" ht="11.25">
      <c r="A1181" s="7657" t="s">
        <v>2195</v>
      </c>
      <c r="B1181" s="7657" t="s">
        <v>14</v>
      </c>
      <c r="C1181" s="7657" t="s">
        <v>4455</v>
      </c>
      <c r="D1181" s="7657" t="s">
        <v>4456</v>
      </c>
      <c r="E1181" s="7657" t="s">
        <v>4457</v>
      </c>
      <c r="F1181" s="7657" t="s">
        <v>3016</v>
      </c>
      <c r="G1181" s="7657" t="s">
        <v>17</v>
      </c>
      <c r="H1181" s="7657" t="s">
        <v>17</v>
      </c>
      <c r="I1181" s="7657" t="s">
        <v>2534</v>
      </c>
      <c r="J1181" s="0" t="s">
        <v>17</v>
      </c>
      <c r="K1181" s="0" t="s">
        <v>4445</v>
      </c>
      <c r="L1181" s="0" t="s">
        <v>4446</v>
      </c>
      <c r="M1181" s="0" t="s">
        <v>4447</v>
      </c>
      <c r="N1181" s="0" t="s">
        <v>402</v>
      </c>
    </row>
    <row customHeight="1" ht="11.25">
      <c r="A1182" s="7657" t="s">
        <v>2195</v>
      </c>
      <c r="B1182" s="7657" t="s">
        <v>14</v>
      </c>
      <c r="C1182" s="7657" t="s">
        <v>3381</v>
      </c>
      <c r="D1182" s="7657" t="s">
        <v>3382</v>
      </c>
      <c r="E1182" s="7657" t="s">
        <v>3383</v>
      </c>
      <c r="F1182" s="7657" t="s">
        <v>3004</v>
      </c>
      <c r="G1182" s="7657" t="s">
        <v>3384</v>
      </c>
      <c r="H1182" s="7657" t="s">
        <v>17</v>
      </c>
      <c r="I1182" s="7657" t="s">
        <v>2208</v>
      </c>
      <c r="J1182" s="0" t="s">
        <v>17</v>
      </c>
      <c r="K1182" s="0" t="s">
        <v>4448</v>
      </c>
      <c r="L1182" s="0" t="s">
        <v>4449</v>
      </c>
      <c r="M1182" s="0" t="s">
        <v>4450</v>
      </c>
      <c r="N1182" s="0" t="s">
        <v>402</v>
      </c>
    </row>
    <row customHeight="1" ht="11.25">
      <c r="A1183" s="7657" t="s">
        <v>2195</v>
      </c>
      <c r="B1183" s="7657" t="s">
        <v>14</v>
      </c>
      <c r="C1183" s="7657" t="s">
        <v>3381</v>
      </c>
      <c r="D1183" s="7657" t="s">
        <v>3382</v>
      </c>
      <c r="E1183" s="7657" t="s">
        <v>3383</v>
      </c>
      <c r="F1183" s="7657" t="s">
        <v>3004</v>
      </c>
      <c r="G1183" s="7657" t="s">
        <v>3384</v>
      </c>
      <c r="H1183" s="7657" t="s">
        <v>17</v>
      </c>
      <c r="I1183" s="7657" t="s">
        <v>2208</v>
      </c>
      <c r="J1183" s="0" t="s">
        <v>17</v>
      </c>
      <c r="K1183" s="0" t="s">
        <v>4445</v>
      </c>
      <c r="L1183" s="0" t="s">
        <v>4446</v>
      </c>
      <c r="M1183" s="0" t="s">
        <v>4447</v>
      </c>
      <c r="N1183" s="0" t="s">
        <v>402</v>
      </c>
    </row>
    <row customHeight="1" ht="11.25">
      <c r="A1184" s="7657" t="s">
        <v>2195</v>
      </c>
      <c r="B1184" s="7657" t="s">
        <v>14</v>
      </c>
      <c r="C1184" s="7657" t="s">
        <v>3388</v>
      </c>
      <c r="D1184" s="7657" t="s">
        <v>3389</v>
      </c>
      <c r="E1184" s="7657" t="s">
        <v>3390</v>
      </c>
      <c r="F1184" s="7657" t="s">
        <v>2279</v>
      </c>
      <c r="G1184" s="7657" t="s">
        <v>17</v>
      </c>
      <c r="H1184" s="7657" t="s">
        <v>17</v>
      </c>
      <c r="I1184" s="7657" t="s">
        <v>4458</v>
      </c>
      <c r="J1184" s="0" t="s">
        <v>4459</v>
      </c>
      <c r="K1184" s="0" t="s">
        <v>4445</v>
      </c>
      <c r="L1184" s="0" t="s">
        <v>4446</v>
      </c>
      <c r="M1184" s="0" t="s">
        <v>4447</v>
      </c>
      <c r="N1184" s="0" t="s">
        <v>402</v>
      </c>
    </row>
    <row customHeight="1" ht="11.25">
      <c r="A1185" s="7657" t="s">
        <v>2195</v>
      </c>
      <c r="B1185" s="7657" t="s">
        <v>14</v>
      </c>
      <c r="C1185" s="7657" t="s">
        <v>3388</v>
      </c>
      <c r="D1185" s="7657" t="s">
        <v>3389</v>
      </c>
      <c r="E1185" s="7657" t="s">
        <v>3390</v>
      </c>
      <c r="F1185" s="7657" t="s">
        <v>2279</v>
      </c>
      <c r="G1185" s="7657" t="s">
        <v>17</v>
      </c>
      <c r="H1185" s="7657" t="s">
        <v>17</v>
      </c>
      <c r="I1185" s="7657" t="s">
        <v>4459</v>
      </c>
      <c r="J1185" s="0" t="s">
        <v>17</v>
      </c>
      <c r="K1185" s="0" t="s">
        <v>4445</v>
      </c>
      <c r="L1185" s="0" t="s">
        <v>4446</v>
      </c>
      <c r="M1185" s="0" t="s">
        <v>4447</v>
      </c>
      <c r="N1185" s="0" t="s">
        <v>402</v>
      </c>
    </row>
    <row customHeight="1" ht="11.25">
      <c r="A1186" s="7657" t="s">
        <v>2195</v>
      </c>
      <c r="B1186" s="7657" t="s">
        <v>14</v>
      </c>
      <c r="C1186" s="7657" t="s">
        <v>4460</v>
      </c>
      <c r="D1186" s="7657" t="s">
        <v>4461</v>
      </c>
      <c r="E1186" s="7657" t="s">
        <v>4462</v>
      </c>
      <c r="F1186" s="7657" t="s">
        <v>2478</v>
      </c>
      <c r="G1186" s="7657" t="s">
        <v>4463</v>
      </c>
      <c r="H1186" s="7657" t="s">
        <v>17</v>
      </c>
      <c r="I1186" s="7657" t="s">
        <v>2208</v>
      </c>
      <c r="J1186" s="0" t="s">
        <v>17</v>
      </c>
      <c r="K1186" s="0" t="s">
        <v>4445</v>
      </c>
      <c r="L1186" s="0" t="s">
        <v>4446</v>
      </c>
      <c r="M1186" s="0" t="s">
        <v>4447</v>
      </c>
      <c r="N1186" s="0" t="s">
        <v>402</v>
      </c>
    </row>
    <row customHeight="1" ht="11.25">
      <c r="A1187" s="7657" t="s">
        <v>2195</v>
      </c>
      <c r="B1187" s="7657" t="s">
        <v>14</v>
      </c>
      <c r="C1187" s="7657" t="s">
        <v>2251</v>
      </c>
      <c r="D1187" s="7657" t="s">
        <v>2252</v>
      </c>
      <c r="E1187" s="7657" t="s">
        <v>2253</v>
      </c>
      <c r="F1187" s="7657" t="s">
        <v>2254</v>
      </c>
      <c r="G1187" s="7657" t="s">
        <v>2255</v>
      </c>
      <c r="H1187" s="7657" t="s">
        <v>17</v>
      </c>
      <c r="I1187" s="7657" t="s">
        <v>2228</v>
      </c>
      <c r="J1187" s="0" t="s">
        <v>17</v>
      </c>
      <c r="K1187" s="0" t="s">
        <v>4448</v>
      </c>
      <c r="L1187" s="0" t="s">
        <v>4464</v>
      </c>
      <c r="M1187" s="0" t="s">
        <v>4465</v>
      </c>
      <c r="N1187" s="0" t="s">
        <v>402</v>
      </c>
    </row>
    <row customHeight="1" ht="11.25">
      <c r="A1188" s="7657" t="s">
        <v>2195</v>
      </c>
      <c r="B1188" s="7657" t="s">
        <v>14</v>
      </c>
      <c r="C1188" s="7657" t="s">
        <v>2260</v>
      </c>
      <c r="D1188" s="7657" t="s">
        <v>2261</v>
      </c>
      <c r="E1188" s="7657" t="s">
        <v>2262</v>
      </c>
      <c r="F1188" s="7657" t="s">
        <v>2263</v>
      </c>
      <c r="G1188" s="7657" t="s">
        <v>2223</v>
      </c>
      <c r="H1188" s="7657" t="s">
        <v>17</v>
      </c>
      <c r="I1188" s="7657" t="s">
        <v>2223</v>
      </c>
      <c r="J1188" s="0" t="s">
        <v>17</v>
      </c>
      <c r="K1188" s="0" t="s">
        <v>4445</v>
      </c>
      <c r="L1188" s="0" t="s">
        <v>4466</v>
      </c>
      <c r="M1188" s="0" t="s">
        <v>4467</v>
      </c>
      <c r="N1188" s="0" t="s">
        <v>402</v>
      </c>
    </row>
    <row customHeight="1" ht="11.25">
      <c r="A1189" s="7657" t="s">
        <v>2195</v>
      </c>
      <c r="B1189" s="7657" t="s">
        <v>14</v>
      </c>
      <c r="C1189" s="7657" t="s">
        <v>4468</v>
      </c>
      <c r="D1189" s="7657" t="s">
        <v>4469</v>
      </c>
      <c r="E1189" s="7657" t="s">
        <v>4470</v>
      </c>
      <c r="F1189" s="7657" t="s">
        <v>2279</v>
      </c>
      <c r="G1189" s="7657" t="s">
        <v>17</v>
      </c>
      <c r="H1189" s="7657" t="s">
        <v>17</v>
      </c>
      <c r="I1189" s="7657" t="s">
        <v>2534</v>
      </c>
      <c r="J1189" s="0" t="s">
        <v>4459</v>
      </c>
      <c r="K1189" s="0" t="s">
        <v>4445</v>
      </c>
      <c r="L1189" s="0" t="s">
        <v>4446</v>
      </c>
      <c r="M1189" s="0" t="s">
        <v>4447</v>
      </c>
      <c r="N1189" s="0" t="s">
        <v>402</v>
      </c>
    </row>
    <row customHeight="1" ht="11.25">
      <c r="A1190" s="7657" t="s">
        <v>2195</v>
      </c>
      <c r="B1190" s="7657" t="s">
        <v>14</v>
      </c>
      <c r="C1190" s="7657" t="s">
        <v>3418</v>
      </c>
      <c r="D1190" s="7657" t="s">
        <v>3419</v>
      </c>
      <c r="E1190" s="7657" t="s">
        <v>3420</v>
      </c>
      <c r="F1190" s="7657" t="s">
        <v>3421</v>
      </c>
      <c r="G1190" s="7657" t="s">
        <v>3422</v>
      </c>
      <c r="H1190" s="7657" t="s">
        <v>17</v>
      </c>
      <c r="I1190" s="7657" t="s">
        <v>3422</v>
      </c>
      <c r="J1190" s="0" t="s">
        <v>17</v>
      </c>
      <c r="K1190" s="0" t="s">
        <v>4445</v>
      </c>
      <c r="L1190" s="0" t="s">
        <v>4446</v>
      </c>
      <c r="M1190" s="0" t="s">
        <v>4447</v>
      </c>
      <c r="N1190" s="0" t="s">
        <v>402</v>
      </c>
    </row>
    <row customHeight="1" ht="11.25">
      <c r="A1191" s="7657" t="s">
        <v>2195</v>
      </c>
      <c r="B1191" s="7657" t="s">
        <v>14</v>
      </c>
      <c r="C1191" s="7657" t="s">
        <v>2298</v>
      </c>
      <c r="D1191" s="7657" t="s">
        <v>2299</v>
      </c>
      <c r="E1191" s="7657" t="s">
        <v>2300</v>
      </c>
      <c r="F1191" s="7657" t="s">
        <v>2279</v>
      </c>
      <c r="G1191" s="7657" t="s">
        <v>17</v>
      </c>
      <c r="H1191" s="7657" t="s">
        <v>17</v>
      </c>
      <c r="I1191" s="7657" t="s">
        <v>2228</v>
      </c>
      <c r="J1191" s="0" t="s">
        <v>17</v>
      </c>
      <c r="K1191" s="0" t="s">
        <v>4445</v>
      </c>
      <c r="L1191" s="0" t="s">
        <v>4446</v>
      </c>
      <c r="M1191" s="0" t="s">
        <v>4447</v>
      </c>
      <c r="N1191" s="0" t="s">
        <v>402</v>
      </c>
    </row>
    <row customHeight="1" ht="11.25">
      <c r="A1192" s="7657" t="s">
        <v>2195</v>
      </c>
      <c r="B1192" s="7657" t="s">
        <v>14</v>
      </c>
      <c r="C1192" s="7657" t="s">
        <v>4471</v>
      </c>
      <c r="D1192" s="7657" t="s">
        <v>4472</v>
      </c>
      <c r="E1192" s="7657" t="s">
        <v>4473</v>
      </c>
      <c r="F1192" s="7657" t="s">
        <v>3421</v>
      </c>
      <c r="G1192" s="7657" t="s">
        <v>4474</v>
      </c>
      <c r="H1192" s="7657" t="s">
        <v>17</v>
      </c>
      <c r="I1192" s="7657" t="s">
        <v>4474</v>
      </c>
      <c r="J1192" s="0" t="s">
        <v>17</v>
      </c>
      <c r="K1192" s="0" t="s">
        <v>4445</v>
      </c>
      <c r="L1192" s="0" t="s">
        <v>4446</v>
      </c>
      <c r="M1192" s="0" t="s">
        <v>4447</v>
      </c>
      <c r="N1192" s="0" t="s">
        <v>402</v>
      </c>
    </row>
    <row customHeight="1" ht="11.25">
      <c r="A1193" s="7657" t="s">
        <v>2195</v>
      </c>
      <c r="B1193" s="7657" t="s">
        <v>14</v>
      </c>
      <c r="C1193" s="7657" t="s">
        <v>4475</v>
      </c>
      <c r="D1193" s="7657" t="s">
        <v>4476</v>
      </c>
      <c r="E1193" s="7657" t="s">
        <v>4477</v>
      </c>
      <c r="F1193" s="7657" t="s">
        <v>4478</v>
      </c>
      <c r="G1193" s="7657" t="s">
        <v>17</v>
      </c>
      <c r="H1193" s="7657" t="s">
        <v>17</v>
      </c>
      <c r="I1193" s="7657" t="s">
        <v>2228</v>
      </c>
      <c r="J1193" s="0" t="s">
        <v>17</v>
      </c>
      <c r="K1193" s="0" t="s">
        <v>4445</v>
      </c>
      <c r="L1193" s="0" t="s">
        <v>4446</v>
      </c>
      <c r="M1193" s="0" t="s">
        <v>4447</v>
      </c>
      <c r="N1193" s="0" t="s">
        <v>402</v>
      </c>
    </row>
    <row customHeight="1" ht="11.25">
      <c r="A1194" s="7657" t="s">
        <v>2195</v>
      </c>
      <c r="B1194" s="7657" t="s">
        <v>14</v>
      </c>
      <c r="C1194" s="7657" t="s">
        <v>2337</v>
      </c>
      <c r="D1194" s="7657" t="s">
        <v>2338</v>
      </c>
      <c r="E1194" s="7657" t="s">
        <v>2339</v>
      </c>
      <c r="F1194" s="7657" t="s">
        <v>2232</v>
      </c>
      <c r="G1194" s="7657" t="s">
        <v>17</v>
      </c>
      <c r="H1194" s="7657" t="s">
        <v>17</v>
      </c>
      <c r="I1194" s="7657" t="s">
        <v>3312</v>
      </c>
      <c r="J1194" s="0" t="s">
        <v>17</v>
      </c>
      <c r="K1194" s="0" t="s">
        <v>4445</v>
      </c>
      <c r="L1194" s="0" t="s">
        <v>4446</v>
      </c>
      <c r="M1194" s="0" t="s">
        <v>4447</v>
      </c>
      <c r="N1194" s="0" t="s">
        <v>402</v>
      </c>
    </row>
    <row customHeight="1" ht="11.25">
      <c r="A1195" s="7657" t="s">
        <v>2195</v>
      </c>
      <c r="B1195" s="7657" t="s">
        <v>14</v>
      </c>
      <c r="C1195" s="7657" t="s">
        <v>3436</v>
      </c>
      <c r="D1195" s="7657" t="s">
        <v>3437</v>
      </c>
      <c r="E1195" s="7657" t="s">
        <v>3438</v>
      </c>
      <c r="F1195" s="7657" t="s">
        <v>2317</v>
      </c>
      <c r="G1195" s="7657" t="s">
        <v>3439</v>
      </c>
      <c r="H1195" s="7657" t="s">
        <v>17</v>
      </c>
      <c r="I1195" s="7657" t="s">
        <v>2208</v>
      </c>
      <c r="J1195" s="0" t="s">
        <v>17</v>
      </c>
      <c r="K1195" s="0" t="s">
        <v>4445</v>
      </c>
      <c r="L1195" s="0" t="s">
        <v>4446</v>
      </c>
      <c r="M1195" s="0" t="s">
        <v>4447</v>
      </c>
      <c r="N1195" s="0" t="s">
        <v>402</v>
      </c>
    </row>
    <row customHeight="1" ht="11.25">
      <c r="A1196" s="7657" t="s">
        <v>2195</v>
      </c>
      <c r="B1196" s="7657" t="s">
        <v>14</v>
      </c>
      <c r="C1196" s="7657" t="s">
        <v>2341</v>
      </c>
      <c r="D1196" s="7657" t="s">
        <v>2342</v>
      </c>
      <c r="E1196" s="7657" t="s">
        <v>2343</v>
      </c>
      <c r="F1196" s="7657" t="s">
        <v>2206</v>
      </c>
      <c r="G1196" s="7657" t="s">
        <v>2344</v>
      </c>
      <c r="H1196" s="7657" t="s">
        <v>17</v>
      </c>
      <c r="I1196" s="7657" t="s">
        <v>2208</v>
      </c>
      <c r="J1196" s="0" t="s">
        <v>17</v>
      </c>
      <c r="K1196" s="0" t="s">
        <v>4445</v>
      </c>
      <c r="L1196" s="0" t="s">
        <v>4446</v>
      </c>
      <c r="M1196" s="0" t="s">
        <v>4447</v>
      </c>
      <c r="N1196" s="0" t="s">
        <v>402</v>
      </c>
    </row>
    <row customHeight="1" ht="11.25">
      <c r="A1197" s="7657" t="s">
        <v>2195</v>
      </c>
      <c r="B1197" s="7657" t="s">
        <v>14</v>
      </c>
      <c r="C1197" s="7657" t="s">
        <v>2341</v>
      </c>
      <c r="D1197" s="7657" t="s">
        <v>2342</v>
      </c>
      <c r="E1197" s="7657" t="s">
        <v>2343</v>
      </c>
      <c r="F1197" s="7657" t="s">
        <v>2206</v>
      </c>
      <c r="G1197" s="7657" t="s">
        <v>2344</v>
      </c>
      <c r="H1197" s="7657" t="s">
        <v>17</v>
      </c>
      <c r="I1197" s="7657" t="s">
        <v>4084</v>
      </c>
      <c r="J1197" s="0" t="s">
        <v>17</v>
      </c>
      <c r="K1197" s="0" t="s">
        <v>4445</v>
      </c>
      <c r="L1197" s="0" t="s">
        <v>4446</v>
      </c>
      <c r="M1197" s="0" t="s">
        <v>4447</v>
      </c>
      <c r="N1197" s="0" t="s">
        <v>402</v>
      </c>
    </row>
    <row customHeight="1" ht="11.25">
      <c r="A1198" s="7657" t="s">
        <v>2195</v>
      </c>
      <c r="B1198" s="7657" t="s">
        <v>14</v>
      </c>
      <c r="C1198" s="7657" t="s">
        <v>3440</v>
      </c>
      <c r="D1198" s="7657" t="s">
        <v>3441</v>
      </c>
      <c r="E1198" s="7657" t="s">
        <v>3442</v>
      </c>
      <c r="F1198" s="7657" t="s">
        <v>3443</v>
      </c>
      <c r="G1198" s="7657" t="s">
        <v>3444</v>
      </c>
      <c r="H1198" s="7657" t="s">
        <v>17</v>
      </c>
      <c r="I1198" s="7657" t="s">
        <v>3444</v>
      </c>
      <c r="J1198" s="0" t="s">
        <v>17</v>
      </c>
      <c r="K1198" s="0" t="s">
        <v>4445</v>
      </c>
      <c r="L1198" s="0" t="s">
        <v>4446</v>
      </c>
      <c r="M1198" s="0" t="s">
        <v>4447</v>
      </c>
      <c r="N1198" s="0" t="s">
        <v>402</v>
      </c>
    </row>
    <row customHeight="1" ht="11.25">
      <c r="A1199" s="7657" t="s">
        <v>2195</v>
      </c>
      <c r="B1199" s="7657" t="s">
        <v>14</v>
      </c>
      <c r="C1199" s="7657" t="s">
        <v>3445</v>
      </c>
      <c r="D1199" s="7657" t="s">
        <v>3446</v>
      </c>
      <c r="E1199" s="7657" t="s">
        <v>3447</v>
      </c>
      <c r="F1199" s="7657" t="s">
        <v>2590</v>
      </c>
      <c r="G1199" s="7657" t="s">
        <v>3448</v>
      </c>
      <c r="H1199" s="7657" t="s">
        <v>17</v>
      </c>
      <c r="I1199" s="7657" t="s">
        <v>2534</v>
      </c>
      <c r="J1199" s="0" t="s">
        <v>17</v>
      </c>
      <c r="K1199" s="0" t="s">
        <v>4445</v>
      </c>
      <c r="L1199" s="0" t="s">
        <v>4446</v>
      </c>
      <c r="M1199" s="0" t="s">
        <v>4447</v>
      </c>
      <c r="N1199" s="0" t="s">
        <v>402</v>
      </c>
    </row>
    <row customHeight="1" ht="11.25">
      <c r="A1200" s="7657" t="s">
        <v>2195</v>
      </c>
      <c r="B1200" s="7657" t="s">
        <v>14</v>
      </c>
      <c r="C1200" s="7657" t="s">
        <v>2361</v>
      </c>
      <c r="D1200" s="7657" t="s">
        <v>2362</v>
      </c>
      <c r="E1200" s="7657" t="s">
        <v>2363</v>
      </c>
      <c r="F1200" s="7657" t="s">
        <v>2364</v>
      </c>
      <c r="G1200" s="7657" t="s">
        <v>2365</v>
      </c>
      <c r="H1200" s="7657" t="s">
        <v>17</v>
      </c>
      <c r="I1200" s="7657" t="s">
        <v>2228</v>
      </c>
      <c r="J1200" s="0" t="s">
        <v>17</v>
      </c>
      <c r="K1200" s="0" t="s">
        <v>4448</v>
      </c>
      <c r="L1200" s="0" t="s">
        <v>4464</v>
      </c>
      <c r="M1200" s="0" t="s">
        <v>4465</v>
      </c>
      <c r="N1200" s="0" t="s">
        <v>402</v>
      </c>
    </row>
    <row customHeight="1" ht="11.25">
      <c r="A1201" s="7657" t="s">
        <v>2195</v>
      </c>
      <c r="B1201" s="7657" t="s">
        <v>14</v>
      </c>
      <c r="C1201" s="7657" t="s">
        <v>3461</v>
      </c>
      <c r="D1201" s="7657" t="s">
        <v>3462</v>
      </c>
      <c r="E1201" s="7657" t="s">
        <v>3463</v>
      </c>
      <c r="F1201" s="7657" t="s">
        <v>2239</v>
      </c>
      <c r="G1201" s="7657" t="s">
        <v>3464</v>
      </c>
      <c r="H1201" s="7657" t="s">
        <v>17</v>
      </c>
      <c r="I1201" s="7657" t="s">
        <v>2208</v>
      </c>
      <c r="J1201" s="0" t="s">
        <v>3465</v>
      </c>
      <c r="K1201" s="0" t="s">
        <v>4445</v>
      </c>
      <c r="L1201" s="0" t="s">
        <v>4446</v>
      </c>
      <c r="M1201" s="0" t="s">
        <v>4447</v>
      </c>
      <c r="N1201" s="0" t="s">
        <v>402</v>
      </c>
    </row>
    <row customHeight="1" ht="11.25">
      <c r="A1202" s="7657" t="s">
        <v>2195</v>
      </c>
      <c r="B1202" s="7657" t="s">
        <v>14</v>
      </c>
      <c r="C1202" s="7657" t="s">
        <v>2391</v>
      </c>
      <c r="D1202" s="7657" t="s">
        <v>2392</v>
      </c>
      <c r="E1202" s="7657" t="s">
        <v>2393</v>
      </c>
      <c r="F1202" s="7657" t="s">
        <v>2388</v>
      </c>
      <c r="G1202" s="7657" t="s">
        <v>2394</v>
      </c>
      <c r="H1202" s="7657" t="s">
        <v>17</v>
      </c>
      <c r="I1202" s="7657" t="s">
        <v>2552</v>
      </c>
      <c r="J1202" s="0" t="s">
        <v>17</v>
      </c>
      <c r="K1202" s="0" t="s">
        <v>4445</v>
      </c>
      <c r="L1202" s="0" t="s">
        <v>4446</v>
      </c>
      <c r="M1202" s="0" t="s">
        <v>4447</v>
      </c>
      <c r="N1202" s="0" t="s">
        <v>402</v>
      </c>
    </row>
    <row customHeight="1" ht="11.25">
      <c r="A1203" s="7657" t="s">
        <v>2195</v>
      </c>
      <c r="B1203" s="7657" t="s">
        <v>14</v>
      </c>
      <c r="C1203" s="7657" t="s">
        <v>3466</v>
      </c>
      <c r="D1203" s="7657" t="s">
        <v>3467</v>
      </c>
      <c r="E1203" s="7657" t="s">
        <v>3468</v>
      </c>
      <c r="F1203" s="7657" t="s">
        <v>2239</v>
      </c>
      <c r="G1203" s="7657" t="s">
        <v>3469</v>
      </c>
      <c r="H1203" s="7657" t="s">
        <v>17</v>
      </c>
      <c r="I1203" s="7657" t="s">
        <v>4479</v>
      </c>
      <c r="J1203" s="0" t="s">
        <v>17</v>
      </c>
      <c r="K1203" s="0" t="s">
        <v>4445</v>
      </c>
      <c r="L1203" s="0" t="s">
        <v>4446</v>
      </c>
      <c r="M1203" s="0" t="s">
        <v>4447</v>
      </c>
      <c r="N1203" s="0" t="s">
        <v>402</v>
      </c>
    </row>
    <row customHeight="1" ht="11.25">
      <c r="A1204" s="7657" t="s">
        <v>2195</v>
      </c>
      <c r="B1204" s="7657" t="s">
        <v>14</v>
      </c>
      <c r="C1204" s="7657" t="s">
        <v>3476</v>
      </c>
      <c r="D1204" s="7657" t="s">
        <v>3477</v>
      </c>
      <c r="E1204" s="7657" t="s">
        <v>3478</v>
      </c>
      <c r="F1204" s="7657" t="s">
        <v>2695</v>
      </c>
      <c r="G1204" s="7657" t="s">
        <v>17</v>
      </c>
      <c r="H1204" s="7657" t="s">
        <v>17</v>
      </c>
      <c r="I1204" s="7657" t="s">
        <v>2612</v>
      </c>
      <c r="J1204" s="0" t="s">
        <v>17</v>
      </c>
      <c r="K1204" s="0" t="s">
        <v>4445</v>
      </c>
      <c r="L1204" s="0" t="s">
        <v>4446</v>
      </c>
      <c r="M1204" s="0" t="s">
        <v>4447</v>
      </c>
      <c r="N1204" s="0" t="s">
        <v>402</v>
      </c>
    </row>
    <row customHeight="1" ht="11.25">
      <c r="A1205" s="7657" t="s">
        <v>2195</v>
      </c>
      <c r="B1205" s="7657" t="s">
        <v>14</v>
      </c>
      <c r="C1205" s="7657" t="s">
        <v>4480</v>
      </c>
      <c r="D1205" s="7657" t="s">
        <v>4481</v>
      </c>
      <c r="E1205" s="7657" t="s">
        <v>4482</v>
      </c>
      <c r="F1205" s="7657" t="s">
        <v>3754</v>
      </c>
      <c r="G1205" s="7657" t="s">
        <v>2228</v>
      </c>
      <c r="H1205" s="7657" t="s">
        <v>17</v>
      </c>
      <c r="I1205" s="7657" t="s">
        <v>2228</v>
      </c>
      <c r="J1205" s="0" t="s">
        <v>17</v>
      </c>
      <c r="K1205" s="0" t="s">
        <v>4445</v>
      </c>
      <c r="L1205" s="0" t="s">
        <v>4446</v>
      </c>
      <c r="M1205" s="0" t="s">
        <v>4447</v>
      </c>
      <c r="N1205" s="0" t="s">
        <v>402</v>
      </c>
    </row>
    <row customHeight="1" ht="11.25">
      <c r="A1206" s="7657" t="s">
        <v>2195</v>
      </c>
      <c r="B1206" s="7657" t="s">
        <v>14</v>
      </c>
      <c r="C1206" s="7657" t="s">
        <v>3490</v>
      </c>
      <c r="D1206" s="7657" t="s">
        <v>3491</v>
      </c>
      <c r="E1206" s="7657" t="s">
        <v>3492</v>
      </c>
      <c r="F1206" s="7657" t="s">
        <v>3493</v>
      </c>
      <c r="G1206" s="7657" t="s">
        <v>3494</v>
      </c>
      <c r="H1206" s="7657" t="s">
        <v>17</v>
      </c>
      <c r="I1206" s="7657" t="s">
        <v>3495</v>
      </c>
      <c r="J1206" s="0" t="s">
        <v>17</v>
      </c>
      <c r="K1206" s="0" t="s">
        <v>4448</v>
      </c>
      <c r="L1206" s="0" t="s">
        <v>4464</v>
      </c>
      <c r="M1206" s="0" t="s">
        <v>4465</v>
      </c>
      <c r="N1206" s="0" t="s">
        <v>402</v>
      </c>
    </row>
    <row customHeight="1" ht="11.25">
      <c r="A1207" s="7657" t="s">
        <v>2195</v>
      </c>
      <c r="B1207" s="7657" t="s">
        <v>14</v>
      </c>
      <c r="C1207" s="7657" t="s">
        <v>4483</v>
      </c>
      <c r="D1207" s="7657" t="s">
        <v>4484</v>
      </c>
      <c r="E1207" s="7657" t="s">
        <v>4485</v>
      </c>
      <c r="F1207" s="7657" t="s">
        <v>1433</v>
      </c>
      <c r="G1207" s="7657" t="s">
        <v>4486</v>
      </c>
      <c r="H1207" s="7657" t="s">
        <v>17</v>
      </c>
      <c r="I1207" s="7657" t="s">
        <v>4487</v>
      </c>
      <c r="J1207" s="0" t="s">
        <v>17</v>
      </c>
      <c r="K1207" s="0" t="s">
        <v>4488</v>
      </c>
      <c r="L1207" s="0" t="s">
        <v>4489</v>
      </c>
      <c r="M1207" s="0" t="s">
        <v>4490</v>
      </c>
      <c r="N1207" s="0" t="s">
        <v>402</v>
      </c>
    </row>
    <row customHeight="1" ht="11.25">
      <c r="A1208" s="7657" t="s">
        <v>2195</v>
      </c>
      <c r="B1208" s="7657" t="s">
        <v>14</v>
      </c>
      <c r="C1208" s="7657" t="s">
        <v>4491</v>
      </c>
      <c r="D1208" s="7657" t="s">
        <v>4492</v>
      </c>
      <c r="E1208" s="7657" t="s">
        <v>4493</v>
      </c>
      <c r="F1208" s="7657" t="s">
        <v>1433</v>
      </c>
      <c r="G1208" s="7657" t="s">
        <v>4494</v>
      </c>
      <c r="H1208" s="7657" t="s">
        <v>17</v>
      </c>
      <c r="I1208" s="7657" t="s">
        <v>4495</v>
      </c>
      <c r="J1208" s="0" t="s">
        <v>17</v>
      </c>
      <c r="K1208" s="0" t="s">
        <v>4445</v>
      </c>
      <c r="L1208" s="0" t="s">
        <v>4466</v>
      </c>
      <c r="M1208" s="0" t="s">
        <v>4467</v>
      </c>
      <c r="N1208" s="0" t="s">
        <v>402</v>
      </c>
    </row>
    <row customHeight="1" ht="11.25">
      <c r="A1209" s="7657" t="s">
        <v>2195</v>
      </c>
      <c r="B1209" s="7657" t="s">
        <v>14</v>
      </c>
      <c r="C1209" s="7657" t="s">
        <v>3525</v>
      </c>
      <c r="D1209" s="7657" t="s">
        <v>3526</v>
      </c>
      <c r="E1209" s="7657" t="s">
        <v>3527</v>
      </c>
      <c r="F1209" s="7657" t="s">
        <v>3528</v>
      </c>
      <c r="G1209" s="7657" t="s">
        <v>17</v>
      </c>
      <c r="H1209" s="7657" t="s">
        <v>17</v>
      </c>
      <c r="I1209" s="7657" t="s">
        <v>3312</v>
      </c>
      <c r="J1209" s="0" t="s">
        <v>17</v>
      </c>
      <c r="K1209" s="0" t="s">
        <v>4445</v>
      </c>
      <c r="L1209" s="0" t="s">
        <v>4446</v>
      </c>
      <c r="M1209" s="0" t="s">
        <v>4447</v>
      </c>
      <c r="N1209" s="0" t="s">
        <v>402</v>
      </c>
    </row>
    <row customHeight="1" ht="11.25">
      <c r="A1210" s="7657" t="s">
        <v>2195</v>
      </c>
      <c r="B1210" s="7657" t="s">
        <v>14</v>
      </c>
      <c r="C1210" s="7657" t="s">
        <v>3532</v>
      </c>
      <c r="D1210" s="7657" t="s">
        <v>3533</v>
      </c>
      <c r="E1210" s="7657" t="s">
        <v>3534</v>
      </c>
      <c r="F1210" s="7657" t="s">
        <v>2619</v>
      </c>
      <c r="G1210" s="7657" t="s">
        <v>17</v>
      </c>
      <c r="H1210" s="7657" t="s">
        <v>17</v>
      </c>
      <c r="I1210" s="7657" t="s">
        <v>2426</v>
      </c>
      <c r="J1210" s="0" t="s">
        <v>17</v>
      </c>
      <c r="K1210" s="0" t="s">
        <v>4448</v>
      </c>
      <c r="L1210" s="0" t="s">
        <v>4464</v>
      </c>
      <c r="M1210" s="0" t="s">
        <v>4465</v>
      </c>
      <c r="N1210" s="0" t="s">
        <v>402</v>
      </c>
    </row>
    <row customHeight="1" ht="11.25">
      <c r="A1211" s="7657" t="s">
        <v>2195</v>
      </c>
      <c r="B1211" s="7657" t="s">
        <v>14</v>
      </c>
      <c r="C1211" s="7657" t="s">
        <v>3535</v>
      </c>
      <c r="D1211" s="7657" t="s">
        <v>3536</v>
      </c>
      <c r="E1211" s="7657" t="s">
        <v>3537</v>
      </c>
      <c r="F1211" s="7657" t="s">
        <v>2856</v>
      </c>
      <c r="G1211" s="7657" t="s">
        <v>3538</v>
      </c>
      <c r="H1211" s="7657" t="s">
        <v>17</v>
      </c>
      <c r="I1211" s="7657" t="s">
        <v>4496</v>
      </c>
      <c r="J1211" s="0" t="s">
        <v>17</v>
      </c>
      <c r="K1211" s="0" t="s">
        <v>4448</v>
      </c>
      <c r="L1211" s="0" t="s">
        <v>4449</v>
      </c>
      <c r="M1211" s="0" t="s">
        <v>4450</v>
      </c>
      <c r="N1211" s="0" t="s">
        <v>402</v>
      </c>
    </row>
    <row customHeight="1" ht="11.25">
      <c r="A1212" s="7657" t="s">
        <v>2195</v>
      </c>
      <c r="B1212" s="7657" t="s">
        <v>14</v>
      </c>
      <c r="C1212" s="7657" t="s">
        <v>3535</v>
      </c>
      <c r="D1212" s="7657" t="s">
        <v>3536</v>
      </c>
      <c r="E1212" s="7657" t="s">
        <v>3537</v>
      </c>
      <c r="F1212" s="7657" t="s">
        <v>2856</v>
      </c>
      <c r="G1212" s="7657" t="s">
        <v>3538</v>
      </c>
      <c r="H1212" s="7657" t="s">
        <v>17</v>
      </c>
      <c r="I1212" s="7657" t="s">
        <v>3539</v>
      </c>
      <c r="J1212" s="0" t="s">
        <v>17</v>
      </c>
      <c r="K1212" s="0" t="s">
        <v>4445</v>
      </c>
      <c r="L1212" s="0" t="s">
        <v>4446</v>
      </c>
      <c r="M1212" s="0" t="s">
        <v>4447</v>
      </c>
      <c r="N1212" s="0" t="s">
        <v>402</v>
      </c>
    </row>
    <row customHeight="1" ht="11.25">
      <c r="A1213" s="7657" t="s">
        <v>2195</v>
      </c>
      <c r="B1213" s="7657" t="s">
        <v>14</v>
      </c>
      <c r="C1213" s="7657" t="s">
        <v>4497</v>
      </c>
      <c r="D1213" s="7657" t="s">
        <v>4498</v>
      </c>
      <c r="E1213" s="7657" t="s">
        <v>4499</v>
      </c>
      <c r="F1213" s="7657" t="s">
        <v>3421</v>
      </c>
      <c r="G1213" s="7657" t="s">
        <v>4500</v>
      </c>
      <c r="H1213" s="7657" t="s">
        <v>17</v>
      </c>
      <c r="I1213" s="7657" t="s">
        <v>4500</v>
      </c>
      <c r="J1213" s="0" t="s">
        <v>17</v>
      </c>
      <c r="K1213" s="0" t="s">
        <v>4445</v>
      </c>
      <c r="L1213" s="0" t="s">
        <v>4446</v>
      </c>
      <c r="M1213" s="0" t="s">
        <v>4447</v>
      </c>
      <c r="N1213" s="0" t="s">
        <v>402</v>
      </c>
    </row>
    <row customHeight="1" ht="11.25">
      <c r="A1214" s="7657" t="s">
        <v>2195</v>
      </c>
      <c r="B1214" s="7657" t="s">
        <v>14</v>
      </c>
      <c r="C1214" s="7657" t="s">
        <v>3604</v>
      </c>
      <c r="D1214" s="7657" t="s">
        <v>3605</v>
      </c>
      <c r="E1214" s="7657" t="s">
        <v>3606</v>
      </c>
      <c r="F1214" s="7657" t="s">
        <v>2556</v>
      </c>
      <c r="G1214" s="7657" t="s">
        <v>3607</v>
      </c>
      <c r="H1214" s="7657" t="s">
        <v>17</v>
      </c>
      <c r="I1214" s="7657" t="s">
        <v>3608</v>
      </c>
      <c r="J1214" s="0" t="s">
        <v>17</v>
      </c>
      <c r="K1214" s="0" t="s">
        <v>4445</v>
      </c>
      <c r="L1214" s="0" t="s">
        <v>4446</v>
      </c>
      <c r="M1214" s="0" t="s">
        <v>4447</v>
      </c>
      <c r="N1214" s="0" t="s">
        <v>402</v>
      </c>
    </row>
    <row customHeight="1" ht="11.25">
      <c r="A1215" s="7657" t="s">
        <v>2195</v>
      </c>
      <c r="B1215" s="7657" t="s">
        <v>14</v>
      </c>
      <c r="C1215" s="7657" t="s">
        <v>3609</v>
      </c>
      <c r="D1215" s="7657" t="s">
        <v>3610</v>
      </c>
      <c r="E1215" s="7657" t="s">
        <v>3611</v>
      </c>
      <c r="F1215" s="7657" t="s">
        <v>2425</v>
      </c>
      <c r="G1215" s="7657" t="s">
        <v>3612</v>
      </c>
      <c r="H1215" s="7657" t="s">
        <v>17</v>
      </c>
      <c r="I1215" s="7657" t="s">
        <v>3479</v>
      </c>
      <c r="J1215" s="0" t="s">
        <v>17</v>
      </c>
      <c r="K1215" s="0" t="s">
        <v>4448</v>
      </c>
      <c r="L1215" s="0" t="s">
        <v>4464</v>
      </c>
      <c r="M1215" s="0" t="s">
        <v>4465</v>
      </c>
      <c r="N1215" s="0" t="s">
        <v>402</v>
      </c>
    </row>
    <row customHeight="1" ht="11.25">
      <c r="A1216" s="7657" t="s">
        <v>2195</v>
      </c>
      <c r="B1216" s="7657" t="s">
        <v>14</v>
      </c>
      <c r="C1216" s="7657" t="s">
        <v>2486</v>
      </c>
      <c r="D1216" s="7657" t="s">
        <v>2487</v>
      </c>
      <c r="E1216" s="7657" t="s">
        <v>2488</v>
      </c>
      <c r="F1216" s="7657" t="s">
        <v>2489</v>
      </c>
      <c r="G1216" s="7657" t="s">
        <v>17</v>
      </c>
      <c r="H1216" s="7657" t="s">
        <v>17</v>
      </c>
      <c r="I1216" s="7657" t="s">
        <v>3614</v>
      </c>
      <c r="J1216" s="0" t="s">
        <v>17</v>
      </c>
      <c r="K1216" s="0" t="s">
        <v>4445</v>
      </c>
      <c r="L1216" s="0" t="s">
        <v>4446</v>
      </c>
      <c r="M1216" s="0" t="s">
        <v>4447</v>
      </c>
      <c r="N1216" s="0" t="s">
        <v>402</v>
      </c>
    </row>
    <row customHeight="1" ht="11.25">
      <c r="A1217" s="7657" t="s">
        <v>2195</v>
      </c>
      <c r="B1217" s="7657" t="s">
        <v>14</v>
      </c>
      <c r="C1217" s="7657" t="s">
        <v>2494</v>
      </c>
      <c r="D1217" s="7657" t="s">
        <v>2495</v>
      </c>
      <c r="E1217" s="7657" t="s">
        <v>2496</v>
      </c>
      <c r="F1217" s="7657" t="s">
        <v>2222</v>
      </c>
      <c r="G1217" s="7657" t="s">
        <v>17</v>
      </c>
      <c r="H1217" s="7657" t="s">
        <v>17</v>
      </c>
      <c r="I1217" s="7657" t="s">
        <v>2208</v>
      </c>
      <c r="J1217" s="0" t="s">
        <v>17</v>
      </c>
      <c r="K1217" s="0" t="s">
        <v>4448</v>
      </c>
      <c r="L1217" s="0" t="s">
        <v>4449</v>
      </c>
      <c r="M1217" s="0" t="s">
        <v>4450</v>
      </c>
      <c r="N1217" s="0" t="s">
        <v>402</v>
      </c>
    </row>
    <row customHeight="1" ht="11.25">
      <c r="A1218" s="7657" t="s">
        <v>2195</v>
      </c>
      <c r="B1218" s="7657" t="s">
        <v>14</v>
      </c>
      <c r="C1218" s="7657" t="s">
        <v>2494</v>
      </c>
      <c r="D1218" s="7657" t="s">
        <v>2495</v>
      </c>
      <c r="E1218" s="7657" t="s">
        <v>2496</v>
      </c>
      <c r="F1218" s="7657" t="s">
        <v>2222</v>
      </c>
      <c r="G1218" s="7657" t="s">
        <v>17</v>
      </c>
      <c r="H1218" s="7657" t="s">
        <v>17</v>
      </c>
      <c r="I1218" s="7657" t="s">
        <v>3312</v>
      </c>
      <c r="J1218" s="0" t="s">
        <v>17</v>
      </c>
      <c r="K1218" s="0" t="s">
        <v>4445</v>
      </c>
      <c r="L1218" s="0" t="s">
        <v>4446</v>
      </c>
      <c r="M1218" s="0" t="s">
        <v>4447</v>
      </c>
      <c r="N1218" s="0" t="s">
        <v>402</v>
      </c>
    </row>
    <row customHeight="1" ht="11.25">
      <c r="A1219" s="7657" t="s">
        <v>2195</v>
      </c>
      <c r="B1219" s="7657" t="s">
        <v>14</v>
      </c>
      <c r="C1219" s="7657" t="s">
        <v>2494</v>
      </c>
      <c r="D1219" s="7657" t="s">
        <v>2495</v>
      </c>
      <c r="E1219" s="7657" t="s">
        <v>2496</v>
      </c>
      <c r="F1219" s="7657" t="s">
        <v>2222</v>
      </c>
      <c r="G1219" s="7657" t="s">
        <v>17</v>
      </c>
      <c r="H1219" s="7657" t="s">
        <v>17</v>
      </c>
      <c r="I1219" s="7657" t="s">
        <v>2240</v>
      </c>
      <c r="J1219" s="0" t="s">
        <v>17</v>
      </c>
      <c r="K1219" s="0" t="s">
        <v>4445</v>
      </c>
      <c r="L1219" s="0" t="s">
        <v>4446</v>
      </c>
      <c r="M1219" s="0" t="s">
        <v>4447</v>
      </c>
      <c r="N1219" s="0" t="s">
        <v>402</v>
      </c>
    </row>
    <row customHeight="1" ht="11.25">
      <c r="A1220" s="7657" t="s">
        <v>2195</v>
      </c>
      <c r="B1220" s="7657" t="s">
        <v>14</v>
      </c>
      <c r="C1220" s="7657" t="s">
        <v>2499</v>
      </c>
      <c r="D1220" s="7657" t="s">
        <v>2500</v>
      </c>
      <c r="E1220" s="7657" t="s">
        <v>2501</v>
      </c>
      <c r="F1220" s="7657" t="s">
        <v>2502</v>
      </c>
      <c r="G1220" s="7657" t="s">
        <v>17</v>
      </c>
      <c r="H1220" s="7657" t="s">
        <v>17</v>
      </c>
      <c r="I1220" s="7657" t="s">
        <v>2208</v>
      </c>
      <c r="J1220" s="0" t="s">
        <v>17</v>
      </c>
      <c r="K1220" s="0" t="s">
        <v>4445</v>
      </c>
      <c r="L1220" s="0" t="s">
        <v>4446</v>
      </c>
      <c r="M1220" s="0" t="s">
        <v>4447</v>
      </c>
      <c r="N1220" s="0" t="s">
        <v>402</v>
      </c>
    </row>
    <row customHeight="1" ht="11.25">
      <c r="A1221" s="7657" t="s">
        <v>2195</v>
      </c>
      <c r="B1221" s="7657" t="s">
        <v>14</v>
      </c>
      <c r="C1221" s="7657" t="s">
        <v>2499</v>
      </c>
      <c r="D1221" s="7657" t="s">
        <v>2500</v>
      </c>
      <c r="E1221" s="7657" t="s">
        <v>2501</v>
      </c>
      <c r="F1221" s="7657" t="s">
        <v>2502</v>
      </c>
      <c r="G1221" s="7657" t="s">
        <v>17</v>
      </c>
      <c r="H1221" s="7657" t="s">
        <v>17</v>
      </c>
      <c r="I1221" s="7657" t="s">
        <v>2426</v>
      </c>
      <c r="J1221" s="0" t="s">
        <v>17</v>
      </c>
      <c r="K1221" s="0" t="s">
        <v>4445</v>
      </c>
      <c r="L1221" s="0" t="s">
        <v>4446</v>
      </c>
      <c r="M1221" s="0" t="s">
        <v>4447</v>
      </c>
      <c r="N1221" s="0" t="s">
        <v>402</v>
      </c>
    </row>
    <row customHeight="1" ht="11.25">
      <c r="A1222" s="7657" t="s">
        <v>2195</v>
      </c>
      <c r="B1222" s="7657" t="s">
        <v>14</v>
      </c>
      <c r="C1222" s="7657" t="s">
        <v>2510</v>
      </c>
      <c r="D1222" s="7657" t="s">
        <v>2511</v>
      </c>
      <c r="E1222" s="7657" t="s">
        <v>2512</v>
      </c>
      <c r="F1222" s="7657" t="s">
        <v>2513</v>
      </c>
      <c r="G1222" s="7657" t="s">
        <v>17</v>
      </c>
      <c r="H1222" s="7657" t="s">
        <v>17</v>
      </c>
      <c r="I1222" s="7657" t="s">
        <v>2313</v>
      </c>
      <c r="J1222" s="0" t="s">
        <v>17</v>
      </c>
      <c r="K1222" s="0" t="s">
        <v>4445</v>
      </c>
      <c r="L1222" s="0" t="s">
        <v>4446</v>
      </c>
      <c r="M1222" s="0" t="s">
        <v>4447</v>
      </c>
      <c r="N1222" s="0" t="s">
        <v>402</v>
      </c>
    </row>
    <row customHeight="1" ht="11.25">
      <c r="A1223" s="7657" t="s">
        <v>2195</v>
      </c>
      <c r="B1223" s="7657" t="s">
        <v>14</v>
      </c>
      <c r="C1223" s="7657" t="s">
        <v>3641</v>
      </c>
      <c r="D1223" s="7657" t="s">
        <v>3642</v>
      </c>
      <c r="E1223" s="7657" t="s">
        <v>3643</v>
      </c>
      <c r="F1223" s="7657" t="s">
        <v>2513</v>
      </c>
      <c r="G1223" s="7657" t="s">
        <v>17</v>
      </c>
      <c r="H1223" s="7657" t="s">
        <v>17</v>
      </c>
      <c r="I1223" s="7657" t="s">
        <v>2426</v>
      </c>
      <c r="J1223" s="0" t="s">
        <v>17</v>
      </c>
      <c r="K1223" s="0" t="s">
        <v>4448</v>
      </c>
      <c r="L1223" s="0" t="s">
        <v>4464</v>
      </c>
      <c r="M1223" s="0" t="s">
        <v>4465</v>
      </c>
      <c r="N1223" s="0" t="s">
        <v>402</v>
      </c>
    </row>
    <row customHeight="1" ht="11.25">
      <c r="A1224" s="7657" t="s">
        <v>2195</v>
      </c>
      <c r="B1224" s="7657" t="s">
        <v>14</v>
      </c>
      <c r="C1224" s="7657" t="s">
        <v>3648</v>
      </c>
      <c r="D1224" s="7657" t="s">
        <v>3649</v>
      </c>
      <c r="E1224" s="7657" t="s">
        <v>3650</v>
      </c>
      <c r="F1224" s="7657" t="s">
        <v>2206</v>
      </c>
      <c r="G1224" s="7657" t="s">
        <v>3361</v>
      </c>
      <c r="H1224" s="7657" t="s">
        <v>17</v>
      </c>
      <c r="I1224" s="7657" t="s">
        <v>2208</v>
      </c>
      <c r="J1224" s="0" t="s">
        <v>17</v>
      </c>
      <c r="K1224" s="0" t="s">
        <v>4445</v>
      </c>
      <c r="L1224" s="0" t="s">
        <v>4446</v>
      </c>
      <c r="M1224" s="0" t="s">
        <v>4447</v>
      </c>
      <c r="N1224" s="0" t="s">
        <v>402</v>
      </c>
    </row>
    <row customHeight="1" ht="11.25">
      <c r="A1225" s="7657" t="s">
        <v>2195</v>
      </c>
      <c r="B1225" s="7657" t="s">
        <v>14</v>
      </c>
      <c r="C1225" s="7657" t="s">
        <v>3655</v>
      </c>
      <c r="D1225" s="7657" t="s">
        <v>3656</v>
      </c>
      <c r="E1225" s="7657" t="s">
        <v>3657</v>
      </c>
      <c r="F1225" s="7657" t="s">
        <v>2439</v>
      </c>
      <c r="G1225" s="7657" t="s">
        <v>17</v>
      </c>
      <c r="H1225" s="7657" t="s">
        <v>17</v>
      </c>
      <c r="I1225" s="7657" t="s">
        <v>3658</v>
      </c>
      <c r="J1225" s="0" t="s">
        <v>17</v>
      </c>
      <c r="K1225" s="0" t="s">
        <v>4445</v>
      </c>
      <c r="L1225" s="0" t="s">
        <v>4446</v>
      </c>
      <c r="M1225" s="0" t="s">
        <v>4447</v>
      </c>
      <c r="N1225" s="0" t="s">
        <v>402</v>
      </c>
    </row>
    <row customHeight="1" ht="11.25">
      <c r="A1226" s="7657" t="s">
        <v>2195</v>
      </c>
      <c r="B1226" s="7657" t="s">
        <v>14</v>
      </c>
      <c r="C1226" s="7657" t="s">
        <v>3662</v>
      </c>
      <c r="D1226" s="7657" t="s">
        <v>3663</v>
      </c>
      <c r="E1226" s="7657" t="s">
        <v>3664</v>
      </c>
      <c r="F1226" s="7657" t="s">
        <v>2388</v>
      </c>
      <c r="G1226" s="7657" t="s">
        <v>3665</v>
      </c>
      <c r="H1226" s="7657" t="s">
        <v>17</v>
      </c>
      <c r="I1226" s="7657" t="s">
        <v>3666</v>
      </c>
      <c r="J1226" s="0" t="s">
        <v>17</v>
      </c>
      <c r="K1226" s="0" t="s">
        <v>4448</v>
      </c>
      <c r="L1226" s="0" t="s">
        <v>4464</v>
      </c>
      <c r="M1226" s="0" t="s">
        <v>4465</v>
      </c>
      <c r="N1226" s="0" t="s">
        <v>402</v>
      </c>
    </row>
    <row customHeight="1" ht="11.25">
      <c r="A1227" s="7657" t="s">
        <v>2195</v>
      </c>
      <c r="B1227" s="7657" t="s">
        <v>14</v>
      </c>
      <c r="C1227" s="7657" t="s">
        <v>3675</v>
      </c>
      <c r="D1227" s="7657" t="s">
        <v>3676</v>
      </c>
      <c r="E1227" s="7657" t="s">
        <v>3677</v>
      </c>
      <c r="F1227" s="7657" t="s">
        <v>2378</v>
      </c>
      <c r="G1227" s="7657" t="s">
        <v>3678</v>
      </c>
      <c r="H1227" s="7657" t="s">
        <v>17</v>
      </c>
      <c r="I1227" s="7657" t="s">
        <v>3679</v>
      </c>
      <c r="J1227" s="0" t="s">
        <v>17</v>
      </c>
      <c r="K1227" s="0" t="s">
        <v>4448</v>
      </c>
      <c r="L1227" s="0" t="s">
        <v>4449</v>
      </c>
      <c r="M1227" s="0" t="s">
        <v>4450</v>
      </c>
      <c r="N1227" s="0" t="s">
        <v>402</v>
      </c>
    </row>
    <row customHeight="1" ht="11.25">
      <c r="A1228" s="7657" t="s">
        <v>2195</v>
      </c>
      <c r="B1228" s="7657" t="s">
        <v>14</v>
      </c>
      <c r="C1228" s="7657" t="s">
        <v>3697</v>
      </c>
      <c r="D1228" s="7657" t="s">
        <v>3698</v>
      </c>
      <c r="E1228" s="7657" t="s">
        <v>3699</v>
      </c>
      <c r="F1228" s="7657" t="s">
        <v>2649</v>
      </c>
      <c r="G1228" s="7657" t="s">
        <v>3700</v>
      </c>
      <c r="H1228" s="7657" t="s">
        <v>17</v>
      </c>
      <c r="I1228" s="7657" t="s">
        <v>3700</v>
      </c>
      <c r="J1228" s="0" t="s">
        <v>17</v>
      </c>
      <c r="K1228" s="0" t="s">
        <v>4445</v>
      </c>
      <c r="L1228" s="0" t="s">
        <v>4446</v>
      </c>
      <c r="M1228" s="0" t="s">
        <v>4447</v>
      </c>
      <c r="N1228" s="0" t="s">
        <v>402</v>
      </c>
    </row>
    <row customHeight="1" ht="11.25">
      <c r="A1229" s="7657" t="s">
        <v>2195</v>
      </c>
      <c r="B1229" s="7657" t="s">
        <v>14</v>
      </c>
      <c r="C1229" s="7657" t="s">
        <v>3701</v>
      </c>
      <c r="D1229" s="7657" t="s">
        <v>3702</v>
      </c>
      <c r="E1229" s="7657" t="s">
        <v>3703</v>
      </c>
      <c r="F1229" s="7657" t="s">
        <v>3704</v>
      </c>
      <c r="G1229" s="7657" t="s">
        <v>17</v>
      </c>
      <c r="H1229" s="7657" t="s">
        <v>17</v>
      </c>
      <c r="I1229" s="7657" t="s">
        <v>2426</v>
      </c>
      <c r="J1229" s="0" t="s">
        <v>17</v>
      </c>
      <c r="K1229" s="0" t="s">
        <v>4445</v>
      </c>
      <c r="L1229" s="0" t="s">
        <v>4446</v>
      </c>
      <c r="M1229" s="0" t="s">
        <v>4447</v>
      </c>
      <c r="N1229" s="0" t="s">
        <v>402</v>
      </c>
    </row>
    <row customHeight="1" ht="11.25">
      <c r="A1230" s="7657" t="s">
        <v>2195</v>
      </c>
      <c r="B1230" s="7657" t="s">
        <v>14</v>
      </c>
      <c r="C1230" s="7657" t="s">
        <v>3714</v>
      </c>
      <c r="D1230" s="7657" t="s">
        <v>3715</v>
      </c>
      <c r="E1230" s="7657" t="s">
        <v>3716</v>
      </c>
      <c r="F1230" s="7657" t="s">
        <v>2267</v>
      </c>
      <c r="G1230" s="7657" t="s">
        <v>17</v>
      </c>
      <c r="H1230" s="7657" t="s">
        <v>17</v>
      </c>
      <c r="I1230" s="7657" t="s">
        <v>3717</v>
      </c>
      <c r="J1230" s="0" t="s">
        <v>17</v>
      </c>
      <c r="K1230" s="0" t="s">
        <v>4445</v>
      </c>
      <c r="L1230" s="0" t="s">
        <v>4446</v>
      </c>
      <c r="M1230" s="0" t="s">
        <v>4447</v>
      </c>
      <c r="N1230" s="0" t="s">
        <v>402</v>
      </c>
    </row>
    <row customHeight="1" ht="11.25">
      <c r="A1231" s="7657" t="s">
        <v>2195</v>
      </c>
      <c r="B1231" s="7657" t="s">
        <v>14</v>
      </c>
      <c r="C1231" s="7657" t="s">
        <v>3720</v>
      </c>
      <c r="D1231" s="7657" t="s">
        <v>3721</v>
      </c>
      <c r="E1231" s="7657" t="s">
        <v>3722</v>
      </c>
      <c r="F1231" s="7657" t="s">
        <v>2590</v>
      </c>
      <c r="G1231" s="7657" t="s">
        <v>3723</v>
      </c>
      <c r="H1231" s="7657" t="s">
        <v>17</v>
      </c>
      <c r="I1231" s="7657" t="s">
        <v>2426</v>
      </c>
      <c r="J1231" s="0" t="s">
        <v>17</v>
      </c>
      <c r="K1231" s="0" t="s">
        <v>4445</v>
      </c>
      <c r="L1231" s="0" t="s">
        <v>4446</v>
      </c>
      <c r="M1231" s="0" t="s">
        <v>4447</v>
      </c>
      <c r="N1231" s="0" t="s">
        <v>402</v>
      </c>
    </row>
    <row customHeight="1" ht="11.25">
      <c r="A1232" s="7657" t="s">
        <v>2195</v>
      </c>
      <c r="B1232" s="7657" t="s">
        <v>14</v>
      </c>
      <c r="C1232" s="7657" t="s">
        <v>3724</v>
      </c>
      <c r="D1232" s="7657" t="s">
        <v>3725</v>
      </c>
      <c r="E1232" s="7657" t="s">
        <v>3726</v>
      </c>
      <c r="F1232" s="7657" t="s">
        <v>2478</v>
      </c>
      <c r="G1232" s="7657" t="s">
        <v>3727</v>
      </c>
      <c r="H1232" s="7657" t="s">
        <v>17</v>
      </c>
      <c r="I1232" s="7657" t="s">
        <v>3728</v>
      </c>
      <c r="J1232" s="0" t="s">
        <v>17</v>
      </c>
      <c r="K1232" s="0" t="s">
        <v>4445</v>
      </c>
      <c r="L1232" s="0" t="s">
        <v>4446</v>
      </c>
      <c r="M1232" s="0" t="s">
        <v>4447</v>
      </c>
      <c r="N1232" s="0" t="s">
        <v>402</v>
      </c>
    </row>
    <row customHeight="1" ht="11.25">
      <c r="A1233" s="7657" t="s">
        <v>2195</v>
      </c>
      <c r="B1233" s="7657" t="s">
        <v>14</v>
      </c>
      <c r="C1233" s="7657" t="s">
        <v>3729</v>
      </c>
      <c r="D1233" s="7657" t="s">
        <v>3730</v>
      </c>
      <c r="E1233" s="7657" t="s">
        <v>3731</v>
      </c>
      <c r="F1233" s="7657" t="s">
        <v>2513</v>
      </c>
      <c r="G1233" s="7657" t="s">
        <v>17</v>
      </c>
      <c r="H1233" s="7657" t="s">
        <v>17</v>
      </c>
      <c r="I1233" s="7657" t="s">
        <v>2426</v>
      </c>
      <c r="J1233" s="0" t="s">
        <v>17</v>
      </c>
      <c r="K1233" s="0" t="s">
        <v>4445</v>
      </c>
      <c r="L1233" s="0" t="s">
        <v>4446</v>
      </c>
      <c r="M1233" s="0" t="s">
        <v>4447</v>
      </c>
      <c r="N1233" s="0" t="s">
        <v>402</v>
      </c>
    </row>
    <row customHeight="1" ht="11.25">
      <c r="A1234" s="7657" t="s">
        <v>2195</v>
      </c>
      <c r="B1234" s="7657" t="s">
        <v>14</v>
      </c>
      <c r="C1234" s="7657" t="s">
        <v>2519</v>
      </c>
      <c r="D1234" s="7657" t="s">
        <v>2520</v>
      </c>
      <c r="E1234" s="7657" t="s">
        <v>2521</v>
      </c>
      <c r="F1234" s="7657" t="s">
        <v>2206</v>
      </c>
      <c r="G1234" s="7657" t="s">
        <v>2522</v>
      </c>
      <c r="H1234" s="7657" t="s">
        <v>17</v>
      </c>
      <c r="I1234" s="7657" t="s">
        <v>2523</v>
      </c>
      <c r="J1234" s="0" t="s">
        <v>17</v>
      </c>
      <c r="K1234" s="0" t="s">
        <v>4445</v>
      </c>
      <c r="L1234" s="0" t="s">
        <v>4446</v>
      </c>
      <c r="M1234" s="0" t="s">
        <v>4447</v>
      </c>
      <c r="N1234" s="0" t="s">
        <v>402</v>
      </c>
    </row>
    <row customHeight="1" ht="11.25">
      <c r="A1235" s="7657" t="s">
        <v>2195</v>
      </c>
      <c r="B1235" s="7657" t="s">
        <v>14</v>
      </c>
      <c r="C1235" s="7657" t="s">
        <v>2524</v>
      </c>
      <c r="D1235" s="7657" t="s">
        <v>2525</v>
      </c>
      <c r="E1235" s="7657" t="s">
        <v>2526</v>
      </c>
      <c r="F1235" s="7657" t="s">
        <v>2527</v>
      </c>
      <c r="G1235" s="7657" t="s">
        <v>2528</v>
      </c>
      <c r="H1235" s="7657" t="s">
        <v>17</v>
      </c>
      <c r="I1235" s="7657" t="s">
        <v>3736</v>
      </c>
      <c r="J1235" s="0" t="s">
        <v>17</v>
      </c>
      <c r="K1235" s="0" t="s">
        <v>4445</v>
      </c>
      <c r="L1235" s="0" t="s">
        <v>4446</v>
      </c>
      <c r="M1235" s="0" t="s">
        <v>4447</v>
      </c>
      <c r="N1235" s="0" t="s">
        <v>402</v>
      </c>
    </row>
    <row customHeight="1" ht="11.25">
      <c r="A1236" s="7657" t="s">
        <v>2195</v>
      </c>
      <c r="B1236" s="7657" t="s">
        <v>14</v>
      </c>
      <c r="C1236" s="7657" t="s">
        <v>3742</v>
      </c>
      <c r="D1236" s="7657" t="s">
        <v>3743</v>
      </c>
      <c r="E1236" s="7657" t="s">
        <v>3744</v>
      </c>
      <c r="F1236" s="7657" t="s">
        <v>2388</v>
      </c>
      <c r="G1236" s="7657" t="s">
        <v>3745</v>
      </c>
      <c r="H1236" s="7657" t="s">
        <v>17</v>
      </c>
      <c r="I1236" s="7657" t="s">
        <v>2208</v>
      </c>
      <c r="J1236" s="0" t="s">
        <v>17</v>
      </c>
      <c r="K1236" s="0" t="s">
        <v>4448</v>
      </c>
      <c r="L1236" s="0" t="s">
        <v>4464</v>
      </c>
      <c r="M1236" s="0" t="s">
        <v>4465</v>
      </c>
      <c r="N1236" s="0" t="s">
        <v>402</v>
      </c>
    </row>
    <row customHeight="1" ht="11.25">
      <c r="A1237" s="7657" t="s">
        <v>2195</v>
      </c>
      <c r="B1237" s="7657" t="s">
        <v>14</v>
      </c>
      <c r="C1237" s="7657" t="s">
        <v>3751</v>
      </c>
      <c r="D1237" s="7657" t="s">
        <v>3752</v>
      </c>
      <c r="E1237" s="7657" t="s">
        <v>3753</v>
      </c>
      <c r="F1237" s="7657" t="s">
        <v>3754</v>
      </c>
      <c r="G1237" s="7657" t="s">
        <v>2228</v>
      </c>
      <c r="H1237" s="7657" t="s">
        <v>17</v>
      </c>
      <c r="I1237" s="7657" t="s">
        <v>2228</v>
      </c>
      <c r="J1237" s="0" t="s">
        <v>17</v>
      </c>
      <c r="K1237" s="0" t="s">
        <v>4445</v>
      </c>
      <c r="L1237" s="0" t="s">
        <v>4446</v>
      </c>
      <c r="M1237" s="0" t="s">
        <v>4447</v>
      </c>
      <c r="N1237" s="0" t="s">
        <v>402</v>
      </c>
    </row>
    <row customHeight="1" ht="11.25">
      <c r="A1238" s="7657" t="s">
        <v>2195</v>
      </c>
      <c r="B1238" s="7657" t="s">
        <v>14</v>
      </c>
      <c r="C1238" s="7657" t="s">
        <v>2530</v>
      </c>
      <c r="D1238" s="7657" t="s">
        <v>2531</v>
      </c>
      <c r="E1238" s="7657" t="s">
        <v>2532</v>
      </c>
      <c r="F1238" s="7657" t="s">
        <v>2321</v>
      </c>
      <c r="G1238" s="7657" t="s">
        <v>2533</v>
      </c>
      <c r="H1238" s="7657" t="s">
        <v>17</v>
      </c>
      <c r="I1238" s="7657" t="s">
        <v>2534</v>
      </c>
      <c r="J1238" s="0" t="s">
        <v>17</v>
      </c>
      <c r="K1238" s="0" t="s">
        <v>4445</v>
      </c>
      <c r="L1238" s="0" t="s">
        <v>4446</v>
      </c>
      <c r="M1238" s="0" t="s">
        <v>4447</v>
      </c>
      <c r="N1238" s="0" t="s">
        <v>402</v>
      </c>
    </row>
    <row customHeight="1" ht="11.25">
      <c r="A1239" s="7657" t="s">
        <v>2195</v>
      </c>
      <c r="B1239" s="7657" t="s">
        <v>14</v>
      </c>
      <c r="C1239" s="7657" t="s">
        <v>2535</v>
      </c>
      <c r="D1239" s="7657" t="s">
        <v>2536</v>
      </c>
      <c r="E1239" s="7657" t="s">
        <v>2537</v>
      </c>
      <c r="F1239" s="7657" t="s">
        <v>2478</v>
      </c>
      <c r="G1239" s="7657" t="s">
        <v>2538</v>
      </c>
      <c r="H1239" s="7657" t="s">
        <v>17</v>
      </c>
      <c r="I1239" s="7657" t="s">
        <v>2538</v>
      </c>
      <c r="J1239" s="0" t="s">
        <v>17</v>
      </c>
      <c r="K1239" s="0" t="s">
        <v>4445</v>
      </c>
      <c r="L1239" s="0" t="s">
        <v>4446</v>
      </c>
      <c r="M1239" s="0" t="s">
        <v>4447</v>
      </c>
      <c r="N1239" s="0" t="s">
        <v>402</v>
      </c>
    </row>
    <row customHeight="1" ht="11.25">
      <c r="A1240" s="7657" t="s">
        <v>2195</v>
      </c>
      <c r="B1240" s="7657" t="s">
        <v>14</v>
      </c>
      <c r="C1240" s="7657" t="s">
        <v>2539</v>
      </c>
      <c r="D1240" s="7657" t="s">
        <v>2540</v>
      </c>
      <c r="E1240" s="7657" t="s">
        <v>2541</v>
      </c>
      <c r="F1240" s="7657" t="s">
        <v>2542</v>
      </c>
      <c r="G1240" s="7657" t="s">
        <v>2543</v>
      </c>
      <c r="H1240" s="7657" t="s">
        <v>17</v>
      </c>
      <c r="I1240" s="7657" t="s">
        <v>3770</v>
      </c>
      <c r="J1240" s="0" t="s">
        <v>17</v>
      </c>
      <c r="K1240" s="0" t="s">
        <v>4445</v>
      </c>
      <c r="L1240" s="0" t="s">
        <v>4446</v>
      </c>
      <c r="M1240" s="0" t="s">
        <v>4447</v>
      </c>
      <c r="N1240" s="0" t="s">
        <v>402</v>
      </c>
    </row>
    <row customHeight="1" ht="11.25">
      <c r="A1241" s="7657" t="s">
        <v>2195</v>
      </c>
      <c r="B1241" s="7657" t="s">
        <v>14</v>
      </c>
      <c r="C1241" s="7657" t="s">
        <v>2539</v>
      </c>
      <c r="D1241" s="7657" t="s">
        <v>2540</v>
      </c>
      <c r="E1241" s="7657" t="s">
        <v>2541</v>
      </c>
      <c r="F1241" s="7657" t="s">
        <v>2542</v>
      </c>
      <c r="G1241" s="7657" t="s">
        <v>2543</v>
      </c>
      <c r="H1241" s="7657" t="s">
        <v>17</v>
      </c>
      <c r="I1241" s="7657" t="s">
        <v>2340</v>
      </c>
      <c r="J1241" s="0" t="s">
        <v>17</v>
      </c>
      <c r="K1241" s="0" t="s">
        <v>4445</v>
      </c>
      <c r="L1241" s="0" t="s">
        <v>4446</v>
      </c>
      <c r="M1241" s="0" t="s">
        <v>4447</v>
      </c>
      <c r="N1241" s="0" t="s">
        <v>402</v>
      </c>
    </row>
    <row customHeight="1" ht="11.25">
      <c r="A1242" s="7657" t="s">
        <v>2195</v>
      </c>
      <c r="B1242" s="7657" t="s">
        <v>14</v>
      </c>
      <c r="C1242" s="7657" t="s">
        <v>3776</v>
      </c>
      <c r="D1242" s="7657" t="s">
        <v>3777</v>
      </c>
      <c r="E1242" s="7657" t="s">
        <v>3778</v>
      </c>
      <c r="F1242" s="7657" t="s">
        <v>2321</v>
      </c>
      <c r="G1242" s="7657" t="s">
        <v>3779</v>
      </c>
      <c r="H1242" s="7657" t="s">
        <v>17</v>
      </c>
      <c r="I1242" s="7657" t="s">
        <v>2228</v>
      </c>
      <c r="J1242" s="0" t="s">
        <v>17</v>
      </c>
      <c r="K1242" s="0" t="s">
        <v>4445</v>
      </c>
      <c r="L1242" s="0" t="s">
        <v>4446</v>
      </c>
      <c r="M1242" s="0" t="s">
        <v>4447</v>
      </c>
      <c r="N1242" s="0" t="s">
        <v>402</v>
      </c>
    </row>
    <row customHeight="1" ht="11.25">
      <c r="A1243" s="7657" t="s">
        <v>2195</v>
      </c>
      <c r="B1243" s="7657" t="s">
        <v>14</v>
      </c>
      <c r="C1243" s="7657" t="s">
        <v>3776</v>
      </c>
      <c r="D1243" s="7657" t="s">
        <v>3777</v>
      </c>
      <c r="E1243" s="7657" t="s">
        <v>3778</v>
      </c>
      <c r="F1243" s="7657" t="s">
        <v>2321</v>
      </c>
      <c r="G1243" s="7657" t="s">
        <v>3779</v>
      </c>
      <c r="H1243" s="7657" t="s">
        <v>17</v>
      </c>
      <c r="I1243" s="7657" t="s">
        <v>3780</v>
      </c>
      <c r="J1243" s="0" t="s">
        <v>17</v>
      </c>
      <c r="K1243" s="0" t="s">
        <v>4445</v>
      </c>
      <c r="L1243" s="0" t="s">
        <v>4446</v>
      </c>
      <c r="M1243" s="0" t="s">
        <v>4447</v>
      </c>
      <c r="N1243" s="0" t="s">
        <v>402</v>
      </c>
    </row>
    <row customHeight="1" ht="11.25">
      <c r="A1244" s="7657" t="s">
        <v>2195</v>
      </c>
      <c r="B1244" s="7657" t="s">
        <v>14</v>
      </c>
      <c r="C1244" s="7657" t="s">
        <v>3791</v>
      </c>
      <c r="D1244" s="7657" t="s">
        <v>3792</v>
      </c>
      <c r="E1244" s="7657" t="s">
        <v>3793</v>
      </c>
      <c r="F1244" s="7657" t="s">
        <v>2483</v>
      </c>
      <c r="G1244" s="7657" t="s">
        <v>17</v>
      </c>
      <c r="H1244" s="7657" t="s">
        <v>17</v>
      </c>
      <c r="I1244" s="7657" t="s">
        <v>2534</v>
      </c>
      <c r="J1244" s="0" t="s">
        <v>17</v>
      </c>
      <c r="K1244" s="0" t="s">
        <v>4445</v>
      </c>
      <c r="L1244" s="0" t="s">
        <v>4446</v>
      </c>
      <c r="M1244" s="0" t="s">
        <v>4447</v>
      </c>
      <c r="N1244" s="0" t="s">
        <v>402</v>
      </c>
    </row>
    <row customHeight="1" ht="11.25">
      <c r="A1245" s="7657" t="s">
        <v>2195</v>
      </c>
      <c r="B1245" s="7657" t="s">
        <v>14</v>
      </c>
      <c r="C1245" s="7657" t="s">
        <v>3794</v>
      </c>
      <c r="D1245" s="7657" t="s">
        <v>3795</v>
      </c>
      <c r="E1245" s="7657" t="s">
        <v>3796</v>
      </c>
      <c r="F1245" s="7657" t="s">
        <v>3421</v>
      </c>
      <c r="G1245" s="7657" t="s">
        <v>3797</v>
      </c>
      <c r="H1245" s="7657" t="s">
        <v>17</v>
      </c>
      <c r="I1245" s="7657" t="s">
        <v>3797</v>
      </c>
      <c r="J1245" s="0" t="s">
        <v>17</v>
      </c>
      <c r="K1245" s="0" t="s">
        <v>4445</v>
      </c>
      <c r="L1245" s="0" t="s">
        <v>4446</v>
      </c>
      <c r="M1245" s="0" t="s">
        <v>4447</v>
      </c>
      <c r="N1245" s="0" t="s">
        <v>402</v>
      </c>
    </row>
    <row customHeight="1" ht="11.25">
      <c r="A1246" s="7657" t="s">
        <v>2195</v>
      </c>
      <c r="B1246" s="7657" t="s">
        <v>14</v>
      </c>
      <c r="C1246" s="7657" t="s">
        <v>4501</v>
      </c>
      <c r="D1246" s="7657" t="s">
        <v>4502</v>
      </c>
      <c r="E1246" s="7657" t="s">
        <v>4503</v>
      </c>
      <c r="F1246" s="7657" t="s">
        <v>3421</v>
      </c>
      <c r="G1246" s="7657" t="s">
        <v>4504</v>
      </c>
      <c r="H1246" s="7657" t="s">
        <v>17</v>
      </c>
      <c r="I1246" s="7657" t="s">
        <v>4504</v>
      </c>
      <c r="J1246" s="0" t="s">
        <v>17</v>
      </c>
      <c r="K1246" s="0" t="s">
        <v>4445</v>
      </c>
      <c r="L1246" s="0" t="s">
        <v>4446</v>
      </c>
      <c r="M1246" s="0" t="s">
        <v>4447</v>
      </c>
      <c r="N1246" s="0" t="s">
        <v>402</v>
      </c>
    </row>
    <row customHeight="1" ht="11.25">
      <c r="A1247" s="7657" t="s">
        <v>2195</v>
      </c>
      <c r="B1247" s="7657" t="s">
        <v>14</v>
      </c>
      <c r="C1247" s="7657" t="s">
        <v>3798</v>
      </c>
      <c r="D1247" s="7657" t="s">
        <v>3799</v>
      </c>
      <c r="E1247" s="7657" t="s">
        <v>3800</v>
      </c>
      <c r="F1247" s="7657" t="s">
        <v>2556</v>
      </c>
      <c r="G1247" s="7657" t="s">
        <v>3801</v>
      </c>
      <c r="H1247" s="7657" t="s">
        <v>17</v>
      </c>
      <c r="I1247" s="7657" t="s">
        <v>3608</v>
      </c>
      <c r="J1247" s="0" t="s">
        <v>17</v>
      </c>
      <c r="K1247" s="0" t="s">
        <v>4445</v>
      </c>
      <c r="L1247" s="0" t="s">
        <v>4446</v>
      </c>
      <c r="M1247" s="0" t="s">
        <v>4447</v>
      </c>
      <c r="N1247" s="0" t="s">
        <v>402</v>
      </c>
    </row>
    <row customHeight="1" ht="11.25">
      <c r="A1248" s="7657" t="s">
        <v>2195</v>
      </c>
      <c r="B1248" s="7657" t="s">
        <v>14</v>
      </c>
      <c r="C1248" s="7657" t="s">
        <v>2544</v>
      </c>
      <c r="D1248" s="7657" t="s">
        <v>2545</v>
      </c>
      <c r="E1248" s="7657" t="s">
        <v>2546</v>
      </c>
      <c r="F1248" s="7657" t="s">
        <v>2527</v>
      </c>
      <c r="G1248" s="7657" t="s">
        <v>2547</v>
      </c>
      <c r="H1248" s="7657" t="s">
        <v>17</v>
      </c>
      <c r="I1248" s="7657" t="s">
        <v>4505</v>
      </c>
      <c r="J1248" s="0" t="s">
        <v>17</v>
      </c>
      <c r="K1248" s="0" t="s">
        <v>4448</v>
      </c>
      <c r="L1248" s="0" t="s">
        <v>4464</v>
      </c>
      <c r="M1248" s="0" t="s">
        <v>4465</v>
      </c>
      <c r="N1248" s="0" t="s">
        <v>402</v>
      </c>
    </row>
    <row customHeight="1" ht="11.25">
      <c r="A1249" s="7657" t="s">
        <v>2195</v>
      </c>
      <c r="B1249" s="7657" t="s">
        <v>14</v>
      </c>
      <c r="C1249" s="7657" t="s">
        <v>2549</v>
      </c>
      <c r="D1249" s="7657" t="s">
        <v>2550</v>
      </c>
      <c r="E1249" s="7657" t="s">
        <v>2551</v>
      </c>
      <c r="F1249" s="7657" t="s">
        <v>2506</v>
      </c>
      <c r="G1249" s="7657" t="s">
        <v>17</v>
      </c>
      <c r="H1249" s="7657" t="s">
        <v>17</v>
      </c>
      <c r="I1249" s="7657" t="s">
        <v>3810</v>
      </c>
      <c r="J1249" s="0" t="s">
        <v>17</v>
      </c>
      <c r="K1249" s="0" t="s">
        <v>4448</v>
      </c>
      <c r="L1249" s="0" t="s">
        <v>4464</v>
      </c>
      <c r="M1249" s="0" t="s">
        <v>4465</v>
      </c>
      <c r="N1249" s="0" t="s">
        <v>402</v>
      </c>
    </row>
    <row customHeight="1" ht="11.25">
      <c r="A1250" s="7657" t="s">
        <v>2195</v>
      </c>
      <c r="B1250" s="7657" t="s">
        <v>14</v>
      </c>
      <c r="C1250" s="7657" t="s">
        <v>3811</v>
      </c>
      <c r="D1250" s="7657" t="s">
        <v>3812</v>
      </c>
      <c r="E1250" s="7657" t="s">
        <v>3813</v>
      </c>
      <c r="F1250" s="7657" t="s">
        <v>2556</v>
      </c>
      <c r="G1250" s="7657" t="s">
        <v>3801</v>
      </c>
      <c r="H1250" s="7657" t="s">
        <v>17</v>
      </c>
      <c r="I1250" s="7657" t="s">
        <v>3608</v>
      </c>
      <c r="J1250" s="0" t="s">
        <v>17</v>
      </c>
      <c r="K1250" s="0" t="s">
        <v>4445</v>
      </c>
      <c r="L1250" s="0" t="s">
        <v>4446</v>
      </c>
      <c r="M1250" s="0" t="s">
        <v>4447</v>
      </c>
      <c r="N1250" s="0" t="s">
        <v>402</v>
      </c>
    </row>
    <row customHeight="1" ht="11.25">
      <c r="A1251" s="7657" t="s">
        <v>2195</v>
      </c>
      <c r="B1251" s="7657" t="s">
        <v>14</v>
      </c>
      <c r="C1251" s="7657" t="s">
        <v>3833</v>
      </c>
      <c r="D1251" s="7657" t="s">
        <v>3834</v>
      </c>
      <c r="E1251" s="7657" t="s">
        <v>3835</v>
      </c>
      <c r="F1251" s="7657" t="s">
        <v>2711</v>
      </c>
      <c r="G1251" s="7657" t="s">
        <v>3836</v>
      </c>
      <c r="H1251" s="7657" t="s">
        <v>17</v>
      </c>
      <c r="I1251" s="7657" t="s">
        <v>2426</v>
      </c>
      <c r="J1251" s="0" t="s">
        <v>17</v>
      </c>
      <c r="K1251" s="0" t="s">
        <v>4445</v>
      </c>
      <c r="L1251" s="0" t="s">
        <v>4446</v>
      </c>
      <c r="M1251" s="0" t="s">
        <v>4447</v>
      </c>
      <c r="N1251" s="0" t="s">
        <v>402</v>
      </c>
    </row>
    <row customHeight="1" ht="11.25">
      <c r="A1252" s="7657" t="s">
        <v>2195</v>
      </c>
      <c r="B1252" s="7657" t="s">
        <v>14</v>
      </c>
      <c r="C1252" s="7657" t="s">
        <v>3843</v>
      </c>
      <c r="D1252" s="7657" t="s">
        <v>3844</v>
      </c>
      <c r="E1252" s="7657" t="s">
        <v>3845</v>
      </c>
      <c r="F1252" s="7657" t="s">
        <v>2425</v>
      </c>
      <c r="G1252" s="7657" t="s">
        <v>17</v>
      </c>
      <c r="H1252" s="7657" t="s">
        <v>17</v>
      </c>
      <c r="I1252" s="7657" t="s">
        <v>2426</v>
      </c>
      <c r="J1252" s="0" t="s">
        <v>17</v>
      </c>
      <c r="K1252" s="0" t="s">
        <v>4445</v>
      </c>
      <c r="L1252" s="0" t="s">
        <v>4446</v>
      </c>
      <c r="M1252" s="0" t="s">
        <v>4447</v>
      </c>
      <c r="N1252" s="0" t="s">
        <v>402</v>
      </c>
    </row>
    <row customHeight="1" ht="11.25">
      <c r="A1253" s="7657" t="s">
        <v>2195</v>
      </c>
      <c r="B1253" s="7657" t="s">
        <v>14</v>
      </c>
      <c r="C1253" s="7657" t="s">
        <v>3846</v>
      </c>
      <c r="D1253" s="7657" t="s">
        <v>3847</v>
      </c>
      <c r="E1253" s="7657" t="s">
        <v>3848</v>
      </c>
      <c r="F1253" s="7657" t="s">
        <v>2321</v>
      </c>
      <c r="G1253" s="7657" t="s">
        <v>17</v>
      </c>
      <c r="H1253" s="7657" t="s">
        <v>17</v>
      </c>
      <c r="I1253" s="7657" t="s">
        <v>3849</v>
      </c>
      <c r="J1253" s="0" t="s">
        <v>17</v>
      </c>
      <c r="K1253" s="0" t="s">
        <v>4445</v>
      </c>
      <c r="L1253" s="0" t="s">
        <v>4466</v>
      </c>
      <c r="M1253" s="0" t="s">
        <v>4467</v>
      </c>
      <c r="N1253" s="0" t="s">
        <v>402</v>
      </c>
    </row>
    <row customHeight="1" ht="11.25">
      <c r="A1254" s="7657" t="s">
        <v>2195</v>
      </c>
      <c r="B1254" s="7657" t="s">
        <v>14</v>
      </c>
      <c r="C1254" s="7657" t="s">
        <v>3896</v>
      </c>
      <c r="D1254" s="7657" t="s">
        <v>3897</v>
      </c>
      <c r="E1254" s="7657" t="s">
        <v>3898</v>
      </c>
      <c r="F1254" s="7657" t="s">
        <v>2711</v>
      </c>
      <c r="G1254" s="7657" t="s">
        <v>3899</v>
      </c>
      <c r="H1254" s="7657" t="s">
        <v>17</v>
      </c>
      <c r="I1254" s="7657" t="s">
        <v>2426</v>
      </c>
      <c r="J1254" s="0" t="s">
        <v>17</v>
      </c>
      <c r="K1254" s="0" t="s">
        <v>4445</v>
      </c>
      <c r="L1254" s="0" t="s">
        <v>4446</v>
      </c>
      <c r="M1254" s="0" t="s">
        <v>4447</v>
      </c>
      <c r="N1254" s="0" t="s">
        <v>402</v>
      </c>
    </row>
    <row customHeight="1" ht="11.25">
      <c r="A1255" s="7657" t="s">
        <v>2195</v>
      </c>
      <c r="B1255" s="7657" t="s">
        <v>14</v>
      </c>
      <c r="C1255" s="7657" t="s">
        <v>3901</v>
      </c>
      <c r="D1255" s="7657" t="s">
        <v>3902</v>
      </c>
      <c r="E1255" s="7657" t="s">
        <v>3903</v>
      </c>
      <c r="F1255" s="7657" t="s">
        <v>2489</v>
      </c>
      <c r="G1255" s="7657" t="s">
        <v>17</v>
      </c>
      <c r="H1255" s="7657" t="s">
        <v>17</v>
      </c>
      <c r="I1255" s="7657" t="s">
        <v>2208</v>
      </c>
      <c r="J1255" s="0" t="s">
        <v>17</v>
      </c>
      <c r="K1255" s="0" t="s">
        <v>4445</v>
      </c>
      <c r="L1255" s="0" t="s">
        <v>4446</v>
      </c>
      <c r="M1255" s="0" t="s">
        <v>4447</v>
      </c>
      <c r="N1255" s="0" t="s">
        <v>402</v>
      </c>
    </row>
    <row customHeight="1" ht="11.25">
      <c r="A1256" s="7657" t="s">
        <v>2195</v>
      </c>
      <c r="B1256" s="7657" t="s">
        <v>14</v>
      </c>
      <c r="C1256" s="7657" t="s">
        <v>3908</v>
      </c>
      <c r="D1256" s="7657" t="s">
        <v>3909</v>
      </c>
      <c r="E1256" s="7657" t="s">
        <v>3910</v>
      </c>
      <c r="F1256" s="7657" t="s">
        <v>2425</v>
      </c>
      <c r="G1256" s="7657" t="s">
        <v>3911</v>
      </c>
      <c r="H1256" s="7657" t="s">
        <v>17</v>
      </c>
      <c r="I1256" s="7657" t="s">
        <v>2534</v>
      </c>
      <c r="J1256" s="0" t="s">
        <v>17</v>
      </c>
      <c r="K1256" s="0" t="s">
        <v>4488</v>
      </c>
      <c r="L1256" s="0" t="s">
        <v>4489</v>
      </c>
      <c r="M1256" s="0" t="s">
        <v>4490</v>
      </c>
      <c r="N1256" s="0" t="s">
        <v>402</v>
      </c>
    </row>
    <row customHeight="1" ht="11.25">
      <c r="A1257" s="7657" t="s">
        <v>2195</v>
      </c>
      <c r="B1257" s="7657" t="s">
        <v>14</v>
      </c>
      <c r="C1257" s="7657" t="s">
        <v>2572</v>
      </c>
      <c r="D1257" s="7657" t="s">
        <v>2573</v>
      </c>
      <c r="E1257" s="7657" t="s">
        <v>2574</v>
      </c>
      <c r="F1257" s="7657" t="s">
        <v>2575</v>
      </c>
      <c r="G1257" s="7657" t="s">
        <v>2576</v>
      </c>
      <c r="H1257" s="7657" t="s">
        <v>17</v>
      </c>
      <c r="I1257" s="7657" t="s">
        <v>2576</v>
      </c>
      <c r="J1257" s="0" t="s">
        <v>17</v>
      </c>
      <c r="K1257" s="0" t="s">
        <v>4445</v>
      </c>
      <c r="L1257" s="0" t="s">
        <v>4446</v>
      </c>
      <c r="M1257" s="0" t="s">
        <v>4447</v>
      </c>
      <c r="N1257" s="0" t="s">
        <v>402</v>
      </c>
    </row>
    <row customHeight="1" ht="11.25">
      <c r="A1258" s="7657" t="s">
        <v>2195</v>
      </c>
      <c r="B1258" s="7657" t="s">
        <v>14</v>
      </c>
      <c r="C1258" s="7657" t="s">
        <v>2608</v>
      </c>
      <c r="D1258" s="7657" t="s">
        <v>2609</v>
      </c>
      <c r="E1258" s="7657" t="s">
        <v>2610</v>
      </c>
      <c r="F1258" s="7657" t="s">
        <v>2388</v>
      </c>
      <c r="G1258" s="7657" t="s">
        <v>2611</v>
      </c>
      <c r="H1258" s="7657" t="s">
        <v>17</v>
      </c>
      <c r="I1258" s="7657" t="s">
        <v>2611</v>
      </c>
      <c r="J1258" s="0" t="s">
        <v>17</v>
      </c>
      <c r="K1258" s="0" t="s">
        <v>4488</v>
      </c>
      <c r="L1258" s="0" t="s">
        <v>4489</v>
      </c>
      <c r="M1258" s="0" t="s">
        <v>4490</v>
      </c>
      <c r="N1258" s="0" t="s">
        <v>402</v>
      </c>
    </row>
    <row customHeight="1" ht="11.25">
      <c r="A1259" s="7657" t="s">
        <v>2195</v>
      </c>
      <c r="B1259" s="7657" t="s">
        <v>14</v>
      </c>
      <c r="C1259" s="7657" t="s">
        <v>2608</v>
      </c>
      <c r="D1259" s="7657" t="s">
        <v>2609</v>
      </c>
      <c r="E1259" s="7657" t="s">
        <v>2610</v>
      </c>
      <c r="F1259" s="7657" t="s">
        <v>2388</v>
      </c>
      <c r="G1259" s="7657" t="s">
        <v>2611</v>
      </c>
      <c r="H1259" s="7657" t="s">
        <v>17</v>
      </c>
      <c r="I1259" s="7657" t="s">
        <v>2612</v>
      </c>
      <c r="J1259" s="0" t="s">
        <v>17</v>
      </c>
      <c r="K1259" s="0" t="s">
        <v>4506</v>
      </c>
      <c r="L1259" s="0" t="s">
        <v>4507</v>
      </c>
      <c r="M1259" s="0" t="s">
        <v>4508</v>
      </c>
      <c r="N1259" s="0" t="s">
        <v>402</v>
      </c>
    </row>
    <row customHeight="1" ht="11.25">
      <c r="A1260" s="7657" t="s">
        <v>2195</v>
      </c>
      <c r="B1260" s="7657" t="s">
        <v>14</v>
      </c>
      <c r="C1260" s="7657" t="s">
        <v>2608</v>
      </c>
      <c r="D1260" s="7657" t="s">
        <v>2609</v>
      </c>
      <c r="E1260" s="7657" t="s">
        <v>2610</v>
      </c>
      <c r="F1260" s="7657" t="s">
        <v>2388</v>
      </c>
      <c r="G1260" s="7657" t="s">
        <v>2611</v>
      </c>
      <c r="H1260" s="7657" t="s">
        <v>17</v>
      </c>
      <c r="I1260" s="7657" t="s">
        <v>4509</v>
      </c>
      <c r="J1260" s="0" t="s">
        <v>17</v>
      </c>
      <c r="K1260" s="0" t="s">
        <v>4448</v>
      </c>
      <c r="L1260" s="0" t="s">
        <v>4449</v>
      </c>
      <c r="M1260" s="0" t="s">
        <v>4450</v>
      </c>
      <c r="N1260" s="0" t="s">
        <v>402</v>
      </c>
    </row>
    <row customHeight="1" ht="11.25">
      <c r="A1261" s="7657" t="s">
        <v>2195</v>
      </c>
      <c r="B1261" s="7657" t="s">
        <v>14</v>
      </c>
      <c r="C1261" s="7657" t="s">
        <v>3919</v>
      </c>
      <c r="D1261" s="7657" t="s">
        <v>3920</v>
      </c>
      <c r="E1261" s="7657" t="s">
        <v>3921</v>
      </c>
      <c r="F1261" s="7657" t="s">
        <v>3050</v>
      </c>
      <c r="G1261" s="7657" t="s">
        <v>3922</v>
      </c>
      <c r="H1261" s="7657" t="s">
        <v>17</v>
      </c>
      <c r="I1261" s="7657" t="s">
        <v>3922</v>
      </c>
      <c r="J1261" s="0" t="s">
        <v>17</v>
      </c>
      <c r="K1261" s="0" t="s">
        <v>4445</v>
      </c>
      <c r="L1261" s="0" t="s">
        <v>4446</v>
      </c>
      <c r="M1261" s="0" t="s">
        <v>4447</v>
      </c>
      <c r="N1261" s="0" t="s">
        <v>402</v>
      </c>
    </row>
    <row customHeight="1" ht="11.25">
      <c r="A1262" s="7657" t="s">
        <v>2195</v>
      </c>
      <c r="B1262" s="7657" t="s">
        <v>14</v>
      </c>
      <c r="C1262" s="7657" t="s">
        <v>2613</v>
      </c>
      <c r="D1262" s="7657" t="s">
        <v>2614</v>
      </c>
      <c r="E1262" s="7657" t="s">
        <v>2615</v>
      </c>
      <c r="F1262" s="7657" t="s">
        <v>2489</v>
      </c>
      <c r="G1262" s="7657" t="s">
        <v>17</v>
      </c>
      <c r="H1262" s="7657" t="s">
        <v>17</v>
      </c>
      <c r="I1262" s="7657" t="s">
        <v>2208</v>
      </c>
      <c r="J1262" s="0" t="s">
        <v>17</v>
      </c>
      <c r="K1262" s="0" t="s">
        <v>4445</v>
      </c>
      <c r="L1262" s="0" t="s">
        <v>4446</v>
      </c>
      <c r="M1262" s="0" t="s">
        <v>4447</v>
      </c>
      <c r="N1262" s="0" t="s">
        <v>402</v>
      </c>
    </row>
    <row customHeight="1" ht="11.25">
      <c r="A1263" s="7657" t="s">
        <v>2195</v>
      </c>
      <c r="B1263" s="7657" t="s">
        <v>14</v>
      </c>
      <c r="C1263" s="7657" t="s">
        <v>3948</v>
      </c>
      <c r="D1263" s="7657" t="s">
        <v>3949</v>
      </c>
      <c r="E1263" s="7657" t="s">
        <v>3950</v>
      </c>
      <c r="F1263" s="7657" t="s">
        <v>2542</v>
      </c>
      <c r="G1263" s="7657" t="s">
        <v>3951</v>
      </c>
      <c r="H1263" s="7657" t="s">
        <v>17</v>
      </c>
      <c r="I1263" s="7657" t="s">
        <v>3951</v>
      </c>
      <c r="J1263" s="0" t="s">
        <v>17</v>
      </c>
      <c r="K1263" s="0" t="s">
        <v>4445</v>
      </c>
      <c r="L1263" s="0" t="s">
        <v>4446</v>
      </c>
      <c r="M1263" s="0" t="s">
        <v>4447</v>
      </c>
      <c r="N1263" s="0" t="s">
        <v>402</v>
      </c>
    </row>
    <row customHeight="1" ht="11.25">
      <c r="A1264" s="7657" t="s">
        <v>2195</v>
      </c>
      <c r="B1264" s="7657" t="s">
        <v>14</v>
      </c>
      <c r="C1264" s="7657" t="s">
        <v>3960</v>
      </c>
      <c r="D1264" s="7657" t="s">
        <v>3961</v>
      </c>
      <c r="E1264" s="7657" t="s">
        <v>3962</v>
      </c>
      <c r="F1264" s="7657" t="s">
        <v>2239</v>
      </c>
      <c r="G1264" s="7657" t="s">
        <v>3963</v>
      </c>
      <c r="H1264" s="7657" t="s">
        <v>17</v>
      </c>
      <c r="I1264" s="7657" t="s">
        <v>2208</v>
      </c>
      <c r="J1264" s="0" t="s">
        <v>17</v>
      </c>
      <c r="K1264" s="0" t="s">
        <v>4445</v>
      </c>
      <c r="L1264" s="0" t="s">
        <v>4446</v>
      </c>
      <c r="M1264" s="0" t="s">
        <v>4447</v>
      </c>
      <c r="N1264" s="0" t="s">
        <v>402</v>
      </c>
    </row>
    <row customHeight="1" ht="11.25">
      <c r="A1265" s="7657" t="s">
        <v>2195</v>
      </c>
      <c r="B1265" s="7657" t="s">
        <v>14</v>
      </c>
      <c r="C1265" s="7657" t="s">
        <v>3983</v>
      </c>
      <c r="D1265" s="7657" t="s">
        <v>3984</v>
      </c>
      <c r="E1265" s="7657" t="s">
        <v>3985</v>
      </c>
      <c r="F1265" s="7657" t="s">
        <v>2856</v>
      </c>
      <c r="G1265" s="7657" t="s">
        <v>3986</v>
      </c>
      <c r="H1265" s="7657" t="s">
        <v>17</v>
      </c>
      <c r="I1265" s="7657" t="s">
        <v>3986</v>
      </c>
      <c r="J1265" s="0" t="s">
        <v>17</v>
      </c>
      <c r="K1265" s="0" t="s">
        <v>4448</v>
      </c>
      <c r="L1265" s="0" t="s">
        <v>4464</v>
      </c>
      <c r="M1265" s="0" t="s">
        <v>4465</v>
      </c>
      <c r="N1265" s="0" t="s">
        <v>402</v>
      </c>
    </row>
    <row customHeight="1" ht="11.25">
      <c r="A1266" s="7657" t="s">
        <v>2195</v>
      </c>
      <c r="B1266" s="7657" t="s">
        <v>14</v>
      </c>
      <c r="C1266" s="7657" t="s">
        <v>4018</v>
      </c>
      <c r="D1266" s="7657" t="s">
        <v>4019</v>
      </c>
      <c r="E1266" s="7657" t="s">
        <v>4020</v>
      </c>
      <c r="F1266" s="7657" t="s">
        <v>2856</v>
      </c>
      <c r="G1266" s="7657" t="s">
        <v>4021</v>
      </c>
      <c r="H1266" s="7657" t="s">
        <v>17</v>
      </c>
      <c r="I1266" s="7657" t="s">
        <v>4022</v>
      </c>
      <c r="J1266" s="0" t="s">
        <v>17</v>
      </c>
      <c r="K1266" s="0" t="s">
        <v>4448</v>
      </c>
      <c r="L1266" s="0" t="s">
        <v>4449</v>
      </c>
      <c r="M1266" s="0" t="s">
        <v>4450</v>
      </c>
      <c r="N1266" s="0" t="s">
        <v>402</v>
      </c>
    </row>
    <row customHeight="1" ht="11.25">
      <c r="A1267" s="7657" t="s">
        <v>2195</v>
      </c>
      <c r="B1267" s="7657" t="s">
        <v>14</v>
      </c>
      <c r="C1267" s="7657" t="s">
        <v>4018</v>
      </c>
      <c r="D1267" s="7657" t="s">
        <v>4019</v>
      </c>
      <c r="E1267" s="7657" t="s">
        <v>4020</v>
      </c>
      <c r="F1267" s="7657" t="s">
        <v>2856</v>
      </c>
      <c r="G1267" s="7657" t="s">
        <v>4021</v>
      </c>
      <c r="H1267" s="7657" t="s">
        <v>17</v>
      </c>
      <c r="I1267" s="7657" t="s">
        <v>3197</v>
      </c>
      <c r="J1267" s="0" t="s">
        <v>17</v>
      </c>
      <c r="K1267" s="0" t="s">
        <v>4488</v>
      </c>
      <c r="L1267" s="0" t="s">
        <v>4489</v>
      </c>
      <c r="M1267" s="0" t="s">
        <v>4490</v>
      </c>
      <c r="N1267" s="0" t="s">
        <v>402</v>
      </c>
    </row>
    <row customHeight="1" ht="11.25">
      <c r="A1268" s="7657" t="s">
        <v>2195</v>
      </c>
      <c r="B1268" s="7657" t="s">
        <v>14</v>
      </c>
      <c r="C1268" s="7657" t="s">
        <v>4023</v>
      </c>
      <c r="D1268" s="7657" t="s">
        <v>4024</v>
      </c>
      <c r="E1268" s="7657" t="s">
        <v>4025</v>
      </c>
      <c r="F1268" s="7657" t="s">
        <v>2856</v>
      </c>
      <c r="G1268" s="7657" t="s">
        <v>4026</v>
      </c>
      <c r="H1268" s="7657" t="s">
        <v>17</v>
      </c>
      <c r="I1268" s="7657" t="s">
        <v>4027</v>
      </c>
      <c r="J1268" s="0" t="s">
        <v>17</v>
      </c>
      <c r="K1268" s="0" t="s">
        <v>4448</v>
      </c>
      <c r="L1268" s="0" t="s">
        <v>4464</v>
      </c>
      <c r="M1268" s="0" t="s">
        <v>4465</v>
      </c>
      <c r="N1268" s="0" t="s">
        <v>402</v>
      </c>
    </row>
    <row customHeight="1" ht="11.25">
      <c r="A1269" s="7657" t="s">
        <v>2195</v>
      </c>
      <c r="B1269" s="7657" t="s">
        <v>14</v>
      </c>
      <c r="C1269" s="7657" t="s">
        <v>4033</v>
      </c>
      <c r="D1269" s="7657" t="s">
        <v>4034</v>
      </c>
      <c r="E1269" s="7657" t="s">
        <v>4035</v>
      </c>
      <c r="F1269" s="7657" t="s">
        <v>2483</v>
      </c>
      <c r="G1269" s="7657" t="s">
        <v>17</v>
      </c>
      <c r="H1269" s="7657" t="s">
        <v>17</v>
      </c>
      <c r="I1269" s="7657" t="s">
        <v>2426</v>
      </c>
      <c r="J1269" s="0" t="s">
        <v>17</v>
      </c>
      <c r="K1269" s="0" t="s">
        <v>4445</v>
      </c>
      <c r="L1269" s="0" t="s">
        <v>4446</v>
      </c>
      <c r="M1269" s="0" t="s">
        <v>4447</v>
      </c>
      <c r="N1269" s="0" t="s">
        <v>402</v>
      </c>
    </row>
    <row customHeight="1" ht="11.25">
      <c r="A1270" s="7657" t="s">
        <v>2195</v>
      </c>
      <c r="B1270" s="7657" t="s">
        <v>14</v>
      </c>
      <c r="C1270" s="7657" t="s">
        <v>4036</v>
      </c>
      <c r="D1270" s="7657" t="s">
        <v>4037</v>
      </c>
      <c r="E1270" s="7657" t="s">
        <v>4038</v>
      </c>
      <c r="F1270" s="7657" t="s">
        <v>2606</v>
      </c>
      <c r="G1270" s="7657" t="s">
        <v>4039</v>
      </c>
      <c r="H1270" s="7657" t="s">
        <v>17</v>
      </c>
      <c r="I1270" s="7657" t="s">
        <v>4510</v>
      </c>
      <c r="J1270" s="0" t="s">
        <v>17</v>
      </c>
      <c r="K1270" s="0" t="s">
        <v>4488</v>
      </c>
      <c r="L1270" s="0" t="s">
        <v>4489</v>
      </c>
      <c r="M1270" s="0" t="s">
        <v>4490</v>
      </c>
      <c r="N1270" s="0" t="s">
        <v>402</v>
      </c>
    </row>
    <row customHeight="1" ht="11.25">
      <c r="A1271" s="7657" t="s">
        <v>2195</v>
      </c>
      <c r="B1271" s="7657" t="s">
        <v>14</v>
      </c>
      <c r="C1271" s="7657" t="s">
        <v>4036</v>
      </c>
      <c r="D1271" s="7657" t="s">
        <v>4037</v>
      </c>
      <c r="E1271" s="7657" t="s">
        <v>4038</v>
      </c>
      <c r="F1271" s="7657" t="s">
        <v>2606</v>
      </c>
      <c r="G1271" s="7657" t="s">
        <v>4039</v>
      </c>
      <c r="H1271" s="7657" t="s">
        <v>17</v>
      </c>
      <c r="I1271" s="7657" t="s">
        <v>3214</v>
      </c>
      <c r="J1271" s="0" t="s">
        <v>17</v>
      </c>
      <c r="K1271" s="0" t="s">
        <v>4445</v>
      </c>
      <c r="L1271" s="0" t="s">
        <v>4446</v>
      </c>
      <c r="M1271" s="0" t="s">
        <v>4447</v>
      </c>
      <c r="N1271" s="0" t="s">
        <v>402</v>
      </c>
    </row>
    <row customHeight="1" ht="11.25">
      <c r="A1272" s="7657" t="s">
        <v>2195</v>
      </c>
      <c r="B1272" s="7657" t="s">
        <v>14</v>
      </c>
      <c r="C1272" s="7657" t="s">
        <v>2651</v>
      </c>
      <c r="D1272" s="7657" t="s">
        <v>2652</v>
      </c>
      <c r="E1272" s="7657" t="s">
        <v>2653</v>
      </c>
      <c r="F1272" s="7657" t="s">
        <v>2306</v>
      </c>
      <c r="G1272" s="7657" t="s">
        <v>17</v>
      </c>
      <c r="H1272" s="7657" t="s">
        <v>17</v>
      </c>
      <c r="I1272" s="7657" t="s">
        <v>4046</v>
      </c>
      <c r="J1272" s="0" t="s">
        <v>17</v>
      </c>
      <c r="K1272" s="0" t="s">
        <v>4445</v>
      </c>
      <c r="L1272" s="0" t="s">
        <v>4446</v>
      </c>
      <c r="M1272" s="0" t="s">
        <v>4447</v>
      </c>
      <c r="N1272" s="0" t="s">
        <v>402</v>
      </c>
    </row>
    <row customHeight="1" ht="11.25">
      <c r="A1273" s="7657" t="s">
        <v>2195</v>
      </c>
      <c r="B1273" s="7657" t="s">
        <v>14</v>
      </c>
      <c r="C1273" s="7657" t="s">
        <v>2651</v>
      </c>
      <c r="D1273" s="7657" t="s">
        <v>2652</v>
      </c>
      <c r="E1273" s="7657" t="s">
        <v>2653</v>
      </c>
      <c r="F1273" s="7657" t="s">
        <v>2306</v>
      </c>
      <c r="G1273" s="7657" t="s">
        <v>17</v>
      </c>
      <c r="H1273" s="7657" t="s">
        <v>17</v>
      </c>
      <c r="I1273" s="7657" t="s">
        <v>2240</v>
      </c>
      <c r="J1273" s="0" t="s">
        <v>17</v>
      </c>
      <c r="K1273" s="0" t="s">
        <v>4445</v>
      </c>
      <c r="L1273" s="0" t="s">
        <v>4466</v>
      </c>
      <c r="M1273" s="0" t="s">
        <v>4467</v>
      </c>
      <c r="N1273" s="0" t="s">
        <v>402</v>
      </c>
    </row>
    <row customHeight="1" ht="11.25">
      <c r="A1274" s="7657" t="s">
        <v>2195</v>
      </c>
      <c r="B1274" s="7657" t="s">
        <v>14</v>
      </c>
      <c r="C1274" s="7657" t="s">
        <v>2651</v>
      </c>
      <c r="D1274" s="7657" t="s">
        <v>2652</v>
      </c>
      <c r="E1274" s="7657" t="s">
        <v>2653</v>
      </c>
      <c r="F1274" s="7657" t="s">
        <v>2306</v>
      </c>
      <c r="G1274" s="7657" t="s">
        <v>17</v>
      </c>
      <c r="H1274" s="7657" t="s">
        <v>17</v>
      </c>
      <c r="I1274" s="7657" t="s">
        <v>4048</v>
      </c>
      <c r="J1274" s="0" t="s">
        <v>17</v>
      </c>
      <c r="K1274" s="0" t="s">
        <v>4488</v>
      </c>
      <c r="L1274" s="0" t="s">
        <v>4489</v>
      </c>
      <c r="M1274" s="0" t="s">
        <v>4490</v>
      </c>
      <c r="N1274" s="0" t="s">
        <v>402</v>
      </c>
    </row>
    <row customHeight="1" ht="11.25">
      <c r="A1275" s="7657" t="s">
        <v>2195</v>
      </c>
      <c r="B1275" s="7657" t="s">
        <v>14</v>
      </c>
      <c r="C1275" s="7657" t="s">
        <v>4053</v>
      </c>
      <c r="D1275" s="7657" t="s">
        <v>4054</v>
      </c>
      <c r="E1275" s="7657" t="s">
        <v>4055</v>
      </c>
      <c r="F1275" s="7657" t="s">
        <v>2483</v>
      </c>
      <c r="G1275" s="7657" t="s">
        <v>17</v>
      </c>
      <c r="H1275" s="7657" t="s">
        <v>17</v>
      </c>
      <c r="I1275" s="7657" t="s">
        <v>2534</v>
      </c>
      <c r="J1275" s="0" t="s">
        <v>17</v>
      </c>
      <c r="K1275" s="0" t="s">
        <v>4445</v>
      </c>
      <c r="L1275" s="0" t="s">
        <v>4446</v>
      </c>
      <c r="M1275" s="0" t="s">
        <v>4447</v>
      </c>
      <c r="N1275" s="0" t="s">
        <v>402</v>
      </c>
    </row>
    <row customHeight="1" ht="11.25">
      <c r="A1276" s="7657" t="s">
        <v>2195</v>
      </c>
      <c r="B1276" s="7657" t="s">
        <v>14</v>
      </c>
      <c r="C1276" s="7657" t="s">
        <v>4059</v>
      </c>
      <c r="D1276" s="7657" t="s">
        <v>4060</v>
      </c>
      <c r="E1276" s="7657" t="s">
        <v>4061</v>
      </c>
      <c r="F1276" s="7657" t="s">
        <v>2483</v>
      </c>
      <c r="G1276" s="7657" t="s">
        <v>17</v>
      </c>
      <c r="H1276" s="7657" t="s">
        <v>17</v>
      </c>
      <c r="I1276" s="7657" t="s">
        <v>2534</v>
      </c>
      <c r="J1276" s="0" t="s">
        <v>17</v>
      </c>
      <c r="K1276" s="0" t="s">
        <v>4445</v>
      </c>
      <c r="L1276" s="0" t="s">
        <v>4446</v>
      </c>
      <c r="M1276" s="0" t="s">
        <v>4447</v>
      </c>
      <c r="N1276" s="0" t="s">
        <v>402</v>
      </c>
    </row>
    <row customHeight="1" ht="11.25">
      <c r="A1277" s="7657" t="s">
        <v>2195</v>
      </c>
      <c r="B1277" s="7657" t="s">
        <v>14</v>
      </c>
      <c r="C1277" s="7657" t="s">
        <v>2660</v>
      </c>
      <c r="D1277" s="7657" t="s">
        <v>2661</v>
      </c>
      <c r="E1277" s="7657" t="s">
        <v>2662</v>
      </c>
      <c r="F1277" s="7657" t="s">
        <v>2629</v>
      </c>
      <c r="G1277" s="7657" t="s">
        <v>2663</v>
      </c>
      <c r="H1277" s="7657" t="s">
        <v>17</v>
      </c>
      <c r="I1277" s="7657" t="s">
        <v>4062</v>
      </c>
      <c r="J1277" s="0" t="s">
        <v>17</v>
      </c>
      <c r="K1277" s="0" t="s">
        <v>4445</v>
      </c>
      <c r="L1277" s="0" t="s">
        <v>4446</v>
      </c>
      <c r="M1277" s="0" t="s">
        <v>4447</v>
      </c>
      <c r="N1277" s="0" t="s">
        <v>402</v>
      </c>
    </row>
    <row customHeight="1" ht="11.25">
      <c r="A1278" s="7657" t="s">
        <v>2195</v>
      </c>
      <c r="B1278" s="7657" t="s">
        <v>14</v>
      </c>
      <c r="C1278" s="7657" t="s">
        <v>2665</v>
      </c>
      <c r="D1278" s="7657" t="s">
        <v>2666</v>
      </c>
      <c r="E1278" s="7657" t="s">
        <v>2667</v>
      </c>
      <c r="F1278" s="7657" t="s">
        <v>2575</v>
      </c>
      <c r="G1278" s="7657" t="s">
        <v>2668</v>
      </c>
      <c r="H1278" s="7657" t="s">
        <v>17</v>
      </c>
      <c r="I1278" s="7657" t="s">
        <v>2668</v>
      </c>
      <c r="J1278" s="0" t="s">
        <v>17</v>
      </c>
      <c r="K1278" s="0" t="s">
        <v>4445</v>
      </c>
      <c r="L1278" s="0" t="s">
        <v>4446</v>
      </c>
      <c r="M1278" s="0" t="s">
        <v>4447</v>
      </c>
      <c r="N1278" s="0" t="s">
        <v>402</v>
      </c>
    </row>
    <row customHeight="1" ht="11.25">
      <c r="A1279" s="7657" t="s">
        <v>2195</v>
      </c>
      <c r="B1279" s="7657" t="s">
        <v>14</v>
      </c>
      <c r="C1279" s="7657" t="s">
        <v>4066</v>
      </c>
      <c r="D1279" s="7657" t="s">
        <v>4067</v>
      </c>
      <c r="E1279" s="7657" t="s">
        <v>4068</v>
      </c>
      <c r="F1279" s="7657" t="s">
        <v>2263</v>
      </c>
      <c r="G1279" s="7657" t="s">
        <v>2426</v>
      </c>
      <c r="H1279" s="7657" t="s">
        <v>17</v>
      </c>
      <c r="I1279" s="7657" t="s">
        <v>2426</v>
      </c>
      <c r="J1279" s="0" t="s">
        <v>17</v>
      </c>
      <c r="K1279" s="0" t="s">
        <v>4445</v>
      </c>
      <c r="L1279" s="0" t="s">
        <v>4446</v>
      </c>
      <c r="M1279" s="0" t="s">
        <v>4447</v>
      </c>
      <c r="N1279" s="0" t="s">
        <v>402</v>
      </c>
    </row>
    <row customHeight="1" ht="11.25">
      <c r="A1280" s="7657" t="s">
        <v>2195</v>
      </c>
      <c r="B1280" s="7657" t="s">
        <v>14</v>
      </c>
      <c r="C1280" s="7657" t="s">
        <v>4070</v>
      </c>
      <c r="D1280" s="7657" t="s">
        <v>4071</v>
      </c>
      <c r="E1280" s="7657" t="s">
        <v>4072</v>
      </c>
      <c r="F1280" s="7657" t="s">
        <v>3421</v>
      </c>
      <c r="G1280" s="7657" t="s">
        <v>4073</v>
      </c>
      <c r="H1280" s="7657" t="s">
        <v>17</v>
      </c>
      <c r="I1280" s="7657" t="s">
        <v>4074</v>
      </c>
      <c r="J1280" s="0" t="s">
        <v>17</v>
      </c>
      <c r="K1280" s="0" t="s">
        <v>4445</v>
      </c>
      <c r="L1280" s="0" t="s">
        <v>4446</v>
      </c>
      <c r="M1280" s="0" t="s">
        <v>4447</v>
      </c>
      <c r="N1280" s="0" t="s">
        <v>402</v>
      </c>
    </row>
    <row customHeight="1" ht="11.25">
      <c r="A1281" s="7657" t="s">
        <v>2195</v>
      </c>
      <c r="B1281" s="7657" t="s">
        <v>14</v>
      </c>
      <c r="C1281" s="7657" t="s">
        <v>2669</v>
      </c>
      <c r="D1281" s="7657" t="s">
        <v>2670</v>
      </c>
      <c r="E1281" s="7657" t="s">
        <v>2671</v>
      </c>
      <c r="F1281" s="7657" t="s">
        <v>2321</v>
      </c>
      <c r="G1281" s="7657" t="s">
        <v>17</v>
      </c>
      <c r="H1281" s="7657" t="s">
        <v>17</v>
      </c>
      <c r="I1281" s="7657" t="s">
        <v>2485</v>
      </c>
      <c r="J1281" s="0" t="s">
        <v>17</v>
      </c>
      <c r="K1281" s="0" t="s">
        <v>4445</v>
      </c>
      <c r="L1281" s="0" t="s">
        <v>4446</v>
      </c>
      <c r="M1281" s="0" t="s">
        <v>4447</v>
      </c>
      <c r="N1281" s="0" t="s">
        <v>402</v>
      </c>
    </row>
    <row customHeight="1" ht="11.25">
      <c r="A1282" s="7657" t="s">
        <v>2195</v>
      </c>
      <c r="B1282" s="7657" t="s">
        <v>14</v>
      </c>
      <c r="C1282" s="7657" t="s">
        <v>4085</v>
      </c>
      <c r="D1282" s="7657" t="s">
        <v>4086</v>
      </c>
      <c r="E1282" s="7657" t="s">
        <v>4087</v>
      </c>
      <c r="F1282" s="7657" t="s">
        <v>2415</v>
      </c>
      <c r="G1282" s="7657" t="s">
        <v>17</v>
      </c>
      <c r="H1282" s="7657" t="s">
        <v>17</v>
      </c>
      <c r="I1282" s="7657" t="s">
        <v>4088</v>
      </c>
      <c r="J1282" s="0" t="s">
        <v>17</v>
      </c>
      <c r="K1282" s="0" t="s">
        <v>4445</v>
      </c>
      <c r="L1282" s="0" t="s">
        <v>4446</v>
      </c>
      <c r="M1282" s="0" t="s">
        <v>4447</v>
      </c>
      <c r="N1282" s="0" t="s">
        <v>402</v>
      </c>
    </row>
    <row customHeight="1" ht="11.25">
      <c r="A1283" s="7657" t="s">
        <v>2195</v>
      </c>
      <c r="B1283" s="7657" t="s">
        <v>14</v>
      </c>
      <c r="C1283" s="7657" t="s">
        <v>4511</v>
      </c>
      <c r="D1283" s="7657" t="s">
        <v>4512</v>
      </c>
      <c r="E1283" s="7657" t="s">
        <v>4513</v>
      </c>
      <c r="F1283" s="7657" t="s">
        <v>2306</v>
      </c>
      <c r="G1283" s="7657" t="s">
        <v>4514</v>
      </c>
      <c r="H1283" s="7657" t="s">
        <v>17</v>
      </c>
      <c r="I1283" s="7657" t="s">
        <v>4514</v>
      </c>
      <c r="J1283" s="0" t="s">
        <v>17</v>
      </c>
      <c r="K1283" s="0" t="s">
        <v>4488</v>
      </c>
      <c r="L1283" s="0" t="s">
        <v>4489</v>
      </c>
      <c r="M1283" s="0" t="s">
        <v>4490</v>
      </c>
      <c r="N1283" s="0" t="s">
        <v>402</v>
      </c>
    </row>
    <row customHeight="1" ht="11.25">
      <c r="A1284" s="7657" t="s">
        <v>2195</v>
      </c>
      <c r="B1284" s="7657" t="s">
        <v>14</v>
      </c>
      <c r="C1284" s="7657" t="s">
        <v>4511</v>
      </c>
      <c r="D1284" s="7657" t="s">
        <v>4512</v>
      </c>
      <c r="E1284" s="7657" t="s">
        <v>4513</v>
      </c>
      <c r="F1284" s="7657" t="s">
        <v>2306</v>
      </c>
      <c r="G1284" s="7657" t="s">
        <v>4514</v>
      </c>
      <c r="H1284" s="7657" t="s">
        <v>17</v>
      </c>
      <c r="I1284" s="7657" t="s">
        <v>2240</v>
      </c>
      <c r="J1284" s="0" t="s">
        <v>17</v>
      </c>
      <c r="K1284" s="0" t="s">
        <v>4488</v>
      </c>
      <c r="L1284" s="0" t="s">
        <v>4489</v>
      </c>
      <c r="M1284" s="0" t="s">
        <v>4490</v>
      </c>
      <c r="N1284" s="0" t="s">
        <v>402</v>
      </c>
    </row>
    <row customHeight="1" ht="11.25">
      <c r="A1285" s="7657" t="s">
        <v>2195</v>
      </c>
      <c r="B1285" s="7657" t="s">
        <v>14</v>
      </c>
      <c r="C1285" s="7657" t="s">
        <v>4089</v>
      </c>
      <c r="D1285" s="7657" t="s">
        <v>4090</v>
      </c>
      <c r="E1285" s="7657" t="s">
        <v>4091</v>
      </c>
      <c r="F1285" s="7657" t="s">
        <v>2239</v>
      </c>
      <c r="G1285" s="7657" t="s">
        <v>4092</v>
      </c>
      <c r="H1285" s="7657" t="s">
        <v>17</v>
      </c>
      <c r="I1285" s="7657" t="s">
        <v>2228</v>
      </c>
      <c r="J1285" s="0" t="s">
        <v>17</v>
      </c>
      <c r="K1285" s="0" t="s">
        <v>4445</v>
      </c>
      <c r="L1285" s="0" t="s">
        <v>4446</v>
      </c>
      <c r="M1285" s="0" t="s">
        <v>4447</v>
      </c>
      <c r="N1285" s="0" t="s">
        <v>402</v>
      </c>
    </row>
    <row customHeight="1" ht="11.25">
      <c r="A1286" s="7657" t="s">
        <v>2195</v>
      </c>
      <c r="B1286" s="7657" t="s">
        <v>14</v>
      </c>
      <c r="C1286" s="7657" t="s">
        <v>2681</v>
      </c>
      <c r="D1286" s="7657" t="s">
        <v>2682</v>
      </c>
      <c r="E1286" s="7657" t="s">
        <v>2683</v>
      </c>
      <c r="F1286" s="7657" t="s">
        <v>2206</v>
      </c>
      <c r="G1286" s="7657" t="s">
        <v>17</v>
      </c>
      <c r="H1286" s="7657" t="s">
        <v>17</v>
      </c>
      <c r="I1286" s="7657" t="s">
        <v>2208</v>
      </c>
      <c r="J1286" s="0" t="s">
        <v>17</v>
      </c>
      <c r="K1286" s="0" t="s">
        <v>4445</v>
      </c>
      <c r="L1286" s="0" t="s">
        <v>4446</v>
      </c>
      <c r="M1286" s="0" t="s">
        <v>4447</v>
      </c>
      <c r="N1286" s="0" t="s">
        <v>402</v>
      </c>
    </row>
    <row customHeight="1" ht="11.25">
      <c r="A1287" s="7657" t="s">
        <v>2195</v>
      </c>
      <c r="B1287" s="7657" t="s">
        <v>14</v>
      </c>
      <c r="C1287" s="7657" t="s">
        <v>4113</v>
      </c>
      <c r="D1287" s="7657" t="s">
        <v>4114</v>
      </c>
      <c r="E1287" s="7657" t="s">
        <v>4115</v>
      </c>
      <c r="F1287" s="7657" t="s">
        <v>2388</v>
      </c>
      <c r="G1287" s="7657" t="s">
        <v>4116</v>
      </c>
      <c r="H1287" s="7657" t="s">
        <v>17</v>
      </c>
      <c r="I1287" s="7657" t="s">
        <v>2208</v>
      </c>
      <c r="J1287" s="0" t="s">
        <v>17</v>
      </c>
      <c r="K1287" s="0" t="s">
        <v>4448</v>
      </c>
      <c r="L1287" s="0" t="s">
        <v>4449</v>
      </c>
      <c r="M1287" s="0" t="s">
        <v>4450</v>
      </c>
      <c r="N1287" s="0" t="s">
        <v>402</v>
      </c>
    </row>
    <row customHeight="1" ht="11.25">
      <c r="A1288" s="7657" t="s">
        <v>2195</v>
      </c>
      <c r="B1288" s="7657" t="s">
        <v>14</v>
      </c>
      <c r="C1288" s="7657" t="s">
        <v>4113</v>
      </c>
      <c r="D1288" s="7657" t="s">
        <v>4114</v>
      </c>
      <c r="E1288" s="7657" t="s">
        <v>4115</v>
      </c>
      <c r="F1288" s="7657" t="s">
        <v>2388</v>
      </c>
      <c r="G1288" s="7657" t="s">
        <v>4116</v>
      </c>
      <c r="H1288" s="7657" t="s">
        <v>17</v>
      </c>
      <c r="I1288" s="7657" t="s">
        <v>2208</v>
      </c>
      <c r="J1288" s="0" t="s">
        <v>17</v>
      </c>
      <c r="K1288" s="0" t="s">
        <v>4445</v>
      </c>
      <c r="L1288" s="0" t="s">
        <v>4446</v>
      </c>
      <c r="M1288" s="0" t="s">
        <v>4447</v>
      </c>
      <c r="N1288" s="0" t="s">
        <v>402</v>
      </c>
    </row>
    <row customHeight="1" ht="11.25">
      <c r="A1289" s="7657" t="s">
        <v>2195</v>
      </c>
      <c r="B1289" s="7657" t="s">
        <v>14</v>
      </c>
      <c r="C1289" s="7657" t="s">
        <v>2696</v>
      </c>
      <c r="D1289" s="7657" t="s">
        <v>2697</v>
      </c>
      <c r="E1289" s="7657" t="s">
        <v>2698</v>
      </c>
      <c r="F1289" s="7657" t="s">
        <v>2699</v>
      </c>
      <c r="G1289" s="7657" t="s">
        <v>2700</v>
      </c>
      <c r="H1289" s="7657" t="s">
        <v>17</v>
      </c>
      <c r="I1289" s="7657" t="s">
        <v>2228</v>
      </c>
      <c r="J1289" s="0" t="s">
        <v>17</v>
      </c>
      <c r="K1289" s="0" t="s">
        <v>4448</v>
      </c>
      <c r="L1289" s="0" t="s">
        <v>4464</v>
      </c>
      <c r="M1289" s="0" t="s">
        <v>4465</v>
      </c>
      <c r="N1289" s="0" t="s">
        <v>402</v>
      </c>
    </row>
    <row customHeight="1" ht="11.25">
      <c r="A1290" s="7657" t="s">
        <v>2195</v>
      </c>
      <c r="B1290" s="7657" t="s">
        <v>14</v>
      </c>
      <c r="C1290" s="7657" t="s">
        <v>4515</v>
      </c>
      <c r="D1290" s="7657" t="s">
        <v>4516</v>
      </c>
      <c r="E1290" s="7657" t="s">
        <v>4517</v>
      </c>
      <c r="F1290" s="7657" t="s">
        <v>4232</v>
      </c>
      <c r="G1290" s="7657" t="s">
        <v>3157</v>
      </c>
      <c r="H1290" s="7657" t="s">
        <v>17</v>
      </c>
      <c r="I1290" s="7657" t="s">
        <v>3157</v>
      </c>
      <c r="J1290" s="0" t="s">
        <v>17</v>
      </c>
      <c r="K1290" s="0" t="s">
        <v>4445</v>
      </c>
      <c r="L1290" s="0" t="s">
        <v>4446</v>
      </c>
      <c r="M1290" s="0" t="s">
        <v>4447</v>
      </c>
      <c r="N1290" s="0" t="s">
        <v>402</v>
      </c>
    </row>
    <row customHeight="1" ht="11.25">
      <c r="A1291" s="7657" t="s">
        <v>2195</v>
      </c>
      <c r="B1291" s="7657" t="s">
        <v>14</v>
      </c>
      <c r="C1291" s="7657" t="s">
        <v>4120</v>
      </c>
      <c r="D1291" s="7657" t="s">
        <v>4121</v>
      </c>
      <c r="E1291" s="7657" t="s">
        <v>4122</v>
      </c>
      <c r="F1291" s="7657" t="s">
        <v>2212</v>
      </c>
      <c r="G1291" s="7657" t="s">
        <v>17</v>
      </c>
      <c r="H1291" s="7657" t="s">
        <v>17</v>
      </c>
      <c r="I1291" s="7657" t="s">
        <v>2426</v>
      </c>
      <c r="J1291" s="0" t="s">
        <v>17</v>
      </c>
      <c r="K1291" s="0" t="s">
        <v>4448</v>
      </c>
      <c r="L1291" s="0" t="s">
        <v>4464</v>
      </c>
      <c r="M1291" s="0" t="s">
        <v>4465</v>
      </c>
      <c r="N1291" s="0" t="s">
        <v>402</v>
      </c>
    </row>
    <row customHeight="1" ht="11.25">
      <c r="A1292" s="7657" t="s">
        <v>2195</v>
      </c>
      <c r="B1292" s="7657" t="s">
        <v>14</v>
      </c>
      <c r="C1292" s="7657" t="s">
        <v>4518</v>
      </c>
      <c r="D1292" s="7657" t="s">
        <v>4519</v>
      </c>
      <c r="E1292" s="7657" t="s">
        <v>4520</v>
      </c>
      <c r="F1292" s="7657" t="s">
        <v>2212</v>
      </c>
      <c r="G1292" s="7657" t="s">
        <v>17</v>
      </c>
      <c r="H1292" s="7657" t="s">
        <v>17</v>
      </c>
      <c r="I1292" s="7657" t="s">
        <v>2534</v>
      </c>
      <c r="J1292" s="0" t="s">
        <v>17</v>
      </c>
      <c r="K1292" s="0" t="s">
        <v>4445</v>
      </c>
      <c r="L1292" s="0" t="s">
        <v>4446</v>
      </c>
      <c r="M1292" s="0" t="s">
        <v>4447</v>
      </c>
      <c r="N1292" s="0" t="s">
        <v>402</v>
      </c>
    </row>
    <row customHeight="1" ht="11.25">
      <c r="A1293" s="7657" t="s">
        <v>2195</v>
      </c>
      <c r="B1293" s="7657" t="s">
        <v>14</v>
      </c>
      <c r="C1293" s="7657" t="s">
        <v>2716</v>
      </c>
      <c r="D1293" s="7657" t="s">
        <v>2717</v>
      </c>
      <c r="E1293" s="7657" t="s">
        <v>2718</v>
      </c>
      <c r="F1293" s="7657" t="s">
        <v>2719</v>
      </c>
      <c r="G1293" s="7657" t="s">
        <v>2720</v>
      </c>
      <c r="H1293" s="7657" t="s">
        <v>17</v>
      </c>
      <c r="I1293" s="7657" t="s">
        <v>2228</v>
      </c>
      <c r="J1293" s="0" t="s">
        <v>17</v>
      </c>
      <c r="K1293" s="0" t="s">
        <v>4445</v>
      </c>
      <c r="L1293" s="0" t="s">
        <v>4446</v>
      </c>
      <c r="M1293" s="0" t="s">
        <v>4447</v>
      </c>
      <c r="N1293" s="0" t="s">
        <v>402</v>
      </c>
    </row>
    <row customHeight="1" ht="11.25">
      <c r="A1294" s="7657" t="s">
        <v>2195</v>
      </c>
      <c r="B1294" s="7657" t="s">
        <v>14</v>
      </c>
      <c r="C1294" s="7657" t="s">
        <v>2726</v>
      </c>
      <c r="D1294" s="7657" t="s">
        <v>2727</v>
      </c>
      <c r="E1294" s="7657" t="s">
        <v>2728</v>
      </c>
      <c r="F1294" s="7657" t="s">
        <v>2222</v>
      </c>
      <c r="G1294" s="7657" t="s">
        <v>17</v>
      </c>
      <c r="H1294" s="7657" t="s">
        <v>17</v>
      </c>
      <c r="I1294" s="7657" t="s">
        <v>2534</v>
      </c>
      <c r="J1294" s="0" t="s">
        <v>17</v>
      </c>
      <c r="K1294" s="0" t="s">
        <v>4445</v>
      </c>
      <c r="L1294" s="0" t="s">
        <v>4446</v>
      </c>
      <c r="M1294" s="0" t="s">
        <v>4447</v>
      </c>
      <c r="N1294" s="0" t="s">
        <v>402</v>
      </c>
    </row>
    <row customHeight="1" ht="11.25">
      <c r="A1295" s="7657" t="s">
        <v>2195</v>
      </c>
      <c r="B1295" s="7657" t="s">
        <v>14</v>
      </c>
      <c r="C1295" s="7657" t="s">
        <v>4521</v>
      </c>
      <c r="D1295" s="7657" t="s">
        <v>4522</v>
      </c>
      <c r="E1295" s="7657" t="s">
        <v>4523</v>
      </c>
      <c r="F1295" s="7657" t="s">
        <v>2254</v>
      </c>
      <c r="G1295" s="7657" t="s">
        <v>17</v>
      </c>
      <c r="H1295" s="7657" t="s">
        <v>17</v>
      </c>
      <c r="I1295" s="7657" t="s">
        <v>2534</v>
      </c>
      <c r="J1295" s="0" t="s">
        <v>17</v>
      </c>
      <c r="K1295" s="0" t="s">
        <v>4448</v>
      </c>
      <c r="L1295" s="0" t="s">
        <v>4464</v>
      </c>
      <c r="M1295" s="0" t="s">
        <v>4465</v>
      </c>
      <c r="N1295" s="0" t="s">
        <v>402</v>
      </c>
    </row>
    <row customHeight="1" ht="11.25">
      <c r="A1296" s="7657" t="s">
        <v>2195</v>
      </c>
      <c r="B1296" s="7657" t="s">
        <v>14</v>
      </c>
      <c r="C1296" s="7657" t="s">
        <v>4133</v>
      </c>
      <c r="D1296" s="7657" t="s">
        <v>4134</v>
      </c>
      <c r="E1296" s="7657" t="s">
        <v>4135</v>
      </c>
      <c r="F1296" s="7657" t="s">
        <v>2556</v>
      </c>
      <c r="G1296" s="7657" t="s">
        <v>4136</v>
      </c>
      <c r="H1296" s="7657" t="s">
        <v>17</v>
      </c>
      <c r="I1296" s="7657" t="s">
        <v>3351</v>
      </c>
      <c r="J1296" s="0" t="s">
        <v>17</v>
      </c>
      <c r="K1296" s="0" t="s">
        <v>4445</v>
      </c>
      <c r="L1296" s="0" t="s">
        <v>4446</v>
      </c>
      <c r="M1296" s="0" t="s">
        <v>4447</v>
      </c>
      <c r="N1296" s="0" t="s">
        <v>402</v>
      </c>
    </row>
    <row customHeight="1" ht="11.25">
      <c r="A1297" s="7657" t="s">
        <v>2195</v>
      </c>
      <c r="B1297" s="7657" t="s">
        <v>14</v>
      </c>
      <c r="C1297" s="7657" t="s">
        <v>4524</v>
      </c>
      <c r="D1297" s="7657" t="s">
        <v>4525</v>
      </c>
      <c r="E1297" s="7657" t="s">
        <v>4526</v>
      </c>
      <c r="F1297" s="7657" t="s">
        <v>2317</v>
      </c>
      <c r="G1297" s="7657" t="s">
        <v>4527</v>
      </c>
      <c r="H1297" s="7657" t="s">
        <v>17</v>
      </c>
      <c r="I1297" s="7657" t="s">
        <v>2552</v>
      </c>
      <c r="J1297" s="0" t="s">
        <v>17</v>
      </c>
      <c r="K1297" s="0" t="s">
        <v>4448</v>
      </c>
      <c r="L1297" s="0" t="s">
        <v>4528</v>
      </c>
      <c r="M1297" s="0" t="s">
        <v>4529</v>
      </c>
      <c r="N1297" s="0" t="s">
        <v>402</v>
      </c>
    </row>
    <row customHeight="1" ht="11.25">
      <c r="A1298" s="7657" t="s">
        <v>2195</v>
      </c>
      <c r="B1298" s="7657" t="s">
        <v>14</v>
      </c>
      <c r="C1298" s="7657" t="s">
        <v>4524</v>
      </c>
      <c r="D1298" s="7657" t="s">
        <v>4525</v>
      </c>
      <c r="E1298" s="7657" t="s">
        <v>4526</v>
      </c>
      <c r="F1298" s="7657" t="s">
        <v>2317</v>
      </c>
      <c r="G1298" s="7657" t="s">
        <v>4527</v>
      </c>
      <c r="H1298" s="7657" t="s">
        <v>17</v>
      </c>
      <c r="I1298" s="7657" t="s">
        <v>3674</v>
      </c>
      <c r="J1298" s="0" t="s">
        <v>17</v>
      </c>
      <c r="K1298" s="0" t="s">
        <v>4448</v>
      </c>
      <c r="L1298" s="0" t="s">
        <v>4449</v>
      </c>
      <c r="M1298" s="0" t="s">
        <v>4450</v>
      </c>
      <c r="N1298" s="0" t="s">
        <v>402</v>
      </c>
    </row>
    <row customHeight="1" ht="11.25">
      <c r="A1299" s="7657" t="s">
        <v>2195</v>
      </c>
      <c r="B1299" s="7657" t="s">
        <v>14</v>
      </c>
      <c r="C1299" s="7657" t="s">
        <v>4530</v>
      </c>
      <c r="D1299" s="7657" t="s">
        <v>4531</v>
      </c>
      <c r="E1299" s="7657" t="s">
        <v>4532</v>
      </c>
      <c r="F1299" s="7657" t="s">
        <v>2856</v>
      </c>
      <c r="G1299" s="7657" t="s">
        <v>3107</v>
      </c>
      <c r="H1299" s="7657" t="s">
        <v>17</v>
      </c>
      <c r="I1299" s="7657" t="s">
        <v>4533</v>
      </c>
      <c r="J1299" s="0" t="s">
        <v>17</v>
      </c>
      <c r="K1299" s="0" t="s">
        <v>4488</v>
      </c>
      <c r="L1299" s="0" t="s">
        <v>4489</v>
      </c>
      <c r="M1299" s="0" t="s">
        <v>4490</v>
      </c>
      <c r="N1299" s="0" t="s">
        <v>402</v>
      </c>
    </row>
    <row customHeight="1" ht="11.25">
      <c r="A1300" s="7657" t="s">
        <v>2195</v>
      </c>
      <c r="B1300" s="7657" t="s">
        <v>14</v>
      </c>
      <c r="C1300" s="7657" t="s">
        <v>2742</v>
      </c>
      <c r="D1300" s="7657" t="s">
        <v>2743</v>
      </c>
      <c r="E1300" s="7657" t="s">
        <v>2744</v>
      </c>
      <c r="F1300" s="7657" t="s">
        <v>2556</v>
      </c>
      <c r="G1300" s="7657" t="s">
        <v>2745</v>
      </c>
      <c r="H1300" s="7657" t="s">
        <v>17</v>
      </c>
      <c r="I1300" s="7657" t="s">
        <v>2746</v>
      </c>
      <c r="J1300" s="0" t="s">
        <v>17</v>
      </c>
      <c r="K1300" s="0" t="s">
        <v>4445</v>
      </c>
      <c r="L1300" s="0" t="s">
        <v>4446</v>
      </c>
      <c r="M1300" s="0" t="s">
        <v>4447</v>
      </c>
      <c r="N1300" s="0" t="s">
        <v>402</v>
      </c>
    </row>
    <row customHeight="1" ht="11.25">
      <c r="A1301" s="7657" t="s">
        <v>2195</v>
      </c>
      <c r="B1301" s="7657" t="s">
        <v>14</v>
      </c>
      <c r="C1301" s="7657" t="s">
        <v>4534</v>
      </c>
      <c r="D1301" s="7657" t="s">
        <v>4535</v>
      </c>
      <c r="E1301" s="7657" t="s">
        <v>4536</v>
      </c>
      <c r="F1301" s="7657" t="s">
        <v>2199</v>
      </c>
      <c r="G1301" s="7657" t="s">
        <v>4537</v>
      </c>
      <c r="H1301" s="7657" t="s">
        <v>17</v>
      </c>
      <c r="I1301" s="7657" t="s">
        <v>4537</v>
      </c>
      <c r="J1301" s="0" t="s">
        <v>17</v>
      </c>
      <c r="K1301" s="0" t="s">
        <v>4445</v>
      </c>
      <c r="L1301" s="0" t="s">
        <v>4446</v>
      </c>
      <c r="M1301" s="0" t="s">
        <v>4447</v>
      </c>
      <c r="N1301" s="0" t="s">
        <v>402</v>
      </c>
    </row>
    <row customHeight="1" ht="11.25">
      <c r="A1302" s="7657" t="s">
        <v>2195</v>
      </c>
      <c r="B1302" s="7657" t="s">
        <v>14</v>
      </c>
      <c r="C1302" s="7657" t="s">
        <v>4538</v>
      </c>
      <c r="D1302" s="7657" t="s">
        <v>4539</v>
      </c>
      <c r="E1302" s="7657" t="s">
        <v>4540</v>
      </c>
      <c r="F1302" s="7657" t="s">
        <v>2378</v>
      </c>
      <c r="G1302" s="7657" t="s">
        <v>17</v>
      </c>
      <c r="H1302" s="7657" t="s">
        <v>17</v>
      </c>
      <c r="I1302" s="7657" t="s">
        <v>2534</v>
      </c>
      <c r="J1302" s="0" t="s">
        <v>17</v>
      </c>
      <c r="K1302" s="0" t="s">
        <v>4445</v>
      </c>
      <c r="L1302" s="0" t="s">
        <v>4446</v>
      </c>
      <c r="M1302" s="0" t="s">
        <v>4447</v>
      </c>
      <c r="N1302" s="0" t="s">
        <v>402</v>
      </c>
    </row>
    <row customHeight="1" ht="11.25">
      <c r="A1303" s="7657" t="s">
        <v>2195</v>
      </c>
      <c r="B1303" s="7657" t="s">
        <v>14</v>
      </c>
      <c r="C1303" s="7657" t="s">
        <v>4541</v>
      </c>
      <c r="D1303" s="7657" t="s">
        <v>4542</v>
      </c>
      <c r="E1303" s="7657" t="s">
        <v>4543</v>
      </c>
      <c r="F1303" s="7657" t="s">
        <v>2199</v>
      </c>
      <c r="G1303" s="7657" t="s">
        <v>4544</v>
      </c>
      <c r="H1303" s="7657" t="s">
        <v>17</v>
      </c>
      <c r="I1303" s="7657" t="s">
        <v>4545</v>
      </c>
      <c r="J1303" s="0" t="s">
        <v>17</v>
      </c>
      <c r="K1303" s="0" t="s">
        <v>4488</v>
      </c>
      <c r="L1303" s="0" t="s">
        <v>4489</v>
      </c>
      <c r="M1303" s="0" t="s">
        <v>4490</v>
      </c>
      <c r="N1303" s="0" t="s">
        <v>402</v>
      </c>
    </row>
    <row customHeight="1" ht="11.25">
      <c r="A1304" s="7657" t="s">
        <v>2195</v>
      </c>
      <c r="B1304" s="7657" t="s">
        <v>14</v>
      </c>
      <c r="C1304" s="7657" t="s">
        <v>4169</v>
      </c>
      <c r="D1304" s="7657" t="s">
        <v>4170</v>
      </c>
      <c r="E1304" s="7657" t="s">
        <v>4171</v>
      </c>
      <c r="F1304" s="7657" t="s">
        <v>4172</v>
      </c>
      <c r="G1304" s="7657" t="s">
        <v>17</v>
      </c>
      <c r="H1304" s="7657" t="s">
        <v>17</v>
      </c>
      <c r="I1304" s="7657" t="s">
        <v>3312</v>
      </c>
      <c r="J1304" s="0" t="s">
        <v>17</v>
      </c>
      <c r="K1304" s="0" t="s">
        <v>4445</v>
      </c>
      <c r="L1304" s="0" t="s">
        <v>4446</v>
      </c>
      <c r="M1304" s="0" t="s">
        <v>4447</v>
      </c>
      <c r="N1304" s="0" t="s">
        <v>402</v>
      </c>
    </row>
    <row customHeight="1" ht="11.25">
      <c r="A1305" s="7657" t="s">
        <v>2195</v>
      </c>
      <c r="B1305" s="7657" t="s">
        <v>14</v>
      </c>
      <c r="C1305" s="7657" t="s">
        <v>4173</v>
      </c>
      <c r="D1305" s="7657" t="s">
        <v>4174</v>
      </c>
      <c r="E1305" s="7657" t="s">
        <v>4175</v>
      </c>
      <c r="F1305" s="7657" t="s">
        <v>3704</v>
      </c>
      <c r="G1305" s="7657" t="s">
        <v>4176</v>
      </c>
      <c r="H1305" s="7657" t="s">
        <v>17</v>
      </c>
      <c r="I1305" s="7657" t="s">
        <v>4177</v>
      </c>
      <c r="J1305" s="0" t="s">
        <v>17</v>
      </c>
      <c r="K1305" s="0" t="s">
        <v>4445</v>
      </c>
      <c r="L1305" s="0" t="s">
        <v>4446</v>
      </c>
      <c r="M1305" s="0" t="s">
        <v>4447</v>
      </c>
      <c r="N1305" s="0" t="s">
        <v>402</v>
      </c>
    </row>
    <row customHeight="1" ht="11.25">
      <c r="A1306" s="7657" t="s">
        <v>2195</v>
      </c>
      <c r="B1306" s="7657" t="s">
        <v>14</v>
      </c>
      <c r="C1306" s="7657" t="s">
        <v>4178</v>
      </c>
      <c r="D1306" s="7657" t="s">
        <v>4179</v>
      </c>
      <c r="E1306" s="7657" t="s">
        <v>4180</v>
      </c>
      <c r="F1306" s="7657" t="s">
        <v>3016</v>
      </c>
      <c r="G1306" s="7657" t="s">
        <v>17</v>
      </c>
      <c r="H1306" s="7657" t="s">
        <v>17</v>
      </c>
      <c r="I1306" s="7657" t="s">
        <v>2426</v>
      </c>
      <c r="J1306" s="0" t="s">
        <v>17</v>
      </c>
      <c r="K1306" s="0" t="s">
        <v>4445</v>
      </c>
      <c r="L1306" s="0" t="s">
        <v>4446</v>
      </c>
      <c r="M1306" s="0" t="s">
        <v>4447</v>
      </c>
      <c r="N1306" s="0" t="s">
        <v>402</v>
      </c>
    </row>
    <row customHeight="1" ht="11.25">
      <c r="A1307" s="7657" t="s">
        <v>2195</v>
      </c>
      <c r="B1307" s="7657" t="s">
        <v>14</v>
      </c>
      <c r="C1307" s="7657" t="s">
        <v>4546</v>
      </c>
      <c r="D1307" s="7657" t="s">
        <v>4547</v>
      </c>
      <c r="E1307" s="7657" t="s">
        <v>4548</v>
      </c>
      <c r="F1307" s="7657" t="s">
        <v>4131</v>
      </c>
      <c r="G1307" s="7657" t="s">
        <v>4184</v>
      </c>
      <c r="H1307" s="7657" t="s">
        <v>17</v>
      </c>
      <c r="I1307" s="7657" t="s">
        <v>4184</v>
      </c>
      <c r="J1307" s="0" t="s">
        <v>17</v>
      </c>
      <c r="K1307" s="0" t="s">
        <v>4506</v>
      </c>
      <c r="L1307" s="0" t="s">
        <v>4507</v>
      </c>
      <c r="M1307" s="0" t="s">
        <v>4508</v>
      </c>
      <c r="N1307" s="0" t="s">
        <v>402</v>
      </c>
    </row>
    <row customHeight="1" ht="11.25">
      <c r="A1308" s="7657" t="s">
        <v>2195</v>
      </c>
      <c r="B1308" s="7657" t="s">
        <v>14</v>
      </c>
      <c r="C1308" s="7657" t="s">
        <v>4546</v>
      </c>
      <c r="D1308" s="7657" t="s">
        <v>4547</v>
      </c>
      <c r="E1308" s="7657" t="s">
        <v>4548</v>
      </c>
      <c r="F1308" s="7657" t="s">
        <v>4131</v>
      </c>
      <c r="G1308" s="7657" t="s">
        <v>4184</v>
      </c>
      <c r="H1308" s="7657" t="s">
        <v>17</v>
      </c>
      <c r="I1308" s="7657" t="s">
        <v>4549</v>
      </c>
      <c r="J1308" s="0" t="s">
        <v>17</v>
      </c>
      <c r="K1308" s="0" t="s">
        <v>4448</v>
      </c>
      <c r="L1308" s="0" t="s">
        <v>4449</v>
      </c>
      <c r="M1308" s="0" t="s">
        <v>4450</v>
      </c>
      <c r="N1308" s="0" t="s">
        <v>402</v>
      </c>
    </row>
    <row customHeight="1" ht="11.25">
      <c r="A1309" s="7657" t="s">
        <v>2195</v>
      </c>
      <c r="B1309" s="7657" t="s">
        <v>14</v>
      </c>
      <c r="C1309" s="7657" t="s">
        <v>4185</v>
      </c>
      <c r="D1309" s="7657" t="s">
        <v>4186</v>
      </c>
      <c r="E1309" s="7657" t="s">
        <v>4187</v>
      </c>
      <c r="F1309" s="7657" t="s">
        <v>4131</v>
      </c>
      <c r="G1309" s="7657" t="s">
        <v>17</v>
      </c>
      <c r="H1309" s="7657" t="s">
        <v>17</v>
      </c>
      <c r="I1309" s="7657" t="s">
        <v>2208</v>
      </c>
      <c r="J1309" s="0" t="s">
        <v>17</v>
      </c>
      <c r="K1309" s="0" t="s">
        <v>4445</v>
      </c>
      <c r="L1309" s="0" t="s">
        <v>4446</v>
      </c>
      <c r="M1309" s="0" t="s">
        <v>4447</v>
      </c>
      <c r="N1309" s="0" t="s">
        <v>402</v>
      </c>
    </row>
    <row customHeight="1" ht="11.25">
      <c r="A1310" s="7657" t="s">
        <v>2195</v>
      </c>
      <c r="B1310" s="7657" t="s">
        <v>14</v>
      </c>
      <c r="C1310" s="7657" t="s">
        <v>4196</v>
      </c>
      <c r="D1310" s="7657" t="s">
        <v>4197</v>
      </c>
      <c r="E1310" s="7657" t="s">
        <v>4198</v>
      </c>
      <c r="F1310" s="7657" t="s">
        <v>3166</v>
      </c>
      <c r="G1310" s="7657" t="s">
        <v>17</v>
      </c>
      <c r="H1310" s="7657" t="s">
        <v>17</v>
      </c>
      <c r="I1310" s="7657" t="s">
        <v>4342</v>
      </c>
      <c r="J1310" s="0" t="s">
        <v>17</v>
      </c>
      <c r="K1310" s="0" t="s">
        <v>4445</v>
      </c>
      <c r="L1310" s="0" t="s">
        <v>4446</v>
      </c>
      <c r="M1310" s="0" t="s">
        <v>4447</v>
      </c>
      <c r="N1310" s="0" t="s">
        <v>402</v>
      </c>
    </row>
    <row customHeight="1" ht="11.25">
      <c r="A1311" s="7657" t="s">
        <v>2195</v>
      </c>
      <c r="B1311" s="7657" t="s">
        <v>14</v>
      </c>
      <c r="C1311" s="7657" t="s">
        <v>4209</v>
      </c>
      <c r="D1311" s="7657" t="s">
        <v>4210</v>
      </c>
      <c r="E1311" s="7657" t="s">
        <v>4211</v>
      </c>
      <c r="F1311" s="7657" t="s">
        <v>2244</v>
      </c>
      <c r="G1311" s="7657" t="s">
        <v>4212</v>
      </c>
      <c r="H1311" s="7657" t="s">
        <v>17</v>
      </c>
      <c r="I1311" s="7657" t="s">
        <v>2581</v>
      </c>
      <c r="J1311" s="0" t="s">
        <v>4213</v>
      </c>
      <c r="K1311" s="0" t="s">
        <v>4488</v>
      </c>
      <c r="L1311" s="0" t="s">
        <v>4489</v>
      </c>
      <c r="M1311" s="0" t="s">
        <v>4490</v>
      </c>
      <c r="N1311" s="0" t="s">
        <v>402</v>
      </c>
    </row>
    <row customHeight="1" ht="11.25">
      <c r="A1312" s="7657" t="s">
        <v>2195</v>
      </c>
      <c r="B1312" s="7657" t="s">
        <v>14</v>
      </c>
      <c r="C1312" s="7657" t="s">
        <v>4209</v>
      </c>
      <c r="D1312" s="7657" t="s">
        <v>4210</v>
      </c>
      <c r="E1312" s="7657" t="s">
        <v>4211</v>
      </c>
      <c r="F1312" s="7657" t="s">
        <v>2244</v>
      </c>
      <c r="G1312" s="7657" t="s">
        <v>4212</v>
      </c>
      <c r="H1312" s="7657" t="s">
        <v>17</v>
      </c>
      <c r="I1312" s="7657" t="s">
        <v>4550</v>
      </c>
      <c r="J1312" s="0" t="s">
        <v>4550</v>
      </c>
      <c r="K1312" s="0" t="s">
        <v>4488</v>
      </c>
      <c r="L1312" s="0" t="s">
        <v>4489</v>
      </c>
      <c r="M1312" s="0" t="s">
        <v>4490</v>
      </c>
      <c r="N1312" s="0" t="s">
        <v>402</v>
      </c>
    </row>
    <row customHeight="1" ht="11.25">
      <c r="A1313" s="7657" t="s">
        <v>2195</v>
      </c>
      <c r="B1313" s="7657" t="s">
        <v>14</v>
      </c>
      <c r="C1313" s="7657" t="s">
        <v>4551</v>
      </c>
      <c r="D1313" s="7657" t="s">
        <v>4552</v>
      </c>
      <c r="E1313" s="7657" t="s">
        <v>4553</v>
      </c>
      <c r="F1313" s="7657" t="s">
        <v>2719</v>
      </c>
      <c r="G1313" s="7657" t="s">
        <v>4554</v>
      </c>
      <c r="H1313" s="7657" t="s">
        <v>17</v>
      </c>
      <c r="I1313" s="7657" t="s">
        <v>4555</v>
      </c>
      <c r="J1313" s="0" t="s">
        <v>17</v>
      </c>
      <c r="K1313" s="0" t="s">
        <v>4445</v>
      </c>
      <c r="L1313" s="0" t="s">
        <v>4446</v>
      </c>
      <c r="M1313" s="0" t="s">
        <v>4447</v>
      </c>
      <c r="N1313" s="0" t="s">
        <v>402</v>
      </c>
    </row>
    <row customHeight="1" ht="11.25">
      <c r="A1314" s="7657" t="s">
        <v>2195</v>
      </c>
      <c r="B1314" s="7657" t="s">
        <v>14</v>
      </c>
      <c r="C1314" s="7657" t="s">
        <v>4215</v>
      </c>
      <c r="D1314" s="7657" t="s">
        <v>4216</v>
      </c>
      <c r="E1314" s="7657" t="s">
        <v>4217</v>
      </c>
      <c r="F1314" s="7657" t="s">
        <v>2599</v>
      </c>
      <c r="G1314" s="7657" t="s">
        <v>4218</v>
      </c>
      <c r="H1314" s="7657" t="s">
        <v>17</v>
      </c>
      <c r="I1314" s="7657" t="s">
        <v>2208</v>
      </c>
      <c r="J1314" s="0" t="s">
        <v>17</v>
      </c>
      <c r="K1314" s="0" t="s">
        <v>4448</v>
      </c>
      <c r="L1314" s="0" t="s">
        <v>4449</v>
      </c>
      <c r="M1314" s="0" t="s">
        <v>4450</v>
      </c>
      <c r="N1314" s="0" t="s">
        <v>402</v>
      </c>
    </row>
    <row customHeight="1" ht="11.25">
      <c r="A1315" s="7657" t="s">
        <v>2195</v>
      </c>
      <c r="B1315" s="7657" t="s">
        <v>14</v>
      </c>
      <c r="C1315" s="7657" t="s">
        <v>4215</v>
      </c>
      <c r="D1315" s="7657" t="s">
        <v>4216</v>
      </c>
      <c r="E1315" s="7657" t="s">
        <v>4217</v>
      </c>
      <c r="F1315" s="7657" t="s">
        <v>2599</v>
      </c>
      <c r="G1315" s="7657" t="s">
        <v>4218</v>
      </c>
      <c r="H1315" s="7657" t="s">
        <v>17</v>
      </c>
      <c r="I1315" s="7657" t="s">
        <v>4218</v>
      </c>
      <c r="J1315" s="0" t="s">
        <v>17</v>
      </c>
      <c r="K1315" s="0" t="s">
        <v>4448</v>
      </c>
      <c r="L1315" s="0" t="s">
        <v>4528</v>
      </c>
      <c r="M1315" s="0" t="s">
        <v>4529</v>
      </c>
      <c r="N1315" s="0" t="s">
        <v>402</v>
      </c>
    </row>
    <row customHeight="1" ht="11.25">
      <c r="A1316" s="7657" t="s">
        <v>2195</v>
      </c>
      <c r="B1316" s="7657" t="s">
        <v>14</v>
      </c>
      <c r="C1316" s="7657" t="s">
        <v>4215</v>
      </c>
      <c r="D1316" s="7657" t="s">
        <v>4216</v>
      </c>
      <c r="E1316" s="7657" t="s">
        <v>4217</v>
      </c>
      <c r="F1316" s="7657" t="s">
        <v>2599</v>
      </c>
      <c r="G1316" s="7657" t="s">
        <v>4218</v>
      </c>
      <c r="H1316" s="7657" t="s">
        <v>17</v>
      </c>
      <c r="I1316" s="7657" t="s">
        <v>4218</v>
      </c>
      <c r="J1316" s="0" t="s">
        <v>17</v>
      </c>
      <c r="K1316" s="0" t="s">
        <v>4488</v>
      </c>
      <c r="L1316" s="0" t="s">
        <v>4489</v>
      </c>
      <c r="M1316" s="0" t="s">
        <v>4490</v>
      </c>
      <c r="N1316" s="0" t="s">
        <v>402</v>
      </c>
    </row>
    <row customHeight="1" ht="11.25">
      <c r="A1317" s="7657" t="s">
        <v>2195</v>
      </c>
      <c r="B1317" s="7657" t="s">
        <v>14</v>
      </c>
      <c r="C1317" s="7657" t="s">
        <v>4222</v>
      </c>
      <c r="D1317" s="7657" t="s">
        <v>4223</v>
      </c>
      <c r="E1317" s="7657" t="s">
        <v>4224</v>
      </c>
      <c r="F1317" s="7657" t="s">
        <v>3493</v>
      </c>
      <c r="G1317" s="7657" t="s">
        <v>4225</v>
      </c>
      <c r="H1317" s="7657" t="s">
        <v>17</v>
      </c>
      <c r="I1317" s="7657" t="s">
        <v>2208</v>
      </c>
      <c r="J1317" s="0" t="s">
        <v>17</v>
      </c>
      <c r="K1317" s="0" t="s">
        <v>4448</v>
      </c>
      <c r="L1317" s="0" t="s">
        <v>4449</v>
      </c>
      <c r="M1317" s="0" t="s">
        <v>4450</v>
      </c>
      <c r="N1317" s="0" t="s">
        <v>402</v>
      </c>
    </row>
    <row customHeight="1" ht="11.25">
      <c r="A1318" s="7657" t="s">
        <v>2195</v>
      </c>
      <c r="B1318" s="7657" t="s">
        <v>14</v>
      </c>
      <c r="C1318" s="7657" t="s">
        <v>4222</v>
      </c>
      <c r="D1318" s="7657" t="s">
        <v>4223</v>
      </c>
      <c r="E1318" s="7657" t="s">
        <v>4224</v>
      </c>
      <c r="F1318" s="7657" t="s">
        <v>3493</v>
      </c>
      <c r="G1318" s="7657" t="s">
        <v>4225</v>
      </c>
      <c r="H1318" s="7657" t="s">
        <v>17</v>
      </c>
      <c r="I1318" s="7657" t="s">
        <v>2534</v>
      </c>
      <c r="J1318" s="0" t="s">
        <v>17</v>
      </c>
      <c r="K1318" s="0" t="s">
        <v>4448</v>
      </c>
      <c r="L1318" s="0" t="s">
        <v>4528</v>
      </c>
      <c r="M1318" s="0" t="s">
        <v>4529</v>
      </c>
      <c r="N1318" s="0" t="s">
        <v>402</v>
      </c>
    </row>
    <row customHeight="1" ht="11.25">
      <c r="A1319" s="7657" t="s">
        <v>2195</v>
      </c>
      <c r="B1319" s="7657" t="s">
        <v>14</v>
      </c>
      <c r="C1319" s="7657" t="s">
        <v>4226</v>
      </c>
      <c r="D1319" s="7657" t="s">
        <v>4227</v>
      </c>
      <c r="E1319" s="7657" t="s">
        <v>4228</v>
      </c>
      <c r="F1319" s="7657" t="s">
        <v>2599</v>
      </c>
      <c r="G1319" s="7657" t="s">
        <v>4218</v>
      </c>
      <c r="H1319" s="7657" t="s">
        <v>17</v>
      </c>
      <c r="I1319" s="7657" t="s">
        <v>2208</v>
      </c>
      <c r="J1319" s="0" t="s">
        <v>17</v>
      </c>
      <c r="K1319" s="0" t="s">
        <v>4448</v>
      </c>
      <c r="L1319" s="0" t="s">
        <v>4449</v>
      </c>
      <c r="M1319" s="0" t="s">
        <v>4450</v>
      </c>
      <c r="N1319" s="0" t="s">
        <v>402</v>
      </c>
    </row>
    <row customHeight="1" ht="11.25">
      <c r="A1320" s="7657" t="s">
        <v>2195</v>
      </c>
      <c r="B1320" s="7657" t="s">
        <v>14</v>
      </c>
      <c r="C1320" s="7657" t="s">
        <v>4226</v>
      </c>
      <c r="D1320" s="7657" t="s">
        <v>4227</v>
      </c>
      <c r="E1320" s="7657" t="s">
        <v>4228</v>
      </c>
      <c r="F1320" s="7657" t="s">
        <v>2599</v>
      </c>
      <c r="G1320" s="7657" t="s">
        <v>4218</v>
      </c>
      <c r="H1320" s="7657" t="s">
        <v>17</v>
      </c>
      <c r="I1320" s="7657" t="s">
        <v>4218</v>
      </c>
      <c r="J1320" s="0" t="s">
        <v>17</v>
      </c>
      <c r="K1320" s="0" t="s">
        <v>4448</v>
      </c>
      <c r="L1320" s="0" t="s">
        <v>4528</v>
      </c>
      <c r="M1320" s="0" t="s">
        <v>4529</v>
      </c>
      <c r="N1320" s="0" t="s">
        <v>402</v>
      </c>
    </row>
    <row customHeight="1" ht="11.25">
      <c r="A1321" s="7657" t="s">
        <v>2195</v>
      </c>
      <c r="B1321" s="7657" t="s">
        <v>14</v>
      </c>
      <c r="C1321" s="7657" t="s">
        <v>4226</v>
      </c>
      <c r="D1321" s="7657" t="s">
        <v>4227</v>
      </c>
      <c r="E1321" s="7657" t="s">
        <v>4228</v>
      </c>
      <c r="F1321" s="7657" t="s">
        <v>2599</v>
      </c>
      <c r="G1321" s="7657" t="s">
        <v>4218</v>
      </c>
      <c r="H1321" s="7657" t="s">
        <v>17</v>
      </c>
      <c r="I1321" s="7657" t="s">
        <v>4218</v>
      </c>
      <c r="J1321" s="0" t="s">
        <v>17</v>
      </c>
      <c r="K1321" s="0" t="s">
        <v>4488</v>
      </c>
      <c r="L1321" s="0" t="s">
        <v>4489</v>
      </c>
      <c r="M1321" s="0" t="s">
        <v>4490</v>
      </c>
      <c r="N1321" s="0" t="s">
        <v>402</v>
      </c>
    </row>
    <row customHeight="1" ht="11.25">
      <c r="A1322" s="7657" t="s">
        <v>2195</v>
      </c>
      <c r="B1322" s="7657" t="s">
        <v>14</v>
      </c>
      <c r="C1322" s="7657" t="s">
        <v>4243</v>
      </c>
      <c r="D1322" s="7657" t="s">
        <v>4244</v>
      </c>
      <c r="E1322" s="7657" t="s">
        <v>4245</v>
      </c>
      <c r="F1322" s="7657" t="s">
        <v>2239</v>
      </c>
      <c r="G1322" s="7657" t="s">
        <v>17</v>
      </c>
      <c r="H1322" s="7657" t="s">
        <v>17</v>
      </c>
      <c r="I1322" s="7657" t="s">
        <v>2654</v>
      </c>
      <c r="J1322" s="0" t="s">
        <v>17</v>
      </c>
      <c r="K1322" s="0" t="s">
        <v>4445</v>
      </c>
      <c r="L1322" s="0" t="s">
        <v>4446</v>
      </c>
      <c r="M1322" s="0" t="s">
        <v>4447</v>
      </c>
      <c r="N1322" s="0" t="s">
        <v>402</v>
      </c>
    </row>
    <row customHeight="1" ht="11.25">
      <c r="A1323" s="7657" t="s">
        <v>2195</v>
      </c>
      <c r="B1323" s="7657" t="s">
        <v>14</v>
      </c>
      <c r="C1323" s="7657" t="s">
        <v>4556</v>
      </c>
      <c r="D1323" s="7657" t="s">
        <v>4557</v>
      </c>
      <c r="E1323" s="7657" t="s">
        <v>4558</v>
      </c>
      <c r="F1323" s="7657" t="s">
        <v>2527</v>
      </c>
      <c r="G1323" s="7657" t="s">
        <v>4559</v>
      </c>
      <c r="H1323" s="7657" t="s">
        <v>17</v>
      </c>
      <c r="I1323" s="7657" t="s">
        <v>4560</v>
      </c>
      <c r="J1323" s="0" t="s">
        <v>17</v>
      </c>
      <c r="K1323" s="0" t="s">
        <v>4445</v>
      </c>
      <c r="L1323" s="0" t="s">
        <v>4446</v>
      </c>
      <c r="M1323" s="0" t="s">
        <v>4447</v>
      </c>
      <c r="N1323" s="0" t="s">
        <v>402</v>
      </c>
    </row>
    <row customHeight="1" ht="11.25">
      <c r="A1324" s="7657" t="s">
        <v>2195</v>
      </c>
      <c r="B1324" s="7657" t="s">
        <v>14</v>
      </c>
      <c r="C1324" s="7657" t="s">
        <v>4250</v>
      </c>
      <c r="D1324" s="7657" t="s">
        <v>4251</v>
      </c>
      <c r="E1324" s="7657" t="s">
        <v>4252</v>
      </c>
      <c r="F1324" s="7657" t="s">
        <v>4126</v>
      </c>
      <c r="G1324" s="7657" t="s">
        <v>4253</v>
      </c>
      <c r="H1324" s="7657" t="s">
        <v>17</v>
      </c>
      <c r="I1324" s="7657" t="s">
        <v>3841</v>
      </c>
      <c r="J1324" s="0" t="s">
        <v>17</v>
      </c>
      <c r="K1324" s="0" t="s">
        <v>4445</v>
      </c>
      <c r="L1324" s="0" t="s">
        <v>4446</v>
      </c>
      <c r="M1324" s="0" t="s">
        <v>4447</v>
      </c>
      <c r="N1324" s="0" t="s">
        <v>402</v>
      </c>
    </row>
    <row customHeight="1" ht="11.25">
      <c r="A1325" s="7657" t="s">
        <v>2195</v>
      </c>
      <c r="B1325" s="7657" t="s">
        <v>14</v>
      </c>
      <c r="C1325" s="7657" t="s">
        <v>4561</v>
      </c>
      <c r="D1325" s="7657" t="s">
        <v>4562</v>
      </c>
      <c r="E1325" s="7657" t="s">
        <v>4563</v>
      </c>
      <c r="F1325" s="7657" t="s">
        <v>2658</v>
      </c>
      <c r="G1325" s="7657" t="s">
        <v>4564</v>
      </c>
      <c r="H1325" s="7657" t="s">
        <v>17</v>
      </c>
      <c r="I1325" s="7657" t="s">
        <v>4565</v>
      </c>
      <c r="J1325" s="0" t="s">
        <v>17</v>
      </c>
      <c r="K1325" s="0" t="s">
        <v>4445</v>
      </c>
      <c r="L1325" s="0" t="s">
        <v>4466</v>
      </c>
      <c r="M1325" s="0" t="s">
        <v>4467</v>
      </c>
      <c r="N1325" s="0" t="s">
        <v>402</v>
      </c>
    </row>
    <row customHeight="1" ht="11.25">
      <c r="A1326" s="7657" t="s">
        <v>2195</v>
      </c>
      <c r="B1326" s="7657" t="s">
        <v>14</v>
      </c>
      <c r="C1326" s="7657" t="s">
        <v>4257</v>
      </c>
      <c r="D1326" s="7657" t="s">
        <v>4258</v>
      </c>
      <c r="E1326" s="7657" t="s">
        <v>4259</v>
      </c>
      <c r="F1326" s="7657" t="s">
        <v>2212</v>
      </c>
      <c r="G1326" s="7657" t="s">
        <v>17</v>
      </c>
      <c r="H1326" s="7657" t="s">
        <v>17</v>
      </c>
      <c r="I1326" s="7657" t="s">
        <v>2426</v>
      </c>
      <c r="J1326" s="0" t="s">
        <v>17</v>
      </c>
      <c r="K1326" s="0" t="s">
        <v>4445</v>
      </c>
      <c r="L1326" s="0" t="s">
        <v>4446</v>
      </c>
      <c r="M1326" s="0" t="s">
        <v>4447</v>
      </c>
      <c r="N1326" s="0" t="s">
        <v>402</v>
      </c>
    </row>
    <row customHeight="1" ht="11.25">
      <c r="A1327" s="7657" t="s">
        <v>2195</v>
      </c>
      <c r="B1327" s="7657" t="s">
        <v>14</v>
      </c>
      <c r="C1327" s="7657" t="s">
        <v>4260</v>
      </c>
      <c r="D1327" s="7657" t="s">
        <v>4261</v>
      </c>
      <c r="E1327" s="7657" t="s">
        <v>4262</v>
      </c>
      <c r="F1327" s="7657" t="s">
        <v>2595</v>
      </c>
      <c r="G1327" s="7657" t="s">
        <v>4263</v>
      </c>
      <c r="H1327" s="7657" t="s">
        <v>17</v>
      </c>
      <c r="I1327" s="7657" t="s">
        <v>3065</v>
      </c>
      <c r="J1327" s="0" t="s">
        <v>17</v>
      </c>
      <c r="K1327" s="0" t="s">
        <v>4445</v>
      </c>
      <c r="L1327" s="0" t="s">
        <v>4466</v>
      </c>
      <c r="M1327" s="0" t="s">
        <v>4467</v>
      </c>
      <c r="N1327" s="0" t="s">
        <v>402</v>
      </c>
    </row>
    <row customHeight="1" ht="11.25">
      <c r="A1328" s="7657" t="s">
        <v>2195</v>
      </c>
      <c r="B1328" s="7657" t="s">
        <v>14</v>
      </c>
      <c r="C1328" s="7657" t="s">
        <v>4260</v>
      </c>
      <c r="D1328" s="7657" t="s">
        <v>4261</v>
      </c>
      <c r="E1328" s="7657" t="s">
        <v>4262</v>
      </c>
      <c r="F1328" s="7657" t="s">
        <v>2595</v>
      </c>
      <c r="G1328" s="7657" t="s">
        <v>4263</v>
      </c>
      <c r="H1328" s="7657" t="s">
        <v>17</v>
      </c>
      <c r="I1328" s="7657" t="s">
        <v>2240</v>
      </c>
      <c r="J1328" s="0" t="s">
        <v>17</v>
      </c>
      <c r="K1328" s="0" t="s">
        <v>4488</v>
      </c>
      <c r="L1328" s="0" t="s">
        <v>4489</v>
      </c>
      <c r="M1328" s="0" t="s">
        <v>4490</v>
      </c>
      <c r="N1328" s="0" t="s">
        <v>402</v>
      </c>
    </row>
    <row customHeight="1" ht="11.25">
      <c r="A1329" s="7657" t="s">
        <v>2195</v>
      </c>
      <c r="B1329" s="7657" t="s">
        <v>14</v>
      </c>
      <c r="C1329" s="7657" t="s">
        <v>4264</v>
      </c>
      <c r="D1329" s="7657" t="s">
        <v>4265</v>
      </c>
      <c r="E1329" s="7657" t="s">
        <v>4266</v>
      </c>
      <c r="F1329" s="7657" t="s">
        <v>2239</v>
      </c>
      <c r="G1329" s="7657" t="s">
        <v>4267</v>
      </c>
      <c r="H1329" s="7657" t="s">
        <v>17</v>
      </c>
      <c r="I1329" s="7657" t="s">
        <v>2287</v>
      </c>
      <c r="J1329" s="0" t="s">
        <v>17</v>
      </c>
      <c r="K1329" s="0" t="s">
        <v>4445</v>
      </c>
      <c r="L1329" s="0" t="s">
        <v>4446</v>
      </c>
      <c r="M1329" s="0" t="s">
        <v>4447</v>
      </c>
      <c r="N1329" s="0" t="s">
        <v>402</v>
      </c>
    </row>
    <row customHeight="1" ht="11.25">
      <c r="A1330" s="7657" t="s">
        <v>2195</v>
      </c>
      <c r="B1330" s="7657" t="s">
        <v>14</v>
      </c>
      <c r="C1330" s="7657" t="s">
        <v>4268</v>
      </c>
      <c r="D1330" s="7657" t="s">
        <v>4269</v>
      </c>
      <c r="E1330" s="7657" t="s">
        <v>4270</v>
      </c>
      <c r="F1330" s="7657" t="s">
        <v>2599</v>
      </c>
      <c r="G1330" s="7657" t="s">
        <v>4271</v>
      </c>
      <c r="H1330" s="7657" t="s">
        <v>17</v>
      </c>
      <c r="I1330" s="7657" t="s">
        <v>3197</v>
      </c>
      <c r="J1330" s="0" t="s">
        <v>17</v>
      </c>
      <c r="K1330" s="0" t="s">
        <v>4445</v>
      </c>
      <c r="L1330" s="0" t="s">
        <v>4446</v>
      </c>
      <c r="M1330" s="0" t="s">
        <v>4447</v>
      </c>
      <c r="N1330" s="0" t="s">
        <v>402</v>
      </c>
    </row>
    <row customHeight="1" ht="11.25">
      <c r="A1331" s="7657" t="s">
        <v>2195</v>
      </c>
      <c r="B1331" s="7657" t="s">
        <v>14</v>
      </c>
      <c r="C1331" s="7657" t="s">
        <v>4268</v>
      </c>
      <c r="D1331" s="7657" t="s">
        <v>4269</v>
      </c>
      <c r="E1331" s="7657" t="s">
        <v>4270</v>
      </c>
      <c r="F1331" s="7657" t="s">
        <v>2599</v>
      </c>
      <c r="G1331" s="7657" t="s">
        <v>4271</v>
      </c>
      <c r="H1331" s="7657" t="s">
        <v>17</v>
      </c>
      <c r="I1331" s="7657" t="s">
        <v>3197</v>
      </c>
      <c r="J1331" s="0" t="s">
        <v>17</v>
      </c>
      <c r="K1331" s="0" t="s">
        <v>4448</v>
      </c>
      <c r="L1331" s="0" t="s">
        <v>4464</v>
      </c>
      <c r="M1331" s="0" t="s">
        <v>4465</v>
      </c>
      <c r="N1331" s="0" t="s">
        <v>402</v>
      </c>
    </row>
    <row customHeight="1" ht="11.25">
      <c r="A1332" s="7657" t="s">
        <v>2195</v>
      </c>
      <c r="B1332" s="7657" t="s">
        <v>14</v>
      </c>
      <c r="C1332" s="7657" t="s">
        <v>4294</v>
      </c>
      <c r="D1332" s="7657" t="s">
        <v>4295</v>
      </c>
      <c r="E1332" s="7657" t="s">
        <v>4296</v>
      </c>
      <c r="F1332" s="7657" t="s">
        <v>2267</v>
      </c>
      <c r="G1332" s="7657" t="s">
        <v>4297</v>
      </c>
      <c r="H1332" s="7657" t="s">
        <v>17</v>
      </c>
      <c r="I1332" s="7657" t="s">
        <v>4298</v>
      </c>
      <c r="J1332" s="0" t="s">
        <v>17</v>
      </c>
      <c r="K1332" s="0" t="s">
        <v>4488</v>
      </c>
      <c r="L1332" s="0" t="s">
        <v>4489</v>
      </c>
      <c r="M1332" s="0" t="s">
        <v>4490</v>
      </c>
      <c r="N1332" s="0" t="s">
        <v>402</v>
      </c>
    </row>
    <row customHeight="1" ht="11.25">
      <c r="A1333" s="7657" t="s">
        <v>2195</v>
      </c>
      <c r="B1333" s="7657" t="s">
        <v>14</v>
      </c>
      <c r="C1333" s="7657" t="s">
        <v>4566</v>
      </c>
      <c r="D1333" s="7657" t="s">
        <v>4567</v>
      </c>
      <c r="E1333" s="7657" t="s">
        <v>4568</v>
      </c>
      <c r="F1333" s="7657" t="s">
        <v>4569</v>
      </c>
      <c r="G1333" s="7657" t="s">
        <v>4570</v>
      </c>
      <c r="H1333" s="7657" t="s">
        <v>17</v>
      </c>
      <c r="I1333" s="7657" t="s">
        <v>4571</v>
      </c>
      <c r="J1333" s="0" t="s">
        <v>17</v>
      </c>
      <c r="K1333" s="0" t="s">
        <v>4445</v>
      </c>
      <c r="L1333" s="0" t="s">
        <v>4446</v>
      </c>
      <c r="M1333" s="0" t="s">
        <v>4447</v>
      </c>
      <c r="N1333" s="0" t="s">
        <v>402</v>
      </c>
    </row>
    <row customHeight="1" ht="11.25">
      <c r="A1334" s="7657" t="s">
        <v>2195</v>
      </c>
      <c r="B1334" s="7657" t="s">
        <v>14</v>
      </c>
      <c r="C1334" s="7657" t="s">
        <v>4304</v>
      </c>
      <c r="D1334" s="7657" t="s">
        <v>4305</v>
      </c>
      <c r="E1334" s="7657" t="s">
        <v>4306</v>
      </c>
      <c r="F1334" s="7657" t="s">
        <v>2239</v>
      </c>
      <c r="G1334" s="7657" t="s">
        <v>4307</v>
      </c>
      <c r="H1334" s="7657" t="s">
        <v>17</v>
      </c>
      <c r="I1334" s="7657" t="s">
        <v>4559</v>
      </c>
      <c r="J1334" s="0" t="s">
        <v>17</v>
      </c>
      <c r="K1334" s="0" t="s">
        <v>4488</v>
      </c>
      <c r="L1334" s="0" t="s">
        <v>4489</v>
      </c>
      <c r="M1334" s="0" t="s">
        <v>4490</v>
      </c>
      <c r="N1334" s="0" t="s">
        <v>402</v>
      </c>
    </row>
    <row customHeight="1" ht="11.25">
      <c r="A1335" s="7657" t="s">
        <v>2195</v>
      </c>
      <c r="B1335" s="7657" t="s">
        <v>14</v>
      </c>
      <c r="C1335" s="7657" t="s">
        <v>4308</v>
      </c>
      <c r="D1335" s="7657" t="s">
        <v>4309</v>
      </c>
      <c r="E1335" s="7657" t="s">
        <v>4310</v>
      </c>
      <c r="F1335" s="7657" t="s">
        <v>2711</v>
      </c>
      <c r="G1335" s="7657" t="s">
        <v>4311</v>
      </c>
      <c r="H1335" s="7657" t="s">
        <v>17</v>
      </c>
      <c r="I1335" s="7657" t="s">
        <v>4312</v>
      </c>
      <c r="J1335" s="0" t="s">
        <v>17</v>
      </c>
      <c r="K1335" s="0" t="s">
        <v>4445</v>
      </c>
      <c r="L1335" s="0" t="s">
        <v>4466</v>
      </c>
      <c r="M1335" s="0" t="s">
        <v>4467</v>
      </c>
      <c r="N1335" s="0" t="s">
        <v>402</v>
      </c>
    </row>
    <row customHeight="1" ht="11.25">
      <c r="A1336" s="7657" t="s">
        <v>2195</v>
      </c>
      <c r="B1336" s="7657" t="s">
        <v>14</v>
      </c>
      <c r="C1336" s="7657" t="s">
        <v>4325</v>
      </c>
      <c r="D1336" s="7657" t="s">
        <v>4326</v>
      </c>
      <c r="E1336" s="7657" t="s">
        <v>4327</v>
      </c>
      <c r="F1336" s="7657" t="s">
        <v>2254</v>
      </c>
      <c r="G1336" s="7657" t="s">
        <v>4328</v>
      </c>
      <c r="H1336" s="7657" t="s">
        <v>17</v>
      </c>
      <c r="I1336" s="7657" t="s">
        <v>3465</v>
      </c>
      <c r="J1336" s="0" t="s">
        <v>17</v>
      </c>
      <c r="K1336" s="0" t="s">
        <v>4488</v>
      </c>
      <c r="L1336" s="0" t="s">
        <v>4489</v>
      </c>
      <c r="M1336" s="0" t="s">
        <v>4490</v>
      </c>
      <c r="N1336" s="0" t="s">
        <v>402</v>
      </c>
    </row>
    <row customHeight="1" ht="11.25">
      <c r="A1337" s="7657" t="s">
        <v>2195</v>
      </c>
      <c r="B1337" s="7657" t="s">
        <v>14</v>
      </c>
      <c r="C1337" s="7657" t="s">
        <v>4333</v>
      </c>
      <c r="D1337" s="7657" t="s">
        <v>4334</v>
      </c>
      <c r="E1337" s="7657" t="s">
        <v>4335</v>
      </c>
      <c r="F1337" s="7657" t="s">
        <v>4336</v>
      </c>
      <c r="G1337" s="7657" t="s">
        <v>4337</v>
      </c>
      <c r="H1337" s="7657" t="s">
        <v>17</v>
      </c>
      <c r="I1337" s="7657" t="s">
        <v>2581</v>
      </c>
      <c r="J1337" s="0" t="s">
        <v>17</v>
      </c>
      <c r="K1337" s="0" t="s">
        <v>4445</v>
      </c>
      <c r="L1337" s="0" t="s">
        <v>4446</v>
      </c>
      <c r="M1337" s="0" t="s">
        <v>4447</v>
      </c>
      <c r="N1337" s="0" t="s">
        <v>402</v>
      </c>
    </row>
    <row customHeight="1" ht="11.25">
      <c r="A1338" s="7657" t="s">
        <v>2195</v>
      </c>
      <c r="B1338" s="7657" t="s">
        <v>14</v>
      </c>
      <c r="C1338" s="7657" t="s">
        <v>4343</v>
      </c>
      <c r="D1338" s="7657" t="s">
        <v>4344</v>
      </c>
      <c r="E1338" s="7657" t="s">
        <v>4345</v>
      </c>
      <c r="F1338" s="7657" t="s">
        <v>2556</v>
      </c>
      <c r="G1338" s="7657" t="s">
        <v>4346</v>
      </c>
      <c r="H1338" s="7657" t="s">
        <v>17</v>
      </c>
      <c r="I1338" s="7657" t="s">
        <v>4347</v>
      </c>
      <c r="J1338" s="0" t="s">
        <v>17</v>
      </c>
      <c r="K1338" s="0" t="s">
        <v>4445</v>
      </c>
      <c r="L1338" s="0" t="s">
        <v>4446</v>
      </c>
      <c r="M1338" s="0" t="s">
        <v>4447</v>
      </c>
      <c r="N1338" s="0" t="s">
        <v>402</v>
      </c>
    </row>
    <row customHeight="1" ht="11.25">
      <c r="A1339" s="7657" t="s">
        <v>2195</v>
      </c>
      <c r="B1339" s="7657" t="s">
        <v>14</v>
      </c>
      <c r="C1339" s="7657" t="s">
        <v>4572</v>
      </c>
      <c r="D1339" s="7657" t="s">
        <v>4573</v>
      </c>
      <c r="E1339" s="7657" t="s">
        <v>4574</v>
      </c>
      <c r="F1339" s="7657" t="s">
        <v>2556</v>
      </c>
      <c r="G1339" s="7657" t="s">
        <v>2307</v>
      </c>
      <c r="H1339" s="7657" t="s">
        <v>17</v>
      </c>
      <c r="I1339" s="7657" t="s">
        <v>4393</v>
      </c>
      <c r="J1339" s="0" t="s">
        <v>17</v>
      </c>
      <c r="K1339" s="0" t="s">
        <v>4445</v>
      </c>
      <c r="L1339" s="0" t="s">
        <v>4446</v>
      </c>
      <c r="M1339" s="0" t="s">
        <v>4447</v>
      </c>
      <c r="N1339" s="0" t="s">
        <v>402</v>
      </c>
    </row>
    <row customHeight="1" ht="11.25">
      <c r="A1340" s="7657" t="s">
        <v>2195</v>
      </c>
      <c r="B1340" s="7657" t="s">
        <v>14</v>
      </c>
      <c r="C1340" s="7657" t="s">
        <v>3057</v>
      </c>
      <c r="D1340" s="7657" t="s">
        <v>3058</v>
      </c>
      <c r="E1340" s="7657" t="s">
        <v>3059</v>
      </c>
      <c r="F1340" s="7657" t="s">
        <v>2239</v>
      </c>
      <c r="G1340" s="7657" t="s">
        <v>3060</v>
      </c>
      <c r="H1340" s="7657" t="s">
        <v>17</v>
      </c>
      <c r="I1340" s="7657" t="s">
        <v>3065</v>
      </c>
      <c r="J1340" s="0" t="s">
        <v>17</v>
      </c>
      <c r="K1340" s="0" t="s">
        <v>4445</v>
      </c>
      <c r="L1340" s="0" t="s">
        <v>4446</v>
      </c>
      <c r="M1340" s="0" t="s">
        <v>4447</v>
      </c>
      <c r="N1340" s="0" t="s">
        <v>402</v>
      </c>
    </row>
    <row customHeight="1" ht="11.25">
      <c r="A1341" s="7657" t="s">
        <v>2195</v>
      </c>
      <c r="B1341" s="7657" t="s">
        <v>14</v>
      </c>
      <c r="C1341" s="7657" t="s">
        <v>4356</v>
      </c>
      <c r="D1341" s="7657" t="s">
        <v>4357</v>
      </c>
      <c r="E1341" s="7657" t="s">
        <v>4358</v>
      </c>
      <c r="F1341" s="7657" t="s">
        <v>4359</v>
      </c>
      <c r="G1341" s="7657" t="s">
        <v>2949</v>
      </c>
      <c r="H1341" s="7657" t="s">
        <v>17</v>
      </c>
      <c r="I1341" s="7657" t="s">
        <v>4360</v>
      </c>
      <c r="J1341" s="0" t="s">
        <v>17</v>
      </c>
      <c r="K1341" s="0" t="s">
        <v>4445</v>
      </c>
      <c r="L1341" s="0" t="s">
        <v>4446</v>
      </c>
      <c r="M1341" s="0" t="s">
        <v>4447</v>
      </c>
      <c r="N1341" s="0" t="s">
        <v>402</v>
      </c>
    </row>
    <row customHeight="1" ht="11.25">
      <c r="A1342" s="7657" t="s">
        <v>2195</v>
      </c>
      <c r="B1342" s="7657" t="s">
        <v>14</v>
      </c>
      <c r="C1342" s="7657" t="s">
        <v>4575</v>
      </c>
      <c r="D1342" s="7657" t="s">
        <v>4576</v>
      </c>
      <c r="E1342" s="7657" t="s">
        <v>4577</v>
      </c>
      <c r="F1342" s="7657" t="s">
        <v>2556</v>
      </c>
      <c r="G1342" s="7657" t="s">
        <v>4578</v>
      </c>
      <c r="H1342" s="7657" t="s">
        <v>17</v>
      </c>
      <c r="I1342" s="7657" t="s">
        <v>4578</v>
      </c>
      <c r="J1342" s="0" t="s">
        <v>17</v>
      </c>
      <c r="K1342" s="0" t="s">
        <v>4445</v>
      </c>
      <c r="L1342" s="0" t="s">
        <v>4446</v>
      </c>
      <c r="M1342" s="0" t="s">
        <v>4447</v>
      </c>
      <c r="N1342" s="0" t="s">
        <v>402</v>
      </c>
    </row>
    <row customHeight="1" ht="11.25">
      <c r="A1343" s="7657" t="s">
        <v>2195</v>
      </c>
      <c r="B1343" s="7657" t="s">
        <v>14</v>
      </c>
      <c r="C1343" s="7657" t="s">
        <v>4579</v>
      </c>
      <c r="D1343" s="7657" t="s">
        <v>4580</v>
      </c>
      <c r="E1343" s="7657" t="s">
        <v>4581</v>
      </c>
      <c r="F1343" s="7657" t="s">
        <v>2929</v>
      </c>
      <c r="G1343" s="7657" t="s">
        <v>4582</v>
      </c>
      <c r="H1343" s="7657" t="s">
        <v>17</v>
      </c>
      <c r="I1343" s="7657" t="s">
        <v>4583</v>
      </c>
      <c r="J1343" s="0" t="s">
        <v>17</v>
      </c>
      <c r="K1343" s="0" t="s">
        <v>4445</v>
      </c>
      <c r="L1343" s="0" t="s">
        <v>4446</v>
      </c>
      <c r="M1343" s="0" t="s">
        <v>4447</v>
      </c>
      <c r="N1343" s="0" t="s">
        <v>402</v>
      </c>
    </row>
    <row customHeight="1" ht="11.25">
      <c r="A1344" s="7657" t="s">
        <v>2195</v>
      </c>
      <c r="B1344" s="7657" t="s">
        <v>14</v>
      </c>
      <c r="C1344" s="7657" t="s">
        <v>4365</v>
      </c>
      <c r="D1344" s="7657" t="s">
        <v>4366</v>
      </c>
      <c r="E1344" s="7657" t="s">
        <v>4367</v>
      </c>
      <c r="F1344" s="7657" t="s">
        <v>2624</v>
      </c>
      <c r="G1344" s="7657" t="s">
        <v>4368</v>
      </c>
      <c r="H1344" s="7657" t="s">
        <v>17</v>
      </c>
      <c r="I1344" s="7657" t="s">
        <v>4368</v>
      </c>
      <c r="J1344" s="0" t="s">
        <v>17</v>
      </c>
      <c r="K1344" s="0" t="s">
        <v>4445</v>
      </c>
      <c r="L1344" s="0" t="s">
        <v>4446</v>
      </c>
      <c r="M1344" s="0" t="s">
        <v>4447</v>
      </c>
      <c r="N1344" s="0" t="s">
        <v>402</v>
      </c>
    </row>
    <row customHeight="1" ht="11.25">
      <c r="A1345" s="7657" t="s">
        <v>2195</v>
      </c>
      <c r="B1345" s="7657" t="s">
        <v>14</v>
      </c>
      <c r="C1345" s="7657" t="s">
        <v>4375</v>
      </c>
      <c r="D1345" s="7657" t="s">
        <v>4376</v>
      </c>
      <c r="E1345" s="7657" t="s">
        <v>4377</v>
      </c>
      <c r="F1345" s="7657" t="s">
        <v>2254</v>
      </c>
      <c r="G1345" s="7657" t="s">
        <v>4378</v>
      </c>
      <c r="H1345" s="7657" t="s">
        <v>17</v>
      </c>
      <c r="I1345" s="7657" t="s">
        <v>2240</v>
      </c>
      <c r="J1345" s="0" t="s">
        <v>17</v>
      </c>
      <c r="K1345" s="0" t="s">
        <v>4488</v>
      </c>
      <c r="L1345" s="0" t="s">
        <v>4489</v>
      </c>
      <c r="M1345" s="0" t="s">
        <v>4490</v>
      </c>
      <c r="N1345" s="0" t="s">
        <v>402</v>
      </c>
    </row>
    <row customHeight="1" ht="11.25">
      <c r="A1346" s="7657" t="s">
        <v>2195</v>
      </c>
      <c r="B1346" s="7657" t="s">
        <v>14</v>
      </c>
      <c r="C1346" s="7657" t="s">
        <v>4379</v>
      </c>
      <c r="D1346" s="7657" t="s">
        <v>4380</v>
      </c>
      <c r="E1346" s="7657" t="s">
        <v>4381</v>
      </c>
      <c r="F1346" s="7657" t="s">
        <v>2321</v>
      </c>
      <c r="G1346" s="7657" t="s">
        <v>4382</v>
      </c>
      <c r="H1346" s="7657" t="s">
        <v>17</v>
      </c>
      <c r="I1346" s="7657" t="s">
        <v>4383</v>
      </c>
      <c r="J1346" s="0" t="s">
        <v>17</v>
      </c>
      <c r="K1346" s="0" t="s">
        <v>4445</v>
      </c>
      <c r="L1346" s="0" t="s">
        <v>4446</v>
      </c>
      <c r="M1346" s="0" t="s">
        <v>4447</v>
      </c>
      <c r="N1346" s="0" t="s">
        <v>402</v>
      </c>
    </row>
    <row customHeight="1" ht="11.25">
      <c r="A1347" s="7657" t="s">
        <v>2195</v>
      </c>
      <c r="B1347" s="7657" t="s">
        <v>14</v>
      </c>
      <c r="C1347" s="7657" t="s">
        <v>4584</v>
      </c>
      <c r="D1347" s="7657" t="s">
        <v>4585</v>
      </c>
      <c r="E1347" s="7657" t="s">
        <v>4586</v>
      </c>
      <c r="F1347" s="7657" t="s">
        <v>2489</v>
      </c>
      <c r="G1347" s="7657" t="s">
        <v>17</v>
      </c>
      <c r="H1347" s="7657" t="s">
        <v>17</v>
      </c>
      <c r="I1347" s="7657" t="s">
        <v>2534</v>
      </c>
      <c r="J1347" s="0" t="s">
        <v>17</v>
      </c>
      <c r="K1347" s="0" t="s">
        <v>4445</v>
      </c>
      <c r="L1347" s="0" t="s">
        <v>4446</v>
      </c>
      <c r="M1347" s="0" t="s">
        <v>4447</v>
      </c>
      <c r="N1347" s="0" t="s">
        <v>402</v>
      </c>
    </row>
    <row customHeight="1" ht="11.25">
      <c r="A1348" s="7657" t="s">
        <v>2195</v>
      </c>
      <c r="B1348" s="7657" t="s">
        <v>14</v>
      </c>
      <c r="C1348" s="7657" t="s">
        <v>4587</v>
      </c>
      <c r="D1348" s="7657" t="s">
        <v>4588</v>
      </c>
      <c r="E1348" s="7657" t="s">
        <v>4589</v>
      </c>
      <c r="F1348" s="7657" t="s">
        <v>4172</v>
      </c>
      <c r="G1348" s="7657" t="s">
        <v>17</v>
      </c>
      <c r="H1348" s="7657" t="s">
        <v>17</v>
      </c>
      <c r="I1348" s="7657" t="s">
        <v>4342</v>
      </c>
      <c r="J1348" s="0" t="s">
        <v>17</v>
      </c>
      <c r="K1348" s="0" t="s">
        <v>4445</v>
      </c>
      <c r="L1348" s="0" t="s">
        <v>4446</v>
      </c>
      <c r="M1348" s="0" t="s">
        <v>4447</v>
      </c>
      <c r="N1348" s="0" t="s">
        <v>402</v>
      </c>
    </row>
    <row customHeight="1" ht="11.25">
      <c r="A1349" s="7657" t="s">
        <v>2195</v>
      </c>
      <c r="B1349" s="7657" t="s">
        <v>14</v>
      </c>
      <c r="C1349" s="7657" t="s">
        <v>4590</v>
      </c>
      <c r="D1349" s="7657" t="s">
        <v>4591</v>
      </c>
      <c r="E1349" s="7657" t="s">
        <v>4592</v>
      </c>
      <c r="F1349" s="7657" t="s">
        <v>2239</v>
      </c>
      <c r="G1349" s="7657" t="s">
        <v>4593</v>
      </c>
      <c r="H1349" s="7657" t="s">
        <v>17</v>
      </c>
      <c r="I1349" s="7657" t="s">
        <v>3012</v>
      </c>
      <c r="J1349" s="0" t="s">
        <v>17</v>
      </c>
      <c r="K1349" s="0" t="s">
        <v>4445</v>
      </c>
      <c r="L1349" s="0" t="s">
        <v>4446</v>
      </c>
      <c r="M1349" s="0" t="s">
        <v>4447</v>
      </c>
      <c r="N1349" s="0" t="s">
        <v>402</v>
      </c>
    </row>
    <row customHeight="1" ht="11.25">
      <c r="A1350" s="7657" t="s">
        <v>2195</v>
      </c>
      <c r="B1350" s="7657" t="s">
        <v>14</v>
      </c>
      <c r="C1350" s="7657" t="s">
        <v>4594</v>
      </c>
      <c r="D1350" s="7657" t="s">
        <v>4595</v>
      </c>
      <c r="E1350" s="7657" t="s">
        <v>4596</v>
      </c>
      <c r="F1350" s="7657" t="s">
        <v>2542</v>
      </c>
      <c r="G1350" s="7657" t="s">
        <v>2934</v>
      </c>
      <c r="H1350" s="7657" t="s">
        <v>17</v>
      </c>
      <c r="I1350" s="7657" t="s">
        <v>2747</v>
      </c>
      <c r="J1350" s="0" t="s">
        <v>17</v>
      </c>
      <c r="K1350" s="0" t="s">
        <v>4445</v>
      </c>
      <c r="L1350" s="0" t="s">
        <v>4446</v>
      </c>
      <c r="M1350" s="0" t="s">
        <v>4447</v>
      </c>
      <c r="N1350" s="0" t="s">
        <v>402</v>
      </c>
    </row>
    <row customHeight="1" ht="11.25">
      <c r="A1351" s="7657" t="s">
        <v>2195</v>
      </c>
      <c r="B1351" s="7657" t="s">
        <v>14</v>
      </c>
      <c r="C1351" s="7657" t="s">
        <v>4405</v>
      </c>
      <c r="D1351" s="7657" t="s">
        <v>4406</v>
      </c>
      <c r="E1351" s="7657" t="s">
        <v>4407</v>
      </c>
      <c r="F1351" s="7657" t="s">
        <v>3166</v>
      </c>
      <c r="G1351" s="7657" t="s">
        <v>4408</v>
      </c>
      <c r="H1351" s="7657" t="s">
        <v>17</v>
      </c>
      <c r="I1351" s="7657" t="s">
        <v>4408</v>
      </c>
      <c r="J1351" s="0" t="s">
        <v>17</v>
      </c>
      <c r="K1351" s="0" t="s">
        <v>4445</v>
      </c>
      <c r="L1351" s="0" t="s">
        <v>4446</v>
      </c>
      <c r="M1351" s="0" t="s">
        <v>4447</v>
      </c>
      <c r="N1351" s="0" t="s">
        <v>402</v>
      </c>
    </row>
    <row customHeight="1" ht="11.25">
      <c r="A1352" s="7657" t="s">
        <v>2195</v>
      </c>
      <c r="B1352" s="7657" t="s">
        <v>14</v>
      </c>
      <c r="C1352" s="7657" t="s">
        <v>4409</v>
      </c>
      <c r="D1352" s="7657" t="s">
        <v>4410</v>
      </c>
      <c r="E1352" s="7657" t="s">
        <v>4411</v>
      </c>
      <c r="F1352" s="7657" t="s">
        <v>4412</v>
      </c>
      <c r="G1352" s="7657" t="s">
        <v>4413</v>
      </c>
      <c r="H1352" s="7657" t="s">
        <v>17</v>
      </c>
      <c r="I1352" s="7657" t="s">
        <v>4388</v>
      </c>
      <c r="J1352" s="0" t="s">
        <v>17</v>
      </c>
      <c r="K1352" s="0" t="s">
        <v>4445</v>
      </c>
      <c r="L1352" s="0" t="s">
        <v>4446</v>
      </c>
      <c r="M1352" s="0" t="s">
        <v>4447</v>
      </c>
      <c r="N1352" s="0" t="s">
        <v>402</v>
      </c>
    </row>
    <row customHeight="1" ht="11.25">
      <c r="A1353" s="7657" t="s">
        <v>2195</v>
      </c>
      <c r="B1353" s="7657" t="s">
        <v>14</v>
      </c>
      <c r="C1353" s="7657" t="s">
        <v>4414</v>
      </c>
      <c r="D1353" s="7657" t="s">
        <v>4415</v>
      </c>
      <c r="E1353" s="7657" t="s">
        <v>4416</v>
      </c>
      <c r="F1353" s="7657" t="s">
        <v>2649</v>
      </c>
      <c r="G1353" s="7657" t="s">
        <v>2534</v>
      </c>
      <c r="H1353" s="7657" t="s">
        <v>17</v>
      </c>
      <c r="I1353" s="7657" t="s">
        <v>2534</v>
      </c>
      <c r="J1353" s="0" t="s">
        <v>17</v>
      </c>
      <c r="K1353" s="0" t="s">
        <v>4445</v>
      </c>
      <c r="L1353" s="0" t="s">
        <v>4446</v>
      </c>
      <c r="M1353" s="0" t="s">
        <v>4447</v>
      </c>
      <c r="N1353" s="0" t="s">
        <v>402</v>
      </c>
    </row>
    <row customHeight="1" ht="11.25">
      <c r="A1354" s="7657" t="s">
        <v>2195</v>
      </c>
      <c r="B1354" s="7657" t="s">
        <v>14</v>
      </c>
      <c r="C1354" s="7657" t="s">
        <v>3168</v>
      </c>
      <c r="D1354" s="7657" t="s">
        <v>46</v>
      </c>
      <c r="E1354" s="7657" t="s">
        <v>49</v>
      </c>
      <c r="F1354" s="7657" t="s">
        <v>51</v>
      </c>
      <c r="G1354" s="7657" t="s">
        <v>17</v>
      </c>
      <c r="H1354" s="7657" t="s">
        <v>17</v>
      </c>
      <c r="I1354" s="7657" t="s">
        <v>4597</v>
      </c>
      <c r="J1354" s="0" t="s">
        <v>17</v>
      </c>
      <c r="K1354" s="0" t="s">
        <v>4445</v>
      </c>
      <c r="L1354" s="0" t="s">
        <v>4446</v>
      </c>
      <c r="M1354" s="0" t="s">
        <v>4447</v>
      </c>
      <c r="N1354" s="0" t="s">
        <v>402</v>
      </c>
    </row>
    <row customHeight="1" ht="11.25">
      <c r="A1355" s="7657" t="s">
        <v>2195</v>
      </c>
      <c r="B1355" s="7657" t="s">
        <v>14</v>
      </c>
      <c r="C1355" s="7657" t="s">
        <v>3168</v>
      </c>
      <c r="D1355" s="7657" t="s">
        <v>46</v>
      </c>
      <c r="E1355" s="7657" t="s">
        <v>49</v>
      </c>
      <c r="F1355" s="7657" t="s">
        <v>51</v>
      </c>
      <c r="G1355" s="7657" t="s">
        <v>17</v>
      </c>
      <c r="H1355" s="7657" t="s">
        <v>17</v>
      </c>
      <c r="I1355" s="7657" t="s">
        <v>3385</v>
      </c>
      <c r="J1355" s="0" t="s">
        <v>17</v>
      </c>
      <c r="K1355" s="0" t="s">
        <v>4445</v>
      </c>
      <c r="L1355" s="0" t="s">
        <v>4466</v>
      </c>
      <c r="M1355" s="0" t="s">
        <v>4467</v>
      </c>
      <c r="N1355" s="0" t="s">
        <v>402</v>
      </c>
    </row>
    <row customHeight="1" ht="11.25">
      <c r="A1356" s="7657" t="s">
        <v>2195</v>
      </c>
      <c r="B1356" s="7657" t="s">
        <v>14</v>
      </c>
      <c r="C1356" s="7657" t="s">
        <v>3168</v>
      </c>
      <c r="D1356" s="7657" t="s">
        <v>46</v>
      </c>
      <c r="E1356" s="7657" t="s">
        <v>49</v>
      </c>
      <c r="F1356" s="7657" t="s">
        <v>51</v>
      </c>
      <c r="G1356" s="7657" t="s">
        <v>17</v>
      </c>
      <c r="H1356" s="7657" t="s">
        <v>17</v>
      </c>
      <c r="I1356" s="7657" t="s">
        <v>3385</v>
      </c>
      <c r="J1356" s="0" t="s">
        <v>17</v>
      </c>
      <c r="K1356" s="0" t="s">
        <v>4488</v>
      </c>
      <c r="L1356" s="0" t="s">
        <v>4489</v>
      </c>
      <c r="M1356" s="0" t="s">
        <v>4490</v>
      </c>
      <c r="N1356" s="0" t="s">
        <v>402</v>
      </c>
    </row>
    <row customHeight="1" ht="11.25">
      <c r="A1357" s="7657" t="s">
        <v>2195</v>
      </c>
      <c r="B1357" s="7657" t="s">
        <v>14</v>
      </c>
      <c r="C1357" s="7657" t="s">
        <v>3168</v>
      </c>
      <c r="D1357" s="7657" t="s">
        <v>46</v>
      </c>
      <c r="E1357" s="7657" t="s">
        <v>49</v>
      </c>
      <c r="F1357" s="7657" t="s">
        <v>51</v>
      </c>
      <c r="G1357" s="7657" t="s">
        <v>17</v>
      </c>
      <c r="H1357" s="7657" t="s">
        <v>17</v>
      </c>
      <c r="I1357" s="7657" t="s">
        <v>4598</v>
      </c>
      <c r="J1357" s="0" t="s">
        <v>17</v>
      </c>
      <c r="K1357" s="0" t="s">
        <v>4445</v>
      </c>
      <c r="L1357" s="0" t="s">
        <v>4466</v>
      </c>
      <c r="M1357" s="0" t="s">
        <v>4467</v>
      </c>
      <c r="N1357" s="0" t="s">
        <v>402</v>
      </c>
    </row>
    <row customHeight="1" ht="11.25">
      <c r="A1358" s="7657" t="s">
        <v>2195</v>
      </c>
      <c r="B1358" s="7657" t="s">
        <v>14</v>
      </c>
      <c r="C1358" s="7657" t="s">
        <v>3182</v>
      </c>
      <c r="D1358" s="7657" t="s">
        <v>3183</v>
      </c>
      <c r="E1358" s="7657" t="s">
        <v>3184</v>
      </c>
      <c r="F1358" s="7657" t="s">
        <v>2321</v>
      </c>
      <c r="G1358" s="7657" t="s">
        <v>3185</v>
      </c>
      <c r="H1358" s="7657" t="s">
        <v>17</v>
      </c>
      <c r="I1358" s="7657" t="s">
        <v>2228</v>
      </c>
      <c r="J1358" s="0" t="s">
        <v>17</v>
      </c>
      <c r="K1358" s="0" t="s">
        <v>4445</v>
      </c>
      <c r="L1358" s="0" t="s">
        <v>4446</v>
      </c>
      <c r="M1358" s="0" t="s">
        <v>4447</v>
      </c>
      <c r="N1358" s="0" t="s">
        <v>402</v>
      </c>
    </row>
    <row customHeight="1" ht="11.25">
      <c r="A1359" s="7657" t="s">
        <v>2195</v>
      </c>
      <c r="B1359" s="7657" t="s">
        <v>14</v>
      </c>
      <c r="C1359" s="7657" t="s">
        <v>3191</v>
      </c>
      <c r="D1359" s="7657" t="s">
        <v>3192</v>
      </c>
      <c r="E1359" s="7657" t="s">
        <v>3193</v>
      </c>
      <c r="F1359" s="7657" t="s">
        <v>2321</v>
      </c>
      <c r="G1359" s="7657" t="s">
        <v>2394</v>
      </c>
      <c r="H1359" s="7657" t="s">
        <v>17</v>
      </c>
      <c r="I1359" s="7657" t="s">
        <v>2228</v>
      </c>
      <c r="J1359" s="0" t="s">
        <v>17</v>
      </c>
      <c r="K1359" s="0" t="s">
        <v>4445</v>
      </c>
      <c r="L1359" s="0" t="s">
        <v>4446</v>
      </c>
      <c r="M1359" s="0" t="s">
        <v>4447</v>
      </c>
      <c r="N1359" s="0" t="s">
        <v>402</v>
      </c>
    </row>
    <row customHeight="1" ht="11.25">
      <c r="A1360" s="7657" t="s">
        <v>2195</v>
      </c>
      <c r="B1360" s="7657" t="s">
        <v>14</v>
      </c>
      <c r="C1360" s="7657" t="s">
        <v>3207</v>
      </c>
      <c r="D1360" s="7657" t="s">
        <v>3208</v>
      </c>
      <c r="E1360" s="7657" t="s">
        <v>3209</v>
      </c>
      <c r="F1360" s="7657" t="s">
        <v>3210</v>
      </c>
      <c r="G1360" s="7657" t="s">
        <v>17</v>
      </c>
      <c r="H1360" s="7657" t="s">
        <v>17</v>
      </c>
      <c r="I1360" s="7657" t="s">
        <v>4421</v>
      </c>
      <c r="J1360" s="0" t="s">
        <v>17</v>
      </c>
      <c r="K1360" s="0" t="s">
        <v>4445</v>
      </c>
      <c r="L1360" s="0" t="s">
        <v>4446</v>
      </c>
      <c r="M1360" s="0" t="s">
        <v>4447</v>
      </c>
      <c r="N1360" s="0" t="s">
        <v>402</v>
      </c>
    </row>
    <row customHeight="1" ht="11.25">
      <c r="A1361" s="7657" t="s">
        <v>2195</v>
      </c>
      <c r="B1361" s="7657" t="s">
        <v>14</v>
      </c>
      <c r="C1361" s="7657" t="s">
        <v>3207</v>
      </c>
      <c r="D1361" s="7657" t="s">
        <v>3208</v>
      </c>
      <c r="E1361" s="7657" t="s">
        <v>3209</v>
      </c>
      <c r="F1361" s="7657" t="s">
        <v>3210</v>
      </c>
      <c r="G1361" s="7657" t="s">
        <v>17</v>
      </c>
      <c r="H1361" s="7657" t="s">
        <v>17</v>
      </c>
      <c r="I1361" s="7657" t="s">
        <v>2240</v>
      </c>
      <c r="J1361" s="0" t="s">
        <v>17</v>
      </c>
      <c r="K1361" s="0" t="s">
        <v>4445</v>
      </c>
      <c r="L1361" s="0" t="s">
        <v>4446</v>
      </c>
      <c r="M1361" s="0" t="s">
        <v>4447</v>
      </c>
      <c r="N1361" s="0" t="s">
        <v>402</v>
      </c>
    </row>
    <row customHeight="1" ht="11.25">
      <c r="A1362" s="7657" t="s">
        <v>2195</v>
      </c>
      <c r="B1362" s="7657" t="s">
        <v>14</v>
      </c>
      <c r="C1362" s="7657" t="s">
        <v>3207</v>
      </c>
      <c r="D1362" s="7657" t="s">
        <v>3208</v>
      </c>
      <c r="E1362" s="7657" t="s">
        <v>3209</v>
      </c>
      <c r="F1362" s="7657" t="s">
        <v>3210</v>
      </c>
      <c r="G1362" s="7657" t="s">
        <v>17</v>
      </c>
      <c r="H1362" s="7657" t="s">
        <v>17</v>
      </c>
      <c r="I1362" s="7657" t="s">
        <v>2313</v>
      </c>
      <c r="J1362" s="0" t="s">
        <v>17</v>
      </c>
      <c r="K1362" s="0" t="s">
        <v>4445</v>
      </c>
      <c r="L1362" s="0" t="s">
        <v>4446</v>
      </c>
      <c r="M1362" s="0" t="s">
        <v>4447</v>
      </c>
      <c r="N1362" s="0" t="s">
        <v>402</v>
      </c>
    </row>
    <row customHeight="1" ht="11.25">
      <c r="A1363" s="7657" t="s">
        <v>2195</v>
      </c>
      <c r="B1363" s="7657" t="s">
        <v>14</v>
      </c>
      <c r="C1363" s="7657" t="s">
        <v>3207</v>
      </c>
      <c r="D1363" s="7657" t="s">
        <v>3208</v>
      </c>
      <c r="E1363" s="7657" t="s">
        <v>3209</v>
      </c>
      <c r="F1363" s="7657" t="s">
        <v>3210</v>
      </c>
      <c r="G1363" s="7657" t="s">
        <v>17</v>
      </c>
      <c r="H1363" s="7657" t="s">
        <v>17</v>
      </c>
      <c r="I1363" s="7657" t="s">
        <v>2753</v>
      </c>
      <c r="J1363" s="0" t="s">
        <v>17</v>
      </c>
      <c r="K1363" s="0" t="s">
        <v>4445</v>
      </c>
      <c r="L1363" s="0" t="s">
        <v>4446</v>
      </c>
      <c r="M1363" s="0" t="s">
        <v>4447</v>
      </c>
      <c r="N1363" s="0" t="s">
        <v>402</v>
      </c>
    </row>
    <row customHeight="1" ht="11.25">
      <c r="A1364" s="7657" t="s">
        <v>2195</v>
      </c>
      <c r="B1364" s="7657" t="s">
        <v>14</v>
      </c>
      <c r="C1364" s="7657" t="s">
        <v>4599</v>
      </c>
      <c r="D1364" s="7657" t="s">
        <v>4600</v>
      </c>
      <c r="E1364" s="7657" t="s">
        <v>4601</v>
      </c>
      <c r="F1364" s="7657" t="s">
        <v>4172</v>
      </c>
      <c r="G1364" s="7657" t="s">
        <v>4602</v>
      </c>
      <c r="H1364" s="7657" t="s">
        <v>17</v>
      </c>
      <c r="I1364" s="7657" t="s">
        <v>2340</v>
      </c>
      <c r="J1364" s="0" t="s">
        <v>17</v>
      </c>
      <c r="K1364" s="0" t="s">
        <v>4445</v>
      </c>
      <c r="L1364" s="0" t="s">
        <v>4446</v>
      </c>
      <c r="M1364" s="0" t="s">
        <v>4447</v>
      </c>
      <c r="N1364" s="0" t="s">
        <v>402</v>
      </c>
    </row>
    <row customHeight="1" ht="11.25">
      <c r="A1365" s="7657" t="s">
        <v>2195</v>
      </c>
      <c r="B1365" s="7657" t="s">
        <v>14</v>
      </c>
      <c r="C1365" s="7657" t="s">
        <v>3227</v>
      </c>
      <c r="D1365" s="7657" t="s">
        <v>3228</v>
      </c>
      <c r="E1365" s="7657" t="s">
        <v>3229</v>
      </c>
      <c r="F1365" s="7657" t="s">
        <v>2425</v>
      </c>
      <c r="G1365" s="7657" t="s">
        <v>3230</v>
      </c>
      <c r="H1365" s="7657" t="s">
        <v>17</v>
      </c>
      <c r="I1365" s="7657" t="s">
        <v>2228</v>
      </c>
      <c r="J1365" s="0" t="s">
        <v>17</v>
      </c>
      <c r="K1365" s="0" t="s">
        <v>4445</v>
      </c>
      <c r="L1365" s="0" t="s">
        <v>4466</v>
      </c>
      <c r="M1365" s="0" t="s">
        <v>4467</v>
      </c>
      <c r="N1365" s="0" t="s">
        <v>402</v>
      </c>
    </row>
    <row customHeight="1" ht="11.25">
      <c r="A1366" s="7657" t="s">
        <v>2195</v>
      </c>
      <c r="B1366" s="7657" t="s">
        <v>14</v>
      </c>
      <c r="C1366" s="7657" t="s">
        <v>3237</v>
      </c>
      <c r="D1366" s="7657" t="s">
        <v>3238</v>
      </c>
      <c r="E1366" s="7657" t="s">
        <v>3239</v>
      </c>
      <c r="F1366" s="7657" t="s">
        <v>2321</v>
      </c>
      <c r="G1366" s="7657" t="s">
        <v>3240</v>
      </c>
      <c r="H1366" s="7657" t="s">
        <v>17</v>
      </c>
      <c r="I1366" s="7657" t="s">
        <v>2228</v>
      </c>
      <c r="J1366" s="0" t="s">
        <v>17</v>
      </c>
      <c r="K1366" s="0" t="s">
        <v>4448</v>
      </c>
      <c r="L1366" s="0" t="s">
        <v>4464</v>
      </c>
      <c r="M1366" s="0" t="s">
        <v>4465</v>
      </c>
      <c r="N1366" s="0" t="s">
        <v>402</v>
      </c>
    </row>
    <row customHeight="1" ht="11.25">
      <c r="A1367" s="7657" t="s">
        <v>2195</v>
      </c>
      <c r="B1367" s="7657" t="s">
        <v>14</v>
      </c>
      <c r="C1367" s="7657" t="s">
        <v>3304</v>
      </c>
      <c r="D1367" s="7657" t="s">
        <v>3305</v>
      </c>
      <c r="E1367" s="7657" t="s">
        <v>3306</v>
      </c>
      <c r="F1367" s="7657" t="s">
        <v>3307</v>
      </c>
      <c r="G1367" s="7657" t="s">
        <v>17</v>
      </c>
      <c r="H1367" s="7657" t="s">
        <v>17</v>
      </c>
      <c r="I1367" s="7657" t="s">
        <v>4603</v>
      </c>
      <c r="J1367" s="0" t="s">
        <v>17</v>
      </c>
      <c r="K1367" s="0" t="s">
        <v>4488</v>
      </c>
      <c r="L1367" s="0" t="s">
        <v>4489</v>
      </c>
      <c r="M1367" s="0" t="s">
        <v>4490</v>
      </c>
      <c r="N1367" s="0" t="s">
        <v>402</v>
      </c>
    </row>
    <row customHeight="1" ht="11.25">
      <c r="A1368" s="7657" t="s">
        <v>2195</v>
      </c>
      <c r="B1368" s="7657" t="s">
        <v>14</v>
      </c>
      <c r="C1368" s="7657" t="s">
        <v>4604</v>
      </c>
      <c r="D1368" s="7657" t="s">
        <v>4605</v>
      </c>
      <c r="E1368" s="7657" t="s">
        <v>4606</v>
      </c>
      <c r="F1368" s="7657" t="s">
        <v>2321</v>
      </c>
      <c r="G1368" s="7657" t="s">
        <v>4607</v>
      </c>
      <c r="H1368" s="7657" t="s">
        <v>17</v>
      </c>
      <c r="I1368" s="7657" t="s">
        <v>2654</v>
      </c>
      <c r="J1368" s="0" t="s">
        <v>17</v>
      </c>
      <c r="K1368" s="0" t="s">
        <v>1089</v>
      </c>
      <c r="L1368" s="0" t="s">
        <v>1089</v>
      </c>
      <c r="M1368" s="0" t="s">
        <v>4608</v>
      </c>
      <c r="N1368" s="0" t="s">
        <v>404</v>
      </c>
    </row>
    <row customHeight="1" ht="11.25">
      <c r="A1369" s="7657" t="s">
        <v>2195</v>
      </c>
      <c r="B1369" s="7657" t="s">
        <v>14</v>
      </c>
      <c r="C1369" s="7657" t="s">
        <v>4609</v>
      </c>
      <c r="D1369" s="7657" t="s">
        <v>4610</v>
      </c>
      <c r="E1369" s="7657" t="s">
        <v>4611</v>
      </c>
      <c r="F1369" s="7657" t="s">
        <v>2244</v>
      </c>
      <c r="G1369" s="7657" t="s">
        <v>4612</v>
      </c>
      <c r="H1369" s="7657" t="s">
        <v>17</v>
      </c>
      <c r="I1369" s="7657" t="s">
        <v>4613</v>
      </c>
      <c r="J1369" s="0" t="s">
        <v>17</v>
      </c>
      <c r="K1369" s="0" t="s">
        <v>1070</v>
      </c>
      <c r="L1369" s="0" t="s">
        <v>1070</v>
      </c>
      <c r="M1369" s="0" t="s">
        <v>4614</v>
      </c>
      <c r="N1369" s="0" t="s">
        <v>404</v>
      </c>
    </row>
    <row customHeight="1" ht="11.25">
      <c r="A1370" s="7657" t="s">
        <v>2195</v>
      </c>
      <c r="B1370" s="7657" t="s">
        <v>14</v>
      </c>
      <c r="C1370" s="7657" t="s">
        <v>4609</v>
      </c>
      <c r="D1370" s="7657" t="s">
        <v>4610</v>
      </c>
      <c r="E1370" s="7657" t="s">
        <v>4611</v>
      </c>
      <c r="F1370" s="7657" t="s">
        <v>2244</v>
      </c>
      <c r="G1370" s="7657" t="s">
        <v>4612</v>
      </c>
      <c r="H1370" s="7657" t="s">
        <v>17</v>
      </c>
      <c r="I1370" s="7657" t="s">
        <v>4615</v>
      </c>
      <c r="J1370" s="0" t="s">
        <v>17</v>
      </c>
      <c r="K1370" s="0" t="s">
        <v>293</v>
      </c>
      <c r="L1370" s="0" t="s">
        <v>293</v>
      </c>
      <c r="M1370" s="0" t="s">
        <v>4616</v>
      </c>
      <c r="N1370" s="0" t="s">
        <v>404</v>
      </c>
    </row>
    <row customHeight="1" ht="11.25">
      <c r="A1371" s="7657" t="s">
        <v>2195</v>
      </c>
      <c r="B1371" s="7657" t="s">
        <v>14</v>
      </c>
      <c r="C1371" s="7657" t="s">
        <v>4609</v>
      </c>
      <c r="D1371" s="7657" t="s">
        <v>4610</v>
      </c>
      <c r="E1371" s="7657" t="s">
        <v>4611</v>
      </c>
      <c r="F1371" s="7657" t="s">
        <v>2244</v>
      </c>
      <c r="G1371" s="7657" t="s">
        <v>4612</v>
      </c>
      <c r="H1371" s="7657" t="s">
        <v>17</v>
      </c>
      <c r="I1371" s="7657" t="s">
        <v>2654</v>
      </c>
      <c r="J1371" s="0" t="s">
        <v>17</v>
      </c>
      <c r="K1371" s="0" t="s">
        <v>293</v>
      </c>
      <c r="L1371" s="0" t="s">
        <v>293</v>
      </c>
      <c r="M1371" s="0" t="s">
        <v>4616</v>
      </c>
      <c r="N1371" s="0" t="s">
        <v>404</v>
      </c>
    </row>
    <row customHeight="1" ht="11.25">
      <c r="A1372" s="7657" t="s">
        <v>2195</v>
      </c>
      <c r="B1372" s="7657" t="s">
        <v>14</v>
      </c>
      <c r="C1372" s="7657" t="s">
        <v>4609</v>
      </c>
      <c r="D1372" s="7657" t="s">
        <v>4610</v>
      </c>
      <c r="E1372" s="7657" t="s">
        <v>4611</v>
      </c>
      <c r="F1372" s="7657" t="s">
        <v>2244</v>
      </c>
      <c r="G1372" s="7657" t="s">
        <v>4612</v>
      </c>
      <c r="H1372" s="7657" t="s">
        <v>17</v>
      </c>
      <c r="I1372" s="7657" t="s">
        <v>2581</v>
      </c>
      <c r="J1372" s="0" t="s">
        <v>17</v>
      </c>
      <c r="K1372" s="0" t="s">
        <v>293</v>
      </c>
      <c r="L1372" s="0" t="s">
        <v>293</v>
      </c>
      <c r="M1372" s="0" t="s">
        <v>4616</v>
      </c>
      <c r="N1372" s="0" t="s">
        <v>404</v>
      </c>
    </row>
    <row customHeight="1" ht="11.25">
      <c r="A1373" s="7657" t="s">
        <v>2195</v>
      </c>
      <c r="B1373" s="7657" t="s">
        <v>14</v>
      </c>
      <c r="C1373" s="7657" t="s">
        <v>4617</v>
      </c>
      <c r="D1373" s="7657" t="s">
        <v>4618</v>
      </c>
      <c r="E1373" s="7657" t="s">
        <v>4619</v>
      </c>
      <c r="F1373" s="7657" t="s">
        <v>2244</v>
      </c>
      <c r="G1373" s="7657" t="s">
        <v>17</v>
      </c>
      <c r="H1373" s="7657" t="s">
        <v>17</v>
      </c>
      <c r="I1373" s="7657" t="s">
        <v>4620</v>
      </c>
      <c r="J1373" s="0" t="s">
        <v>17</v>
      </c>
      <c r="K1373" s="0" t="s">
        <v>1070</v>
      </c>
      <c r="L1373" s="0" t="s">
        <v>4621</v>
      </c>
      <c r="M1373" s="0" t="s">
        <v>4622</v>
      </c>
      <c r="N1373" s="0" t="s">
        <v>404</v>
      </c>
    </row>
    <row customHeight="1" ht="11.25">
      <c r="A1374" s="7657" t="s">
        <v>2195</v>
      </c>
      <c r="B1374" s="7657" t="s">
        <v>14</v>
      </c>
      <c r="C1374" s="7657" t="s">
        <v>4617</v>
      </c>
      <c r="D1374" s="7657" t="s">
        <v>4618</v>
      </c>
      <c r="E1374" s="7657" t="s">
        <v>4619</v>
      </c>
      <c r="F1374" s="7657" t="s">
        <v>2244</v>
      </c>
      <c r="G1374" s="7657" t="s">
        <v>17</v>
      </c>
      <c r="H1374" s="7657" t="s">
        <v>17</v>
      </c>
      <c r="I1374" s="7657" t="s">
        <v>4620</v>
      </c>
      <c r="J1374" s="0" t="s">
        <v>17</v>
      </c>
      <c r="K1374" s="0" t="s">
        <v>1079</v>
      </c>
      <c r="L1374" s="0" t="s">
        <v>4621</v>
      </c>
      <c r="M1374" s="0" t="s">
        <v>4622</v>
      </c>
      <c r="N1374" s="0" t="s">
        <v>404</v>
      </c>
    </row>
    <row customHeight="1" ht="11.25">
      <c r="A1375" s="7657" t="s">
        <v>2195</v>
      </c>
      <c r="B1375" s="7657" t="s">
        <v>14</v>
      </c>
      <c r="C1375" s="7657" t="s">
        <v>4617</v>
      </c>
      <c r="D1375" s="7657" t="s">
        <v>4618</v>
      </c>
      <c r="E1375" s="7657" t="s">
        <v>4619</v>
      </c>
      <c r="F1375" s="7657" t="s">
        <v>2244</v>
      </c>
      <c r="G1375" s="7657" t="s">
        <v>17</v>
      </c>
      <c r="H1375" s="7657" t="s">
        <v>17</v>
      </c>
      <c r="I1375" s="7657" t="s">
        <v>4620</v>
      </c>
      <c r="J1375" s="0" t="s">
        <v>17</v>
      </c>
      <c r="K1375" s="0" t="s">
        <v>293</v>
      </c>
      <c r="L1375" s="0" t="s">
        <v>4621</v>
      </c>
      <c r="M1375" s="0" t="s">
        <v>4622</v>
      </c>
      <c r="N1375" s="0" t="s">
        <v>404</v>
      </c>
    </row>
    <row customHeight="1" ht="11.25">
      <c r="A1376" s="7657" t="s">
        <v>2195</v>
      </c>
      <c r="B1376" s="7657" t="s">
        <v>14</v>
      </c>
      <c r="C1376" s="7657" t="s">
        <v>4617</v>
      </c>
      <c r="D1376" s="7657" t="s">
        <v>4618</v>
      </c>
      <c r="E1376" s="7657" t="s">
        <v>4619</v>
      </c>
      <c r="F1376" s="7657" t="s">
        <v>2244</v>
      </c>
      <c r="G1376" s="7657" t="s">
        <v>17</v>
      </c>
      <c r="H1376" s="7657" t="s">
        <v>17</v>
      </c>
      <c r="I1376" s="7657" t="s">
        <v>2240</v>
      </c>
      <c r="J1376" s="0" t="s">
        <v>17</v>
      </c>
      <c r="K1376" s="0" t="s">
        <v>293</v>
      </c>
      <c r="L1376" s="0" t="s">
        <v>293</v>
      </c>
      <c r="M1376" s="0" t="s">
        <v>4616</v>
      </c>
      <c r="N1376" s="0" t="s">
        <v>404</v>
      </c>
    </row>
    <row customHeight="1" ht="11.25">
      <c r="A1377" s="7657" t="s">
        <v>2195</v>
      </c>
      <c r="B1377" s="7657" t="s">
        <v>14</v>
      </c>
      <c r="C1377" s="7657" t="s">
        <v>4617</v>
      </c>
      <c r="D1377" s="7657" t="s">
        <v>4618</v>
      </c>
      <c r="E1377" s="7657" t="s">
        <v>4619</v>
      </c>
      <c r="F1377" s="7657" t="s">
        <v>2244</v>
      </c>
      <c r="G1377" s="7657" t="s">
        <v>17</v>
      </c>
      <c r="H1377" s="7657" t="s">
        <v>17</v>
      </c>
      <c r="I1377" s="7657" t="s">
        <v>4623</v>
      </c>
      <c r="J1377" s="0" t="s">
        <v>17</v>
      </c>
      <c r="K1377" s="0" t="s">
        <v>293</v>
      </c>
      <c r="L1377" s="0" t="s">
        <v>293</v>
      </c>
      <c r="M1377" s="0" t="s">
        <v>4616</v>
      </c>
      <c r="N1377" s="0" t="s">
        <v>404</v>
      </c>
    </row>
    <row customHeight="1" ht="11.25">
      <c r="A1378" s="7657" t="s">
        <v>2195</v>
      </c>
      <c r="B1378" s="7657" t="s">
        <v>14</v>
      </c>
      <c r="C1378" s="7657" t="s">
        <v>4624</v>
      </c>
      <c r="D1378" s="7657" t="s">
        <v>4625</v>
      </c>
      <c r="E1378" s="7657" t="s">
        <v>4626</v>
      </c>
      <c r="F1378" s="7657" t="s">
        <v>2439</v>
      </c>
      <c r="G1378" s="7657" t="s">
        <v>17</v>
      </c>
      <c r="H1378" s="7657" t="s">
        <v>17</v>
      </c>
      <c r="I1378" s="7657" t="s">
        <v>4627</v>
      </c>
      <c r="J1378" s="0" t="s">
        <v>17</v>
      </c>
      <c r="K1378" s="0" t="s">
        <v>1070</v>
      </c>
      <c r="L1378" s="0" t="s">
        <v>1070</v>
      </c>
      <c r="M1378" s="0" t="s">
        <v>4614</v>
      </c>
      <c r="N1378" s="0" t="s">
        <v>404</v>
      </c>
    </row>
    <row customHeight="1" ht="11.25">
      <c r="A1379" s="7657" t="s">
        <v>2195</v>
      </c>
      <c r="B1379" s="7657" t="s">
        <v>14</v>
      </c>
      <c r="C1379" s="7657" t="s">
        <v>3833</v>
      </c>
      <c r="D1379" s="7657" t="s">
        <v>3834</v>
      </c>
      <c r="E1379" s="7657" t="s">
        <v>3835</v>
      </c>
      <c r="F1379" s="7657" t="s">
        <v>2711</v>
      </c>
      <c r="G1379" s="7657" t="s">
        <v>3836</v>
      </c>
      <c r="H1379" s="7657" t="s">
        <v>17</v>
      </c>
      <c r="I1379" s="7657" t="s">
        <v>4628</v>
      </c>
      <c r="J1379" s="0" t="s">
        <v>17</v>
      </c>
      <c r="K1379" s="0" t="s">
        <v>1070</v>
      </c>
      <c r="L1379" s="0" t="s">
        <v>1070</v>
      </c>
      <c r="M1379" s="0" t="s">
        <v>4614</v>
      </c>
      <c r="N1379" s="0" t="s">
        <v>404</v>
      </c>
    </row>
    <row customHeight="1" ht="11.25">
      <c r="A1380" s="7657" t="s">
        <v>2195</v>
      </c>
      <c r="B1380" s="7657" t="s">
        <v>14</v>
      </c>
      <c r="C1380" s="7657" t="s">
        <v>4629</v>
      </c>
      <c r="D1380" s="7657" t="s">
        <v>4630</v>
      </c>
      <c r="E1380" s="7657" t="s">
        <v>4631</v>
      </c>
      <c r="F1380" s="7657" t="s">
        <v>2517</v>
      </c>
      <c r="G1380" s="7657" t="s">
        <v>4632</v>
      </c>
      <c r="H1380" s="7657" t="s">
        <v>17</v>
      </c>
      <c r="I1380" s="7657" t="s">
        <v>4633</v>
      </c>
      <c r="J1380" s="0" t="s">
        <v>17</v>
      </c>
      <c r="K1380" s="0" t="s">
        <v>1070</v>
      </c>
      <c r="L1380" s="0" t="s">
        <v>1070</v>
      </c>
      <c r="M1380" s="0" t="s">
        <v>4614</v>
      </c>
      <c r="N1380" s="0" t="s">
        <v>404</v>
      </c>
    </row>
    <row customHeight="1" ht="11.25">
      <c r="A1381" s="7657" t="s">
        <v>2195</v>
      </c>
      <c r="B1381" s="7657" t="s">
        <v>14</v>
      </c>
      <c r="C1381" s="7657" t="s">
        <v>4634</v>
      </c>
      <c r="D1381" s="7657" t="s">
        <v>2609</v>
      </c>
      <c r="E1381" s="7657" t="s">
        <v>4635</v>
      </c>
      <c r="F1381" s="7657" t="s">
        <v>3421</v>
      </c>
      <c r="G1381" s="7657" t="s">
        <v>17</v>
      </c>
      <c r="H1381" s="7657" t="s">
        <v>17</v>
      </c>
      <c r="I1381" s="7657" t="s">
        <v>4636</v>
      </c>
      <c r="J1381" s="0" t="s">
        <v>17</v>
      </c>
      <c r="K1381" s="0" t="s">
        <v>1070</v>
      </c>
      <c r="L1381" s="0" t="s">
        <v>1070</v>
      </c>
      <c r="M1381" s="0" t="s">
        <v>4614</v>
      </c>
      <c r="N1381" s="0" t="s">
        <v>404</v>
      </c>
    </row>
    <row customHeight="1" ht="11.25">
      <c r="A1382" s="7657" t="s">
        <v>2195</v>
      </c>
      <c r="B1382" s="7657" t="s">
        <v>14</v>
      </c>
      <c r="C1382" s="7657" t="s">
        <v>4028</v>
      </c>
      <c r="D1382" s="7657" t="s">
        <v>4029</v>
      </c>
      <c r="E1382" s="7657" t="s">
        <v>4030</v>
      </c>
      <c r="F1382" s="7657" t="s">
        <v>2866</v>
      </c>
      <c r="G1382" s="7657" t="s">
        <v>4031</v>
      </c>
      <c r="H1382" s="7657" t="s">
        <v>17</v>
      </c>
      <c r="I1382" s="7657" t="s">
        <v>2313</v>
      </c>
      <c r="J1382" s="0" t="s">
        <v>17</v>
      </c>
      <c r="K1382" s="0" t="s">
        <v>1070</v>
      </c>
      <c r="L1382" s="0" t="s">
        <v>4637</v>
      </c>
      <c r="M1382" s="0" t="s">
        <v>4638</v>
      </c>
      <c r="N1382" s="0" t="s">
        <v>404</v>
      </c>
    </row>
    <row customHeight="1" ht="11.25">
      <c r="A1383" s="7657" t="s">
        <v>2195</v>
      </c>
      <c r="B1383" s="7657" t="s">
        <v>14</v>
      </c>
      <c r="C1383" s="7657" t="s">
        <v>4028</v>
      </c>
      <c r="D1383" s="7657" t="s">
        <v>4029</v>
      </c>
      <c r="E1383" s="7657" t="s">
        <v>4030</v>
      </c>
      <c r="F1383" s="7657" t="s">
        <v>2866</v>
      </c>
      <c r="G1383" s="7657" t="s">
        <v>4031</v>
      </c>
      <c r="H1383" s="7657" t="s">
        <v>17</v>
      </c>
      <c r="I1383" s="7657" t="s">
        <v>2313</v>
      </c>
      <c r="J1383" s="0" t="s">
        <v>17</v>
      </c>
      <c r="K1383" s="0" t="s">
        <v>1089</v>
      </c>
      <c r="L1383" s="0" t="s">
        <v>4637</v>
      </c>
      <c r="M1383" s="0" t="s">
        <v>4638</v>
      </c>
      <c r="N1383" s="0" t="s">
        <v>404</v>
      </c>
    </row>
    <row customHeight="1" ht="11.25">
      <c r="A1384" s="7657" t="s">
        <v>2195</v>
      </c>
      <c r="B1384" s="7657" t="s">
        <v>14</v>
      </c>
      <c r="C1384" s="7657" t="s">
        <v>4639</v>
      </c>
      <c r="D1384" s="7657" t="s">
        <v>4640</v>
      </c>
      <c r="E1384" s="7657" t="s">
        <v>4641</v>
      </c>
      <c r="F1384" s="7657" t="s">
        <v>3050</v>
      </c>
      <c r="G1384" s="7657" t="s">
        <v>4642</v>
      </c>
      <c r="H1384" s="7657" t="s">
        <v>17</v>
      </c>
      <c r="I1384" s="7657" t="s">
        <v>2974</v>
      </c>
      <c r="J1384" s="0" t="s">
        <v>17</v>
      </c>
      <c r="K1384" s="0" t="s">
        <v>1070</v>
      </c>
      <c r="L1384" s="0" t="s">
        <v>1070</v>
      </c>
      <c r="M1384" s="0" t="s">
        <v>4614</v>
      </c>
      <c r="N1384" s="0" t="s">
        <v>404</v>
      </c>
    </row>
    <row customHeight="1" ht="11.25">
      <c r="A1385" s="7657" t="s">
        <v>2195</v>
      </c>
      <c r="B1385" s="7657" t="s">
        <v>14</v>
      </c>
      <c r="C1385" s="7657" t="s">
        <v>4643</v>
      </c>
      <c r="D1385" s="7657" t="s">
        <v>4644</v>
      </c>
      <c r="E1385" s="7657" t="s">
        <v>4645</v>
      </c>
      <c r="F1385" s="7657" t="s">
        <v>2378</v>
      </c>
      <c r="G1385" s="7657" t="s">
        <v>4646</v>
      </c>
      <c r="H1385" s="7657" t="s">
        <v>17</v>
      </c>
      <c r="I1385" s="7657" t="s">
        <v>2348</v>
      </c>
      <c r="J1385" s="0" t="s">
        <v>17</v>
      </c>
      <c r="K1385" s="0" t="s">
        <v>1070</v>
      </c>
      <c r="L1385" s="0" t="s">
        <v>1070</v>
      </c>
      <c r="M1385" s="0" t="s">
        <v>4614</v>
      </c>
      <c r="N1385" s="0" t="s">
        <v>404</v>
      </c>
    </row>
    <row customHeight="1" ht="11.25">
      <c r="A1386" s="7657" t="s">
        <v>2195</v>
      </c>
      <c r="B1386" s="7657" t="s">
        <v>14</v>
      </c>
      <c r="C1386" s="7657" t="s">
        <v>4647</v>
      </c>
      <c r="D1386" s="7657" t="s">
        <v>4648</v>
      </c>
      <c r="E1386" s="7657" t="s">
        <v>4649</v>
      </c>
      <c r="F1386" s="7657" t="s">
        <v>2556</v>
      </c>
      <c r="G1386" s="7657" t="s">
        <v>4650</v>
      </c>
      <c r="H1386" s="7657" t="s">
        <v>17</v>
      </c>
      <c r="I1386" s="7657" t="s">
        <v>4651</v>
      </c>
      <c r="J1386" s="0" t="s">
        <v>17</v>
      </c>
      <c r="K1386" s="0" t="s">
        <v>1070</v>
      </c>
      <c r="L1386" s="0" t="s">
        <v>1070</v>
      </c>
      <c r="M1386" s="0" t="s">
        <v>4614</v>
      </c>
      <c r="N1386" s="0" t="s">
        <v>404</v>
      </c>
    </row>
    <row customHeight="1" ht="11.25">
      <c r="A1387" s="7657" t="s">
        <v>2195</v>
      </c>
      <c r="B1387" s="7657" t="s">
        <v>14</v>
      </c>
      <c r="C1387" s="7657" t="s">
        <v>4647</v>
      </c>
      <c r="D1387" s="7657" t="s">
        <v>4648</v>
      </c>
      <c r="E1387" s="7657" t="s">
        <v>4649</v>
      </c>
      <c r="F1387" s="7657" t="s">
        <v>2556</v>
      </c>
      <c r="G1387" s="7657" t="s">
        <v>4650</v>
      </c>
      <c r="H1387" s="7657" t="s">
        <v>17</v>
      </c>
      <c r="I1387" s="7657" t="s">
        <v>4652</v>
      </c>
      <c r="J1387" s="0" t="s">
        <v>17</v>
      </c>
      <c r="K1387" s="0" t="s">
        <v>1089</v>
      </c>
      <c r="L1387" s="0" t="s">
        <v>1089</v>
      </c>
      <c r="M1387" s="0" t="s">
        <v>4608</v>
      </c>
      <c r="N1387" s="0" t="s">
        <v>404</v>
      </c>
    </row>
    <row customHeight="1" ht="11.25">
      <c r="A1388" s="7657" t="s">
        <v>2195</v>
      </c>
      <c r="B1388" s="7657" t="s">
        <v>14</v>
      </c>
      <c r="C1388" s="7657" t="s">
        <v>4653</v>
      </c>
      <c r="D1388" s="7657" t="s">
        <v>4654</v>
      </c>
      <c r="E1388" s="7657" t="s">
        <v>4655</v>
      </c>
      <c r="F1388" s="7657" t="s">
        <v>2199</v>
      </c>
      <c r="G1388" s="7657" t="s">
        <v>4656</v>
      </c>
      <c r="H1388" s="7657" t="s">
        <v>17</v>
      </c>
      <c r="I1388" s="7657" t="s">
        <v>4657</v>
      </c>
      <c r="J1388" s="0" t="s">
        <v>17</v>
      </c>
      <c r="K1388" s="0" t="s">
        <v>1089</v>
      </c>
      <c r="L1388" s="0" t="s">
        <v>1089</v>
      </c>
      <c r="M1388" s="0" t="s">
        <v>4608</v>
      </c>
      <c r="N1388" s="0" t="s">
        <v>404</v>
      </c>
    </row>
    <row customHeight="1" ht="11.25">
      <c r="A1389" s="7657" t="s">
        <v>2195</v>
      </c>
      <c r="B1389" s="7657" t="s">
        <v>14</v>
      </c>
      <c r="C1389" s="7657" t="s">
        <v>4658</v>
      </c>
      <c r="D1389" s="7657" t="s">
        <v>4659</v>
      </c>
      <c r="E1389" s="7657" t="s">
        <v>4660</v>
      </c>
      <c r="F1389" s="7657" t="s">
        <v>4661</v>
      </c>
      <c r="G1389" s="7657" t="s">
        <v>4662</v>
      </c>
      <c r="H1389" s="7657" t="s">
        <v>17</v>
      </c>
      <c r="I1389" s="7657" t="s">
        <v>4663</v>
      </c>
      <c r="J1389" s="0" t="s">
        <v>17</v>
      </c>
      <c r="K1389" s="0" t="s">
        <v>1089</v>
      </c>
      <c r="L1389" s="0" t="s">
        <v>1089</v>
      </c>
      <c r="M1389" s="0" t="s">
        <v>4608</v>
      </c>
      <c r="N1389" s="0" t="s">
        <v>404</v>
      </c>
    </row>
    <row customHeight="1" ht="11.25">
      <c r="A1390" s="7657" t="s">
        <v>2195</v>
      </c>
      <c r="B1390" s="7657" t="s">
        <v>14</v>
      </c>
      <c r="C1390" s="7657" t="s">
        <v>4664</v>
      </c>
      <c r="D1390" s="7657" t="s">
        <v>4665</v>
      </c>
      <c r="E1390" s="7657" t="s">
        <v>4666</v>
      </c>
      <c r="F1390" s="7657" t="s">
        <v>4667</v>
      </c>
      <c r="G1390" s="7657" t="s">
        <v>4668</v>
      </c>
      <c r="H1390" s="7657" t="s">
        <v>17</v>
      </c>
      <c r="I1390" s="7657" t="s">
        <v>2340</v>
      </c>
      <c r="J1390" s="0" t="s">
        <v>17</v>
      </c>
      <c r="K1390" s="0" t="s">
        <v>1070</v>
      </c>
      <c r="L1390" s="0" t="s">
        <v>1070</v>
      </c>
      <c r="M1390" s="0" t="s">
        <v>4614</v>
      </c>
      <c r="N1390" s="0" t="s">
        <v>404</v>
      </c>
    </row>
    <row customHeight="1" ht="11.25">
      <c r="A1391" s="7657" t="s">
        <v>2195</v>
      </c>
      <c r="B1391" s="7657" t="s">
        <v>14</v>
      </c>
      <c r="C1391" s="7657" t="s">
        <v>4669</v>
      </c>
      <c r="D1391" s="7657" t="s">
        <v>4670</v>
      </c>
      <c r="E1391" s="7657" t="s">
        <v>4671</v>
      </c>
      <c r="F1391" s="7657" t="s">
        <v>2606</v>
      </c>
      <c r="G1391" s="7657" t="s">
        <v>4672</v>
      </c>
      <c r="H1391" s="7657" t="s">
        <v>17</v>
      </c>
      <c r="I1391" s="7657" t="s">
        <v>4633</v>
      </c>
      <c r="J1391" s="0" t="s">
        <v>17</v>
      </c>
      <c r="K1391" s="0" t="s">
        <v>1070</v>
      </c>
      <c r="L1391" s="0" t="s">
        <v>1070</v>
      </c>
      <c r="M1391" s="0" t="s">
        <v>4614</v>
      </c>
      <c r="N1391" s="0" t="s">
        <v>404</v>
      </c>
    </row>
    <row customHeight="1" ht="11.25">
      <c r="A1392" s="7657" t="s">
        <v>2195</v>
      </c>
      <c r="B1392" s="7657" t="s">
        <v>14</v>
      </c>
      <c r="C1392" s="7657" t="s">
        <v>4673</v>
      </c>
      <c r="D1392" s="7657" t="s">
        <v>4674</v>
      </c>
      <c r="E1392" s="7657" t="s">
        <v>4675</v>
      </c>
      <c r="F1392" s="7657" t="s">
        <v>2267</v>
      </c>
      <c r="G1392" s="7657" t="s">
        <v>17</v>
      </c>
      <c r="H1392" s="7657" t="s">
        <v>17</v>
      </c>
      <c r="I1392" s="7657" t="s">
        <v>4627</v>
      </c>
      <c r="J1392" s="0" t="s">
        <v>17</v>
      </c>
      <c r="K1392" s="0" t="s">
        <v>1070</v>
      </c>
      <c r="L1392" s="0" t="s">
        <v>4637</v>
      </c>
      <c r="M1392" s="0" t="s">
        <v>4638</v>
      </c>
      <c r="N1392" s="0" t="s">
        <v>404</v>
      </c>
    </row>
    <row customHeight="1" ht="11.25">
      <c r="A1393" s="7657" t="s">
        <v>2195</v>
      </c>
      <c r="B1393" s="7657" t="s">
        <v>14</v>
      </c>
      <c r="C1393" s="7657" t="s">
        <v>4673</v>
      </c>
      <c r="D1393" s="7657" t="s">
        <v>4674</v>
      </c>
      <c r="E1393" s="7657" t="s">
        <v>4675</v>
      </c>
      <c r="F1393" s="7657" t="s">
        <v>2267</v>
      </c>
      <c r="G1393" s="7657" t="s">
        <v>17</v>
      </c>
      <c r="H1393" s="7657" t="s">
        <v>17</v>
      </c>
      <c r="I1393" s="7657" t="s">
        <v>4627</v>
      </c>
      <c r="J1393" s="0" t="s">
        <v>17</v>
      </c>
      <c r="K1393" s="0" t="s">
        <v>1089</v>
      </c>
      <c r="L1393" s="0" t="s">
        <v>4637</v>
      </c>
      <c r="M1393" s="0" t="s">
        <v>4638</v>
      </c>
      <c r="N1393" s="0" t="s">
        <v>404</v>
      </c>
    </row>
    <row customHeight="1" ht="11.25">
      <c r="A1394" s="7657" t="s">
        <v>2195</v>
      </c>
      <c r="B1394" s="7657" t="s">
        <v>14</v>
      </c>
      <c r="C1394" s="7657" t="s">
        <v>4676</v>
      </c>
      <c r="D1394" s="7657" t="s">
        <v>4677</v>
      </c>
      <c r="E1394" s="7657" t="s">
        <v>4678</v>
      </c>
      <c r="F1394" s="7657" t="s">
        <v>2527</v>
      </c>
      <c r="G1394" s="7657" t="s">
        <v>17</v>
      </c>
      <c r="H1394" s="7657" t="s">
        <v>17</v>
      </c>
      <c r="I1394" s="7657" t="s">
        <v>4318</v>
      </c>
      <c r="J1394" s="0" t="s">
        <v>17</v>
      </c>
      <c r="K1394" s="0" t="s">
        <v>1079</v>
      </c>
      <c r="L1394" s="0" t="s">
        <v>4679</v>
      </c>
      <c r="M1394" s="0" t="s">
        <v>4680</v>
      </c>
      <c r="N1394" s="0" t="s">
        <v>404</v>
      </c>
    </row>
    <row customHeight="1" ht="11.25">
      <c r="A1395" s="7657" t="s">
        <v>2195</v>
      </c>
      <c r="B1395" s="7657" t="s">
        <v>14</v>
      </c>
      <c r="C1395" s="7657" t="s">
        <v>4676</v>
      </c>
      <c r="D1395" s="7657" t="s">
        <v>4677</v>
      </c>
      <c r="E1395" s="7657" t="s">
        <v>4678</v>
      </c>
      <c r="F1395" s="7657" t="s">
        <v>2527</v>
      </c>
      <c r="G1395" s="7657" t="s">
        <v>17</v>
      </c>
      <c r="H1395" s="7657" t="s">
        <v>17</v>
      </c>
      <c r="I1395" s="7657" t="s">
        <v>4318</v>
      </c>
      <c r="J1395" s="0" t="s">
        <v>17</v>
      </c>
      <c r="K1395" s="0" t="s">
        <v>1089</v>
      </c>
      <c r="L1395" s="0" t="s">
        <v>4679</v>
      </c>
      <c r="M1395" s="0" t="s">
        <v>4680</v>
      </c>
      <c r="N1395" s="0" t="s">
        <v>404</v>
      </c>
    </row>
    <row customHeight="1" ht="11.25">
      <c r="A1396" s="7657" t="s">
        <v>2195</v>
      </c>
      <c r="B1396" s="7657" t="s">
        <v>14</v>
      </c>
      <c r="C1396" s="7657" t="s">
        <v>4681</v>
      </c>
      <c r="D1396" s="7657" t="s">
        <v>4682</v>
      </c>
      <c r="E1396" s="7657" t="s">
        <v>4683</v>
      </c>
      <c r="F1396" s="7657" t="s">
        <v>2719</v>
      </c>
      <c r="G1396" s="7657" t="s">
        <v>4684</v>
      </c>
      <c r="H1396" s="7657" t="s">
        <v>17</v>
      </c>
      <c r="I1396" s="7657" t="s">
        <v>2340</v>
      </c>
      <c r="J1396" s="0" t="s">
        <v>17</v>
      </c>
      <c r="K1396" s="0" t="s">
        <v>1070</v>
      </c>
      <c r="L1396" s="0" t="s">
        <v>1070</v>
      </c>
      <c r="M1396" s="0" t="s">
        <v>4614</v>
      </c>
      <c r="N1396" s="0" t="s">
        <v>404</v>
      </c>
    </row>
    <row customHeight="1" ht="11.25">
      <c r="A1397" s="7657" t="s">
        <v>2195</v>
      </c>
      <c r="B1397" s="7657" t="s">
        <v>14</v>
      </c>
      <c r="C1397" s="7657" t="s">
        <v>4681</v>
      </c>
      <c r="D1397" s="7657" t="s">
        <v>4682</v>
      </c>
      <c r="E1397" s="7657" t="s">
        <v>4683</v>
      </c>
      <c r="F1397" s="7657" t="s">
        <v>2719</v>
      </c>
      <c r="G1397" s="7657" t="s">
        <v>4684</v>
      </c>
      <c r="H1397" s="7657" t="s">
        <v>17</v>
      </c>
      <c r="I1397" s="7657" t="s">
        <v>2964</v>
      </c>
      <c r="J1397" s="0" t="s">
        <v>17</v>
      </c>
      <c r="K1397" s="0" t="s">
        <v>293</v>
      </c>
      <c r="L1397" s="0" t="s">
        <v>293</v>
      </c>
      <c r="M1397" s="0" t="s">
        <v>4616</v>
      </c>
      <c r="N1397" s="0" t="s">
        <v>404</v>
      </c>
    </row>
    <row customHeight="1" ht="11.25">
      <c r="A1398" s="7657" t="s">
        <v>2195</v>
      </c>
      <c r="B1398" s="7657" t="s">
        <v>14</v>
      </c>
      <c r="C1398" s="7657" t="s">
        <v>4685</v>
      </c>
      <c r="D1398" s="7657" t="s">
        <v>4686</v>
      </c>
      <c r="E1398" s="7657" t="s">
        <v>4687</v>
      </c>
      <c r="F1398" s="7657" t="s">
        <v>4126</v>
      </c>
      <c r="G1398" s="7657" t="s">
        <v>4688</v>
      </c>
      <c r="H1398" s="7657" t="s">
        <v>17</v>
      </c>
      <c r="I1398" s="7657" t="s">
        <v>2340</v>
      </c>
      <c r="J1398" s="0" t="s">
        <v>4689</v>
      </c>
      <c r="K1398" s="0" t="s">
        <v>1070</v>
      </c>
      <c r="L1398" s="0" t="s">
        <v>1070</v>
      </c>
      <c r="M1398" s="0" t="s">
        <v>4614</v>
      </c>
      <c r="N1398" s="0" t="s">
        <v>404</v>
      </c>
    </row>
    <row customHeight="1" ht="11.25">
      <c r="A1399" s="7657" t="s">
        <v>2195</v>
      </c>
      <c r="B1399" s="7657" t="s">
        <v>14</v>
      </c>
      <c r="C1399" s="7657" t="s">
        <v>4685</v>
      </c>
      <c r="D1399" s="7657" t="s">
        <v>4686</v>
      </c>
      <c r="E1399" s="7657" t="s">
        <v>4687</v>
      </c>
      <c r="F1399" s="7657" t="s">
        <v>4126</v>
      </c>
      <c r="G1399" s="7657" t="s">
        <v>4688</v>
      </c>
      <c r="H1399" s="7657" t="s">
        <v>17</v>
      </c>
      <c r="I1399" s="7657" t="s">
        <v>4633</v>
      </c>
      <c r="J1399" s="0" t="s">
        <v>17</v>
      </c>
      <c r="K1399" s="0" t="s">
        <v>1070</v>
      </c>
      <c r="L1399" s="0" t="s">
        <v>1070</v>
      </c>
      <c r="M1399" s="0" t="s">
        <v>4614</v>
      </c>
      <c r="N1399" s="0" t="s">
        <v>404</v>
      </c>
    </row>
    <row customHeight="1" ht="11.25">
      <c r="A1400" s="7657" t="s">
        <v>2195</v>
      </c>
      <c r="B1400" s="7657" t="s">
        <v>14</v>
      </c>
      <c r="C1400" s="7657" t="s">
        <v>4685</v>
      </c>
      <c r="D1400" s="7657" t="s">
        <v>4686</v>
      </c>
      <c r="E1400" s="7657" t="s">
        <v>4687</v>
      </c>
      <c r="F1400" s="7657" t="s">
        <v>4126</v>
      </c>
      <c r="G1400" s="7657" t="s">
        <v>4688</v>
      </c>
      <c r="H1400" s="7657" t="s">
        <v>17</v>
      </c>
      <c r="I1400" s="7657" t="s">
        <v>2340</v>
      </c>
      <c r="J1400" s="0" t="s">
        <v>17</v>
      </c>
      <c r="K1400" s="0" t="s">
        <v>1070</v>
      </c>
      <c r="L1400" s="0" t="s">
        <v>1070</v>
      </c>
      <c r="M1400" s="0" t="s">
        <v>4614</v>
      </c>
      <c r="N1400" s="0" t="s">
        <v>404</v>
      </c>
    </row>
    <row customHeight="1" ht="11.25">
      <c r="A1401" s="7657" t="s">
        <v>2195</v>
      </c>
      <c r="B1401" s="7657" t="s">
        <v>14</v>
      </c>
      <c r="C1401" s="7657" t="s">
        <v>4685</v>
      </c>
      <c r="D1401" s="7657" t="s">
        <v>4686</v>
      </c>
      <c r="E1401" s="7657" t="s">
        <v>4687</v>
      </c>
      <c r="F1401" s="7657" t="s">
        <v>4126</v>
      </c>
      <c r="G1401" s="7657" t="s">
        <v>4688</v>
      </c>
      <c r="H1401" s="7657" t="s">
        <v>17</v>
      </c>
      <c r="I1401" s="7657" t="s">
        <v>4690</v>
      </c>
      <c r="J1401" s="0" t="s">
        <v>17</v>
      </c>
      <c r="K1401" s="0" t="s">
        <v>1070</v>
      </c>
      <c r="L1401" s="0" t="s">
        <v>4691</v>
      </c>
      <c r="M1401" s="0" t="s">
        <v>4692</v>
      </c>
      <c r="N1401" s="0" t="s">
        <v>404</v>
      </c>
    </row>
    <row customHeight="1" ht="11.25">
      <c r="A1402" s="7657" t="s">
        <v>2195</v>
      </c>
      <c r="B1402" s="7657" t="s">
        <v>14</v>
      </c>
      <c r="C1402" s="7657" t="s">
        <v>4693</v>
      </c>
      <c r="D1402" s="7657" t="s">
        <v>4694</v>
      </c>
      <c r="E1402" s="7657" t="s">
        <v>4695</v>
      </c>
      <c r="F1402" s="7657" t="s">
        <v>2212</v>
      </c>
      <c r="G1402" s="7657" t="s">
        <v>4696</v>
      </c>
      <c r="H1402" s="7657" t="s">
        <v>17</v>
      </c>
      <c r="I1402" s="7657" t="s">
        <v>4633</v>
      </c>
      <c r="J1402" s="0" t="s">
        <v>17</v>
      </c>
      <c r="K1402" s="0" t="s">
        <v>1070</v>
      </c>
      <c r="L1402" s="0" t="s">
        <v>1070</v>
      </c>
      <c r="M1402" s="0" t="s">
        <v>4614</v>
      </c>
      <c r="N1402" s="0" t="s">
        <v>404</v>
      </c>
    </row>
    <row customHeight="1" ht="11.25">
      <c r="A1403" s="7657" t="s">
        <v>2195</v>
      </c>
      <c r="B1403" s="7657" t="s">
        <v>14</v>
      </c>
      <c r="C1403" s="7657" t="s">
        <v>4697</v>
      </c>
      <c r="D1403" s="7657" t="s">
        <v>4698</v>
      </c>
      <c r="E1403" s="7657" t="s">
        <v>4699</v>
      </c>
      <c r="F1403" s="7657" t="s">
        <v>4700</v>
      </c>
      <c r="G1403" s="7657" t="s">
        <v>17</v>
      </c>
      <c r="H1403" s="7657" t="s">
        <v>17</v>
      </c>
      <c r="I1403" s="7657" t="s">
        <v>2654</v>
      </c>
      <c r="J1403" s="0" t="s">
        <v>17</v>
      </c>
      <c r="K1403" s="0" t="s">
        <v>293</v>
      </c>
      <c r="L1403" s="0" t="s">
        <v>293</v>
      </c>
      <c r="M1403" s="0" t="s">
        <v>4616</v>
      </c>
      <c r="N1403" s="0" t="s">
        <v>404</v>
      </c>
    </row>
    <row customHeight="1" ht="11.25">
      <c r="A1404" s="7657" t="s">
        <v>2195</v>
      </c>
      <c r="B1404" s="7657" t="s">
        <v>14</v>
      </c>
      <c r="C1404" s="7657" t="s">
        <v>4701</v>
      </c>
      <c r="D1404" s="7657" t="s">
        <v>4702</v>
      </c>
      <c r="E1404" s="7657" t="s">
        <v>4703</v>
      </c>
      <c r="F1404" s="7657" t="s">
        <v>2267</v>
      </c>
      <c r="G1404" s="7657" t="s">
        <v>4704</v>
      </c>
      <c r="H1404" s="7657" t="s">
        <v>17</v>
      </c>
      <c r="I1404" s="7657" t="s">
        <v>2654</v>
      </c>
      <c r="J1404" s="0" t="s">
        <v>17</v>
      </c>
      <c r="K1404" s="0" t="s">
        <v>293</v>
      </c>
      <c r="L1404" s="0" t="s">
        <v>293</v>
      </c>
      <c r="M1404" s="0" t="s">
        <v>4616</v>
      </c>
      <c r="N1404" s="0" t="s">
        <v>404</v>
      </c>
    </row>
    <row customHeight="1" ht="11.25">
      <c r="A1405" s="7657" t="s">
        <v>2195</v>
      </c>
      <c r="B1405" s="7657" t="s">
        <v>14</v>
      </c>
      <c r="C1405" s="7657" t="s">
        <v>4705</v>
      </c>
      <c r="D1405" s="7657" t="s">
        <v>4706</v>
      </c>
      <c r="E1405" s="7657" t="s">
        <v>4707</v>
      </c>
      <c r="F1405" s="7657" t="s">
        <v>4708</v>
      </c>
      <c r="G1405" s="7657" t="s">
        <v>17</v>
      </c>
      <c r="H1405" s="7657" t="s">
        <v>17</v>
      </c>
      <c r="I1405" s="7657" t="s">
        <v>4709</v>
      </c>
      <c r="J1405" s="0" t="s">
        <v>17</v>
      </c>
      <c r="K1405" s="0" t="s">
        <v>293</v>
      </c>
      <c r="L1405" s="0" t="s">
        <v>293</v>
      </c>
      <c r="M1405" s="0" t="s">
        <v>4616</v>
      </c>
      <c r="N1405" s="0" t="s">
        <v>404</v>
      </c>
    </row>
    <row customHeight="1" ht="11.25">
      <c r="A1406" s="7657" t="s">
        <v>2195</v>
      </c>
      <c r="B1406" s="7657" t="s">
        <v>14</v>
      </c>
      <c r="C1406" s="7657" t="s">
        <v>4710</v>
      </c>
      <c r="D1406" s="7657" t="s">
        <v>4711</v>
      </c>
      <c r="E1406" s="7657" t="s">
        <v>4712</v>
      </c>
      <c r="F1406" s="7657" t="s">
        <v>2649</v>
      </c>
      <c r="G1406" s="7657" t="s">
        <v>4713</v>
      </c>
      <c r="H1406" s="7657" t="s">
        <v>17</v>
      </c>
      <c r="I1406" s="7657" t="s">
        <v>3286</v>
      </c>
      <c r="J1406" s="0" t="s">
        <v>17</v>
      </c>
      <c r="K1406" s="0" t="s">
        <v>1070</v>
      </c>
      <c r="L1406" s="0" t="s">
        <v>1070</v>
      </c>
      <c r="M1406" s="0" t="s">
        <v>4614</v>
      </c>
      <c r="N1406" s="0" t="s">
        <v>404</v>
      </c>
    </row>
    <row customHeight="1" ht="11.25">
      <c r="A1407" s="7657" t="s">
        <v>2195</v>
      </c>
      <c r="B1407" s="7657" t="s">
        <v>14</v>
      </c>
      <c r="C1407" s="7657" t="s">
        <v>4714</v>
      </c>
      <c r="D1407" s="7657" t="s">
        <v>4715</v>
      </c>
      <c r="E1407" s="7657" t="s">
        <v>4716</v>
      </c>
      <c r="F1407" s="7657" t="s">
        <v>2502</v>
      </c>
      <c r="G1407" s="7657" t="s">
        <v>17</v>
      </c>
      <c r="H1407" s="7657" t="s">
        <v>17</v>
      </c>
      <c r="I1407" s="7657" t="s">
        <v>2390</v>
      </c>
      <c r="J1407" s="0" t="s">
        <v>17</v>
      </c>
      <c r="K1407" s="0" t="s">
        <v>1070</v>
      </c>
      <c r="L1407" s="0" t="s">
        <v>4637</v>
      </c>
      <c r="M1407" s="0" t="s">
        <v>4638</v>
      </c>
      <c r="N1407" s="0" t="s">
        <v>404</v>
      </c>
    </row>
    <row customHeight="1" ht="11.25">
      <c r="A1408" s="7657" t="s">
        <v>2195</v>
      </c>
      <c r="B1408" s="7657" t="s">
        <v>14</v>
      </c>
      <c r="C1408" s="7657" t="s">
        <v>4714</v>
      </c>
      <c r="D1408" s="7657" t="s">
        <v>4715</v>
      </c>
      <c r="E1408" s="7657" t="s">
        <v>4716</v>
      </c>
      <c r="F1408" s="7657" t="s">
        <v>2502</v>
      </c>
      <c r="G1408" s="7657" t="s">
        <v>17</v>
      </c>
      <c r="H1408" s="7657" t="s">
        <v>17</v>
      </c>
      <c r="I1408" s="7657" t="s">
        <v>2390</v>
      </c>
      <c r="J1408" s="0" t="s">
        <v>17</v>
      </c>
      <c r="K1408" s="0" t="s">
        <v>1089</v>
      </c>
      <c r="L1408" s="0" t="s">
        <v>4637</v>
      </c>
      <c r="M1408" s="0" t="s">
        <v>4638</v>
      </c>
      <c r="N1408" s="0" t="s">
        <v>404</v>
      </c>
    </row>
    <row customHeight="1" ht="11.25">
      <c r="A1409" s="7657" t="s">
        <v>2195</v>
      </c>
      <c r="B1409" s="7657" t="s">
        <v>14</v>
      </c>
      <c r="C1409" s="7657" t="s">
        <v>4714</v>
      </c>
      <c r="D1409" s="7657" t="s">
        <v>4715</v>
      </c>
      <c r="E1409" s="7657" t="s">
        <v>4716</v>
      </c>
      <c r="F1409" s="7657" t="s">
        <v>2502</v>
      </c>
      <c r="G1409" s="7657" t="s">
        <v>17</v>
      </c>
      <c r="H1409" s="7657" t="s">
        <v>17</v>
      </c>
      <c r="I1409" s="7657" t="s">
        <v>2340</v>
      </c>
      <c r="J1409" s="0" t="s">
        <v>17</v>
      </c>
      <c r="K1409" s="0" t="s">
        <v>1070</v>
      </c>
      <c r="L1409" s="0" t="s">
        <v>4637</v>
      </c>
      <c r="M1409" s="0" t="s">
        <v>4638</v>
      </c>
      <c r="N1409" s="0" t="s">
        <v>404</v>
      </c>
    </row>
    <row customHeight="1" ht="11.25">
      <c r="A1410" s="7657" t="s">
        <v>2195</v>
      </c>
      <c r="B1410" s="7657" t="s">
        <v>14</v>
      </c>
      <c r="C1410" s="7657" t="s">
        <v>4714</v>
      </c>
      <c r="D1410" s="7657" t="s">
        <v>4715</v>
      </c>
      <c r="E1410" s="7657" t="s">
        <v>4716</v>
      </c>
      <c r="F1410" s="7657" t="s">
        <v>2502</v>
      </c>
      <c r="G1410" s="7657" t="s">
        <v>17</v>
      </c>
      <c r="H1410" s="7657" t="s">
        <v>17</v>
      </c>
      <c r="I1410" s="7657" t="s">
        <v>2340</v>
      </c>
      <c r="J1410" s="0" t="s">
        <v>17</v>
      </c>
      <c r="K1410" s="0" t="s">
        <v>1089</v>
      </c>
      <c r="L1410" s="0" t="s">
        <v>4637</v>
      </c>
      <c r="M1410" s="0" t="s">
        <v>4638</v>
      </c>
      <c r="N1410" s="0" t="s">
        <v>404</v>
      </c>
    </row>
    <row customHeight="1" ht="11.25">
      <c r="A1411" s="7657" t="s">
        <v>2195</v>
      </c>
      <c r="B1411" s="7657" t="s">
        <v>14</v>
      </c>
      <c r="C1411" s="7657" t="s">
        <v>4717</v>
      </c>
      <c r="D1411" s="7657" t="s">
        <v>4718</v>
      </c>
      <c r="E1411" s="7657" t="s">
        <v>4719</v>
      </c>
      <c r="F1411" s="7657" t="s">
        <v>2897</v>
      </c>
      <c r="G1411" s="7657" t="s">
        <v>4720</v>
      </c>
      <c r="H1411" s="7657" t="s">
        <v>17</v>
      </c>
      <c r="I1411" s="7657" t="s">
        <v>4721</v>
      </c>
      <c r="J1411" s="0" t="s">
        <v>17</v>
      </c>
      <c r="K1411" s="0" t="s">
        <v>1089</v>
      </c>
      <c r="L1411" s="0" t="s">
        <v>1089</v>
      </c>
      <c r="M1411" s="0" t="s">
        <v>4608</v>
      </c>
      <c r="N1411" s="0" t="s">
        <v>404</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7554E7-563F-D084-127F-017AFD251D1A}" mc:Ignorable="x14ac xr xr2 xr3">
  <sheetPr>
    <tabColor rgb="FFFFCC99"/>
  </sheetPr>
  <dimension ref="A1:G428"/>
  <sheetViews>
    <sheetView topLeftCell="A1" showGridLines="0" workbookViewId="0">
      <selection activeCell="A1" sqref="A1"/>
    </sheetView>
  </sheetViews>
  <sheetFormatPr customHeight="1" defaultRowHeight="11.25"/>
  <cols>
    <col min="1" max="1" style="6050" width="9.140625"/>
  </cols>
  <sheetData>
    <row customHeight="1" ht="11.25">
      <c r="A1" s="525" t="s">
        <v>4722</v>
      </c>
      <c r="B1" s="182" t="s">
        <v>4723</v>
      </c>
      <c r="C1" s="182" t="s">
        <v>4724</v>
      </c>
      <c r="D1" s="182" t="s">
        <v>4725</v>
      </c>
      <c r="E1" s="0" t="s">
        <v>4726</v>
      </c>
      <c r="F1" s="0" t="s">
        <v>4727</v>
      </c>
      <c r="G1" s="0" t="s">
        <v>4728</v>
      </c>
    </row>
    <row customHeight="1" ht="11.25">
      <c r="A2" s="525" t="s">
        <v>14</v>
      </c>
      <c r="B2" s="0" t="s">
        <v>4729</v>
      </c>
      <c r="C2" s="0" t="s">
        <v>4730</v>
      </c>
      <c r="D2" s="0" t="s">
        <v>4729</v>
      </c>
      <c r="E2" s="0" t="s">
        <v>4730</v>
      </c>
      <c r="F2" s="0" t="s">
        <v>4731</v>
      </c>
      <c r="G2" s="0" t="s">
        <v>118</v>
      </c>
    </row>
    <row customHeight="1" ht="11.25">
      <c r="A3" s="525" t="s">
        <v>14</v>
      </c>
      <c r="B3" s="0" t="s">
        <v>4729</v>
      </c>
      <c r="C3" s="0" t="s">
        <v>4730</v>
      </c>
      <c r="D3" s="0" t="s">
        <v>4732</v>
      </c>
      <c r="E3" s="0" t="s">
        <v>4733</v>
      </c>
      <c r="F3" s="0" t="s">
        <v>4734</v>
      </c>
      <c r="G3" s="0" t="s">
        <v>102</v>
      </c>
    </row>
    <row customHeight="1" ht="11.25">
      <c r="A4" s="525" t="s">
        <v>14</v>
      </c>
      <c r="B4" s="0" t="s">
        <v>4729</v>
      </c>
      <c r="C4" s="0" t="s">
        <v>4730</v>
      </c>
      <c r="D4" s="0" t="s">
        <v>4735</v>
      </c>
      <c r="E4" s="0" t="s">
        <v>4736</v>
      </c>
      <c r="F4" s="0" t="s">
        <v>4737</v>
      </c>
      <c r="G4" s="0" t="s">
        <v>89</v>
      </c>
    </row>
    <row customHeight="1" ht="11.25">
      <c r="A5" s="525" t="s">
        <v>14</v>
      </c>
      <c r="B5" s="0" t="s">
        <v>4729</v>
      </c>
      <c r="C5" s="0" t="s">
        <v>4730</v>
      </c>
      <c r="D5" s="0" t="s">
        <v>4738</v>
      </c>
      <c r="E5" s="0" t="s">
        <v>4739</v>
      </c>
      <c r="F5" s="0" t="s">
        <v>4740</v>
      </c>
      <c r="G5" s="0" t="s">
        <v>90</v>
      </c>
    </row>
    <row customHeight="1" ht="11.25">
      <c r="A6" s="525" t="s">
        <v>14</v>
      </c>
      <c r="B6" s="0" t="s">
        <v>4729</v>
      </c>
      <c r="C6" s="0" t="s">
        <v>4730</v>
      </c>
      <c r="D6" s="0" t="s">
        <v>4741</v>
      </c>
      <c r="E6" s="0" t="s">
        <v>4742</v>
      </c>
      <c r="F6" s="0" t="s">
        <v>4740</v>
      </c>
      <c r="G6" s="0" t="s">
        <v>119</v>
      </c>
    </row>
    <row customHeight="1" ht="11.25">
      <c r="A7" s="525" t="s">
        <v>14</v>
      </c>
      <c r="B7" s="0" t="s">
        <v>4729</v>
      </c>
      <c r="C7" s="0" t="s">
        <v>4730</v>
      </c>
      <c r="D7" s="0" t="s">
        <v>4743</v>
      </c>
      <c r="E7" s="0" t="s">
        <v>4744</v>
      </c>
      <c r="F7" s="0" t="s">
        <v>4740</v>
      </c>
      <c r="G7" s="0" t="s">
        <v>91</v>
      </c>
    </row>
    <row customHeight="1" ht="11.25">
      <c r="A8" s="525" t="s">
        <v>14</v>
      </c>
      <c r="B8" s="0" t="s">
        <v>4729</v>
      </c>
      <c r="C8" s="0" t="s">
        <v>4730</v>
      </c>
      <c r="D8" s="0" t="s">
        <v>4745</v>
      </c>
      <c r="E8" s="0" t="s">
        <v>4746</v>
      </c>
      <c r="F8" s="0" t="s">
        <v>4740</v>
      </c>
      <c r="G8" s="0" t="s">
        <v>92</v>
      </c>
    </row>
    <row customHeight="1" ht="11.25">
      <c r="A9" s="525" t="s">
        <v>14</v>
      </c>
      <c r="B9" s="0" t="s">
        <v>4729</v>
      </c>
      <c r="C9" s="0" t="s">
        <v>4730</v>
      </c>
      <c r="D9" s="0" t="s">
        <v>4747</v>
      </c>
      <c r="E9" s="0" t="s">
        <v>4748</v>
      </c>
      <c r="F9" s="0" t="s">
        <v>4740</v>
      </c>
      <c r="G9" s="0" t="s">
        <v>120</v>
      </c>
    </row>
    <row customHeight="1" ht="11.25">
      <c r="A10" s="525" t="s">
        <v>14</v>
      </c>
      <c r="B10" s="0" t="s">
        <v>4729</v>
      </c>
      <c r="C10" s="0" t="s">
        <v>4730</v>
      </c>
      <c r="D10" s="0" t="s">
        <v>4749</v>
      </c>
      <c r="E10" s="0" t="s">
        <v>4750</v>
      </c>
      <c r="F10" s="0" t="s">
        <v>4740</v>
      </c>
      <c r="G10" s="0" t="s">
        <v>157</v>
      </c>
    </row>
    <row customHeight="1" ht="11.25">
      <c r="A11" s="525" t="s">
        <v>14</v>
      </c>
      <c r="B11" s="0" t="s">
        <v>4751</v>
      </c>
      <c r="C11" s="0" t="s">
        <v>4752</v>
      </c>
      <c r="D11" s="0" t="s">
        <v>4751</v>
      </c>
      <c r="E11" s="0" t="s">
        <v>4752</v>
      </c>
      <c r="F11" s="0" t="s">
        <v>4731</v>
      </c>
      <c r="G11" s="0" t="s">
        <v>158</v>
      </c>
    </row>
    <row customHeight="1" ht="11.25">
      <c r="A12" s="525" t="s">
        <v>14</v>
      </c>
      <c r="B12" s="0" t="s">
        <v>4751</v>
      </c>
      <c r="C12" s="0" t="s">
        <v>4752</v>
      </c>
      <c r="D12" s="0" t="s">
        <v>4753</v>
      </c>
      <c r="E12" s="0" t="s">
        <v>4754</v>
      </c>
      <c r="F12" s="0" t="s">
        <v>4734</v>
      </c>
      <c r="G12" s="0" t="s">
        <v>159</v>
      </c>
    </row>
    <row customHeight="1" ht="11.25">
      <c r="A13" s="525" t="s">
        <v>14</v>
      </c>
      <c r="B13" s="0" t="s">
        <v>4751</v>
      </c>
      <c r="C13" s="0" t="s">
        <v>4752</v>
      </c>
      <c r="D13" s="0" t="s">
        <v>4755</v>
      </c>
      <c r="E13" s="0" t="s">
        <v>4756</v>
      </c>
      <c r="F13" s="0" t="s">
        <v>4740</v>
      </c>
      <c r="G13" s="0" t="s">
        <v>160</v>
      </c>
    </row>
    <row customHeight="1" ht="11.25">
      <c r="A14" s="525" t="s">
        <v>14</v>
      </c>
      <c r="B14" s="0" t="s">
        <v>4751</v>
      </c>
      <c r="C14" s="0" t="s">
        <v>4752</v>
      </c>
      <c r="D14" s="0" t="s">
        <v>4757</v>
      </c>
      <c r="E14" s="0" t="s">
        <v>4758</v>
      </c>
      <c r="F14" s="0" t="s">
        <v>4740</v>
      </c>
      <c r="G14" s="0" t="s">
        <v>161</v>
      </c>
    </row>
    <row customHeight="1" ht="11.25">
      <c r="A15" s="525" t="s">
        <v>14</v>
      </c>
      <c r="B15" s="0" t="s">
        <v>4751</v>
      </c>
      <c r="C15" s="0" t="s">
        <v>4752</v>
      </c>
      <c r="D15" s="0" t="s">
        <v>4759</v>
      </c>
      <c r="E15" s="0" t="s">
        <v>4760</v>
      </c>
      <c r="F15" s="0" t="s">
        <v>4740</v>
      </c>
      <c r="G15" s="0" t="s">
        <v>162</v>
      </c>
    </row>
    <row customHeight="1" ht="11.25">
      <c r="A16" s="525" t="s">
        <v>14</v>
      </c>
      <c r="B16" s="0" t="s">
        <v>4751</v>
      </c>
      <c r="C16" s="0" t="s">
        <v>4752</v>
      </c>
      <c r="D16" s="0" t="s">
        <v>4761</v>
      </c>
      <c r="E16" s="0" t="s">
        <v>4762</v>
      </c>
      <c r="F16" s="0" t="s">
        <v>4740</v>
      </c>
      <c r="G16" s="0" t="s">
        <v>703</v>
      </c>
    </row>
    <row customHeight="1" ht="11.25">
      <c r="A17" s="525" t="s">
        <v>14</v>
      </c>
      <c r="B17" s="0" t="s">
        <v>4751</v>
      </c>
      <c r="C17" s="0" t="s">
        <v>4752</v>
      </c>
      <c r="D17" s="0" t="s">
        <v>4763</v>
      </c>
      <c r="E17" s="0" t="s">
        <v>4764</v>
      </c>
      <c r="F17" s="0" t="s">
        <v>4737</v>
      </c>
      <c r="G17" s="0" t="s">
        <v>406</v>
      </c>
    </row>
    <row customHeight="1" ht="11.25">
      <c r="A18" s="525" t="s">
        <v>14</v>
      </c>
      <c r="B18" s="0" t="s">
        <v>4751</v>
      </c>
      <c r="C18" s="0" t="s">
        <v>4752</v>
      </c>
      <c r="D18" s="0" t="s">
        <v>4765</v>
      </c>
      <c r="E18" s="0" t="s">
        <v>4766</v>
      </c>
      <c r="F18" s="0" t="s">
        <v>4740</v>
      </c>
      <c r="G18" s="0" t="s">
        <v>712</v>
      </c>
    </row>
    <row customHeight="1" ht="11.25">
      <c r="A19" s="525" t="s">
        <v>14</v>
      </c>
      <c r="B19" s="0" t="s">
        <v>4751</v>
      </c>
      <c r="C19" s="0" t="s">
        <v>4752</v>
      </c>
      <c r="D19" s="0" t="s">
        <v>4767</v>
      </c>
      <c r="E19" s="0" t="s">
        <v>4768</v>
      </c>
      <c r="F19" s="0" t="s">
        <v>4740</v>
      </c>
      <c r="G19" s="0" t="s">
        <v>716</v>
      </c>
    </row>
    <row customHeight="1" ht="11.25">
      <c r="A20" s="525" t="s">
        <v>14</v>
      </c>
      <c r="B20" s="0" t="s">
        <v>4751</v>
      </c>
      <c r="C20" s="0" t="s">
        <v>4752</v>
      </c>
      <c r="D20" s="0" t="s">
        <v>4769</v>
      </c>
      <c r="E20" s="0" t="s">
        <v>4770</v>
      </c>
      <c r="F20" s="0" t="s">
        <v>4740</v>
      </c>
      <c r="G20" s="0" t="s">
        <v>468</v>
      </c>
    </row>
    <row customHeight="1" ht="11.25">
      <c r="A21" s="525" t="s">
        <v>14</v>
      </c>
      <c r="B21" s="0" t="s">
        <v>4751</v>
      </c>
      <c r="C21" s="0" t="s">
        <v>4752</v>
      </c>
      <c r="D21" s="0" t="s">
        <v>4771</v>
      </c>
      <c r="E21" s="0" t="s">
        <v>4772</v>
      </c>
      <c r="F21" s="0" t="s">
        <v>4740</v>
      </c>
      <c r="G21" s="0" t="s">
        <v>1081</v>
      </c>
    </row>
    <row customHeight="1" ht="11.25">
      <c r="A22" s="525" t="s">
        <v>14</v>
      </c>
      <c r="B22" s="0" t="s">
        <v>4751</v>
      </c>
      <c r="C22" s="0" t="s">
        <v>4752</v>
      </c>
      <c r="D22" s="0" t="s">
        <v>4773</v>
      </c>
      <c r="E22" s="0" t="s">
        <v>4774</v>
      </c>
      <c r="F22" s="0" t="s">
        <v>4734</v>
      </c>
      <c r="G22" s="0" t="s">
        <v>1096</v>
      </c>
    </row>
    <row customHeight="1" ht="11.25">
      <c r="A23" s="525" t="s">
        <v>14</v>
      </c>
      <c r="B23" s="0" t="s">
        <v>4751</v>
      </c>
      <c r="C23" s="0" t="s">
        <v>4752</v>
      </c>
      <c r="D23" s="0" t="s">
        <v>4775</v>
      </c>
      <c r="E23" s="0" t="s">
        <v>4776</v>
      </c>
      <c r="F23" s="0" t="s">
        <v>4740</v>
      </c>
      <c r="G23" s="0" t="s">
        <v>1102</v>
      </c>
    </row>
    <row customHeight="1" ht="11.25">
      <c r="A24" s="525" t="s">
        <v>14</v>
      </c>
      <c r="B24" s="0" t="s">
        <v>4777</v>
      </c>
      <c r="C24" s="0" t="s">
        <v>4778</v>
      </c>
      <c r="D24" s="0" t="s">
        <v>4777</v>
      </c>
      <c r="E24" s="0" t="s">
        <v>4778</v>
      </c>
      <c r="F24" s="0" t="s">
        <v>4731</v>
      </c>
      <c r="G24" s="0" t="s">
        <v>1108</v>
      </c>
    </row>
    <row customHeight="1" ht="11.25">
      <c r="A25" s="525" t="s">
        <v>14</v>
      </c>
      <c r="B25" s="0" t="s">
        <v>4777</v>
      </c>
      <c r="C25" s="0" t="s">
        <v>4778</v>
      </c>
      <c r="D25" s="0" t="s">
        <v>4779</v>
      </c>
      <c r="E25" s="0" t="s">
        <v>4780</v>
      </c>
      <c r="F25" s="0" t="s">
        <v>4740</v>
      </c>
      <c r="G25" s="0" t="s">
        <v>481</v>
      </c>
    </row>
    <row customHeight="1" ht="11.25">
      <c r="A26" s="525" t="s">
        <v>14</v>
      </c>
      <c r="B26" s="0" t="s">
        <v>4777</v>
      </c>
      <c r="C26" s="0" t="s">
        <v>4778</v>
      </c>
      <c r="D26" s="0" t="s">
        <v>4781</v>
      </c>
      <c r="E26" s="0" t="s">
        <v>4782</v>
      </c>
      <c r="F26" s="0" t="s">
        <v>4740</v>
      </c>
      <c r="G26" s="0" t="s">
        <v>480</v>
      </c>
    </row>
    <row customHeight="1" ht="11.25">
      <c r="A27" s="525" t="s">
        <v>14</v>
      </c>
      <c r="B27" s="0" t="s">
        <v>4777</v>
      </c>
      <c r="C27" s="0" t="s">
        <v>4778</v>
      </c>
      <c r="D27" s="0" t="s">
        <v>4783</v>
      </c>
      <c r="E27" s="0" t="s">
        <v>4784</v>
      </c>
      <c r="F27" s="0" t="s">
        <v>4740</v>
      </c>
      <c r="G27" s="0" t="s">
        <v>727</v>
      </c>
    </row>
    <row customHeight="1" ht="11.25">
      <c r="A28" s="525" t="s">
        <v>14</v>
      </c>
      <c r="B28" s="0" t="s">
        <v>4777</v>
      </c>
      <c r="C28" s="0" t="s">
        <v>4778</v>
      </c>
      <c r="D28" s="0" t="s">
        <v>4785</v>
      </c>
      <c r="E28" s="0" t="s">
        <v>4786</v>
      </c>
      <c r="F28" s="0" t="s">
        <v>4740</v>
      </c>
      <c r="G28" s="0" t="s">
        <v>463</v>
      </c>
    </row>
    <row customHeight="1" ht="11.25">
      <c r="A29" s="525" t="s">
        <v>14</v>
      </c>
      <c r="B29" s="0" t="s">
        <v>4787</v>
      </c>
      <c r="C29" s="0" t="s">
        <v>4788</v>
      </c>
      <c r="D29" s="0" t="s">
        <v>4787</v>
      </c>
      <c r="E29" s="0" t="s">
        <v>4788</v>
      </c>
      <c r="F29" s="0" t="s">
        <v>4731</v>
      </c>
      <c r="G29" s="0" t="s">
        <v>1128</v>
      </c>
    </row>
    <row customHeight="1" ht="11.25">
      <c r="A30" s="525" t="s">
        <v>14</v>
      </c>
      <c r="B30" s="0" t="s">
        <v>4787</v>
      </c>
      <c r="C30" s="0" t="s">
        <v>4788</v>
      </c>
      <c r="D30" s="0" t="s">
        <v>4789</v>
      </c>
      <c r="E30" s="0" t="s">
        <v>4790</v>
      </c>
      <c r="F30" s="0" t="s">
        <v>4734</v>
      </c>
      <c r="G30" s="0" t="s">
        <v>1131</v>
      </c>
    </row>
    <row customHeight="1" ht="11.25">
      <c r="A31" s="525" t="s">
        <v>14</v>
      </c>
      <c r="B31" s="0" t="s">
        <v>4787</v>
      </c>
      <c r="C31" s="0" t="s">
        <v>4788</v>
      </c>
      <c r="D31" s="0" t="s">
        <v>4791</v>
      </c>
      <c r="E31" s="0" t="s">
        <v>4792</v>
      </c>
      <c r="F31" s="0" t="s">
        <v>4740</v>
      </c>
      <c r="G31" s="0" t="s">
        <v>1137</v>
      </c>
    </row>
    <row customHeight="1" ht="11.25">
      <c r="A32" s="525" t="s">
        <v>14</v>
      </c>
      <c r="B32" s="0" t="s">
        <v>4787</v>
      </c>
      <c r="C32" s="0" t="s">
        <v>4788</v>
      </c>
      <c r="D32" s="0" t="s">
        <v>4793</v>
      </c>
      <c r="E32" s="0" t="s">
        <v>4794</v>
      </c>
      <c r="F32" s="0" t="s">
        <v>4740</v>
      </c>
      <c r="G32" s="0" t="s">
        <v>1139</v>
      </c>
    </row>
    <row customHeight="1" ht="11.25">
      <c r="A33" s="525" t="s">
        <v>14</v>
      </c>
      <c r="B33" s="0" t="s">
        <v>4787</v>
      </c>
      <c r="C33" s="0" t="s">
        <v>4788</v>
      </c>
      <c r="D33" s="0" t="s">
        <v>4795</v>
      </c>
      <c r="E33" s="0" t="s">
        <v>4796</v>
      </c>
      <c r="F33" s="0" t="s">
        <v>4740</v>
      </c>
      <c r="G33" s="0" t="s">
        <v>1141</v>
      </c>
    </row>
    <row customHeight="1" ht="11.25">
      <c r="A34" s="525" t="s">
        <v>14</v>
      </c>
      <c r="B34" s="0" t="s">
        <v>4787</v>
      </c>
      <c r="C34" s="0" t="s">
        <v>4788</v>
      </c>
      <c r="D34" s="0" t="s">
        <v>4797</v>
      </c>
      <c r="E34" s="0" t="s">
        <v>4798</v>
      </c>
      <c r="F34" s="0" t="s">
        <v>4740</v>
      </c>
      <c r="G34" s="0" t="s">
        <v>1143</v>
      </c>
    </row>
    <row customHeight="1" ht="11.25">
      <c r="A35" s="525" t="s">
        <v>14</v>
      </c>
      <c r="B35" s="0" t="s">
        <v>4787</v>
      </c>
      <c r="C35" s="0" t="s">
        <v>4788</v>
      </c>
      <c r="D35" s="0" t="s">
        <v>4799</v>
      </c>
      <c r="E35" s="0" t="s">
        <v>4800</v>
      </c>
      <c r="F35" s="0" t="s">
        <v>4740</v>
      </c>
      <c r="G35" s="0" t="s">
        <v>1148</v>
      </c>
    </row>
    <row customHeight="1" ht="11.25">
      <c r="A36" s="525" t="s">
        <v>14</v>
      </c>
      <c r="B36" s="0" t="s">
        <v>4787</v>
      </c>
      <c r="C36" s="0" t="s">
        <v>4788</v>
      </c>
      <c r="D36" s="0" t="s">
        <v>4801</v>
      </c>
      <c r="E36" s="0" t="s">
        <v>4802</v>
      </c>
      <c r="F36" s="0" t="s">
        <v>4740</v>
      </c>
      <c r="G36" s="0" t="s">
        <v>1153</v>
      </c>
    </row>
    <row customHeight="1" ht="11.25">
      <c r="A37" s="525" t="s">
        <v>14</v>
      </c>
      <c r="B37" s="0" t="s">
        <v>4787</v>
      </c>
      <c r="C37" s="0" t="s">
        <v>4788</v>
      </c>
      <c r="D37" s="0" t="s">
        <v>4803</v>
      </c>
      <c r="E37" s="0" t="s">
        <v>4804</v>
      </c>
      <c r="F37" s="0" t="s">
        <v>4740</v>
      </c>
      <c r="G37" s="0" t="s">
        <v>1157</v>
      </c>
    </row>
    <row customHeight="1" ht="11.25">
      <c r="A38" s="525" t="s">
        <v>14</v>
      </c>
      <c r="B38" s="0" t="s">
        <v>4787</v>
      </c>
      <c r="C38" s="0" t="s">
        <v>4788</v>
      </c>
      <c r="D38" s="0" t="s">
        <v>4775</v>
      </c>
      <c r="E38" s="0" t="s">
        <v>4805</v>
      </c>
      <c r="F38" s="0" t="s">
        <v>4740</v>
      </c>
      <c r="G38" s="0" t="s">
        <v>1165</v>
      </c>
    </row>
    <row customHeight="1" ht="11.25">
      <c r="A39" s="525" t="s">
        <v>14</v>
      </c>
      <c r="B39" s="0" t="s">
        <v>4787</v>
      </c>
      <c r="C39" s="0" t="s">
        <v>4788</v>
      </c>
      <c r="D39" s="0" t="s">
        <v>4806</v>
      </c>
      <c r="E39" s="0" t="s">
        <v>4807</v>
      </c>
      <c r="F39" s="0" t="s">
        <v>4740</v>
      </c>
      <c r="G39" s="0" t="s">
        <v>1171</v>
      </c>
    </row>
    <row customHeight="1" ht="11.25">
      <c r="A40" s="525" t="s">
        <v>14</v>
      </c>
      <c r="B40" s="0" t="s">
        <v>4787</v>
      </c>
      <c r="C40" s="0" t="s">
        <v>4788</v>
      </c>
      <c r="D40" s="0" t="s">
        <v>4808</v>
      </c>
      <c r="E40" s="0" t="s">
        <v>4809</v>
      </c>
      <c r="F40" s="0" t="s">
        <v>4740</v>
      </c>
      <c r="G40" s="0" t="s">
        <v>1177</v>
      </c>
    </row>
    <row customHeight="1" ht="11.25">
      <c r="A41" s="525" t="s">
        <v>14</v>
      </c>
      <c r="B41" s="0" t="s">
        <v>4810</v>
      </c>
      <c r="C41" s="0" t="s">
        <v>4811</v>
      </c>
      <c r="D41" s="0" t="s">
        <v>4812</v>
      </c>
      <c r="E41" s="0" t="s">
        <v>4813</v>
      </c>
      <c r="F41" s="0" t="s">
        <v>4740</v>
      </c>
      <c r="G41" s="0" t="s">
        <v>1183</v>
      </c>
    </row>
    <row customHeight="1" ht="11.25">
      <c r="A42" s="525" t="s">
        <v>14</v>
      </c>
      <c r="B42" s="0" t="s">
        <v>4810</v>
      </c>
      <c r="C42" s="0" t="s">
        <v>4811</v>
      </c>
      <c r="D42" s="0" t="s">
        <v>4814</v>
      </c>
      <c r="E42" s="0" t="s">
        <v>4815</v>
      </c>
      <c r="F42" s="0" t="s">
        <v>4740</v>
      </c>
      <c r="G42" s="0" t="s">
        <v>1188</v>
      </c>
    </row>
    <row customHeight="1" ht="11.25">
      <c r="A43" s="525" t="s">
        <v>14</v>
      </c>
      <c r="B43" s="0" t="s">
        <v>4810</v>
      </c>
      <c r="C43" s="0" t="s">
        <v>4811</v>
      </c>
      <c r="D43" s="0" t="s">
        <v>4810</v>
      </c>
      <c r="E43" s="0" t="s">
        <v>4811</v>
      </c>
      <c r="F43" s="0" t="s">
        <v>4731</v>
      </c>
      <c r="G43" s="0" t="s">
        <v>1195</v>
      </c>
    </row>
    <row customHeight="1" ht="11.25">
      <c r="A44" s="525" t="s">
        <v>14</v>
      </c>
      <c r="B44" s="0" t="s">
        <v>4810</v>
      </c>
      <c r="C44" s="0" t="s">
        <v>4811</v>
      </c>
      <c r="D44" s="0" t="s">
        <v>4816</v>
      </c>
      <c r="E44" s="0" t="s">
        <v>4817</v>
      </c>
      <c r="F44" s="0" t="s">
        <v>4740</v>
      </c>
      <c r="G44" s="0" t="s">
        <v>1204</v>
      </c>
    </row>
    <row customHeight="1" ht="11.25">
      <c r="A45" s="525" t="s">
        <v>14</v>
      </c>
      <c r="B45" s="0" t="s">
        <v>4810</v>
      </c>
      <c r="C45" s="0" t="s">
        <v>4811</v>
      </c>
      <c r="D45" s="0" t="s">
        <v>4818</v>
      </c>
      <c r="E45" s="0" t="s">
        <v>4819</v>
      </c>
      <c r="F45" s="0" t="s">
        <v>4740</v>
      </c>
      <c r="G45" s="0" t="s">
        <v>1210</v>
      </c>
    </row>
    <row customHeight="1" ht="11.25">
      <c r="A46" s="525" t="s">
        <v>14</v>
      </c>
      <c r="B46" s="0" t="s">
        <v>4810</v>
      </c>
      <c r="C46" s="0" t="s">
        <v>4811</v>
      </c>
      <c r="D46" s="0" t="s">
        <v>4820</v>
      </c>
      <c r="E46" s="0" t="s">
        <v>4821</v>
      </c>
      <c r="F46" s="0" t="s">
        <v>4740</v>
      </c>
      <c r="G46" s="0" t="s">
        <v>482</v>
      </c>
    </row>
    <row customHeight="1" ht="11.25">
      <c r="A47" s="525" t="s">
        <v>14</v>
      </c>
      <c r="B47" s="0" t="s">
        <v>4810</v>
      </c>
      <c r="C47" s="0" t="s">
        <v>4811</v>
      </c>
      <c r="D47" s="0" t="s">
        <v>4822</v>
      </c>
      <c r="E47" s="0" t="s">
        <v>4823</v>
      </c>
      <c r="F47" s="0" t="s">
        <v>4740</v>
      </c>
      <c r="G47" s="0" t="s">
        <v>1219</v>
      </c>
    </row>
    <row customHeight="1" ht="11.25">
      <c r="A48" s="525" t="s">
        <v>14</v>
      </c>
      <c r="B48" s="0" t="s">
        <v>4810</v>
      </c>
      <c r="C48" s="0" t="s">
        <v>4811</v>
      </c>
      <c r="D48" s="0" t="s">
        <v>4824</v>
      </c>
      <c r="E48" s="0" t="s">
        <v>4825</v>
      </c>
      <c r="F48" s="0" t="s">
        <v>4740</v>
      </c>
      <c r="G48" s="0" t="s">
        <v>728</v>
      </c>
    </row>
    <row customHeight="1" ht="11.25">
      <c r="A49" s="525" t="s">
        <v>14</v>
      </c>
      <c r="B49" s="0" t="s">
        <v>4810</v>
      </c>
      <c r="C49" s="0" t="s">
        <v>4811</v>
      </c>
      <c r="D49" s="0" t="s">
        <v>4826</v>
      </c>
      <c r="E49" s="0" t="s">
        <v>4827</v>
      </c>
      <c r="F49" s="0" t="s">
        <v>4740</v>
      </c>
      <c r="G49" s="0" t="s">
        <v>1228</v>
      </c>
    </row>
    <row customHeight="1" ht="11.25">
      <c r="A50" s="525" t="s">
        <v>14</v>
      </c>
      <c r="B50" s="0" t="s">
        <v>4828</v>
      </c>
      <c r="C50" s="0" t="s">
        <v>4829</v>
      </c>
      <c r="D50" s="0" t="s">
        <v>4830</v>
      </c>
      <c r="E50" s="0" t="s">
        <v>4831</v>
      </c>
      <c r="F50" s="0" t="s">
        <v>4740</v>
      </c>
      <c r="G50" s="0" t="s">
        <v>1232</v>
      </c>
    </row>
    <row customHeight="1" ht="11.25">
      <c r="A51" s="525" t="s">
        <v>14</v>
      </c>
      <c r="B51" s="0" t="s">
        <v>4828</v>
      </c>
      <c r="C51" s="0" t="s">
        <v>4829</v>
      </c>
      <c r="D51" s="0" t="s">
        <v>4832</v>
      </c>
      <c r="E51" s="0" t="s">
        <v>4833</v>
      </c>
      <c r="F51" s="0" t="s">
        <v>4740</v>
      </c>
      <c r="G51" s="0" t="s">
        <v>1236</v>
      </c>
    </row>
    <row customHeight="1" ht="11.25">
      <c r="A52" s="525" t="s">
        <v>14</v>
      </c>
      <c r="B52" s="0" t="s">
        <v>4828</v>
      </c>
      <c r="C52" s="0" t="s">
        <v>4829</v>
      </c>
      <c r="D52" s="0" t="s">
        <v>4834</v>
      </c>
      <c r="E52" s="0" t="s">
        <v>4835</v>
      </c>
      <c r="F52" s="0" t="s">
        <v>4740</v>
      </c>
      <c r="G52" s="0" t="s">
        <v>1240</v>
      </c>
    </row>
    <row customHeight="1" ht="11.25">
      <c r="A53" s="525" t="s">
        <v>14</v>
      </c>
      <c r="B53" s="0" t="s">
        <v>4828</v>
      </c>
      <c r="C53" s="0" t="s">
        <v>4829</v>
      </c>
      <c r="D53" s="0" t="s">
        <v>4836</v>
      </c>
      <c r="E53" s="0" t="s">
        <v>4837</v>
      </c>
      <c r="F53" s="0" t="s">
        <v>4740</v>
      </c>
      <c r="G53" s="0" t="s">
        <v>1242</v>
      </c>
    </row>
    <row customHeight="1" ht="11.25">
      <c r="A54" s="525" t="s">
        <v>14</v>
      </c>
      <c r="B54" s="0" t="s">
        <v>4828</v>
      </c>
      <c r="C54" s="0" t="s">
        <v>4829</v>
      </c>
      <c r="D54" s="0" t="s">
        <v>4828</v>
      </c>
      <c r="E54" s="0" t="s">
        <v>4829</v>
      </c>
      <c r="F54" s="0" t="s">
        <v>4731</v>
      </c>
      <c r="G54" s="0" t="s">
        <v>1245</v>
      </c>
    </row>
    <row customHeight="1" ht="11.25">
      <c r="A55" s="525" t="s">
        <v>14</v>
      </c>
      <c r="B55" s="0" t="s">
        <v>4828</v>
      </c>
      <c r="C55" s="0" t="s">
        <v>4829</v>
      </c>
      <c r="D55" s="0" t="s">
        <v>4838</v>
      </c>
      <c r="E55" s="0" t="s">
        <v>4839</v>
      </c>
      <c r="F55" s="0" t="s">
        <v>4740</v>
      </c>
      <c r="G55" s="0" t="s">
        <v>1249</v>
      </c>
    </row>
    <row customHeight="1" ht="11.25">
      <c r="A56" s="525" t="s">
        <v>14</v>
      </c>
      <c r="B56" s="0" t="s">
        <v>4828</v>
      </c>
      <c r="C56" s="0" t="s">
        <v>4829</v>
      </c>
      <c r="D56" s="0" t="s">
        <v>4840</v>
      </c>
      <c r="E56" s="0" t="s">
        <v>4841</v>
      </c>
      <c r="F56" s="0" t="s">
        <v>4740</v>
      </c>
      <c r="G56" s="0" t="s">
        <v>1252</v>
      </c>
    </row>
    <row customHeight="1" ht="11.25">
      <c r="A57" s="525" t="s">
        <v>14</v>
      </c>
      <c r="B57" s="0" t="s">
        <v>4828</v>
      </c>
      <c r="C57" s="0" t="s">
        <v>4829</v>
      </c>
      <c r="D57" s="0" t="s">
        <v>4842</v>
      </c>
      <c r="E57" s="0" t="s">
        <v>4843</v>
      </c>
      <c r="F57" s="0" t="s">
        <v>4740</v>
      </c>
      <c r="G57" s="0" t="s">
        <v>1255</v>
      </c>
    </row>
    <row customHeight="1" ht="11.25">
      <c r="A58" s="525" t="s">
        <v>14</v>
      </c>
      <c r="B58" s="0" t="s">
        <v>4828</v>
      </c>
      <c r="C58" s="0" t="s">
        <v>4829</v>
      </c>
      <c r="D58" s="0" t="s">
        <v>4844</v>
      </c>
      <c r="E58" s="0" t="s">
        <v>4845</v>
      </c>
      <c r="F58" s="0" t="s">
        <v>4740</v>
      </c>
      <c r="G58" s="0" t="s">
        <v>1258</v>
      </c>
    </row>
    <row customHeight="1" ht="11.25">
      <c r="A59" s="525" t="s">
        <v>14</v>
      </c>
      <c r="B59" s="0" t="s">
        <v>4828</v>
      </c>
      <c r="C59" s="0" t="s">
        <v>4829</v>
      </c>
      <c r="D59" s="0" t="s">
        <v>4846</v>
      </c>
      <c r="E59" s="0" t="s">
        <v>4847</v>
      </c>
      <c r="F59" s="0" t="s">
        <v>4740</v>
      </c>
      <c r="G59" s="0" t="s">
        <v>1262</v>
      </c>
    </row>
    <row customHeight="1" ht="11.25">
      <c r="A60" s="525" t="s">
        <v>14</v>
      </c>
      <c r="B60" s="0" t="s">
        <v>4828</v>
      </c>
      <c r="C60" s="0" t="s">
        <v>4829</v>
      </c>
      <c r="D60" s="0" t="s">
        <v>4848</v>
      </c>
      <c r="E60" s="0" t="s">
        <v>4849</v>
      </c>
      <c r="F60" s="0" t="s">
        <v>4740</v>
      </c>
      <c r="G60" s="0" t="s">
        <v>1265</v>
      </c>
    </row>
    <row customHeight="1" ht="11.25">
      <c r="A61" s="525" t="s">
        <v>14</v>
      </c>
      <c r="B61" s="0" t="s">
        <v>4850</v>
      </c>
      <c r="C61" s="0" t="s">
        <v>4851</v>
      </c>
      <c r="D61" s="0" t="s">
        <v>4850</v>
      </c>
      <c r="E61" s="0" t="s">
        <v>4851</v>
      </c>
      <c r="F61" s="0" t="s">
        <v>4852</v>
      </c>
      <c r="G61" s="0" t="s">
        <v>4853</v>
      </c>
    </row>
    <row customHeight="1" ht="11.25">
      <c r="A62" s="525" t="s">
        <v>14</v>
      </c>
      <c r="B62" s="0" t="s">
        <v>100</v>
      </c>
      <c r="C62" s="0" t="s">
        <v>101</v>
      </c>
      <c r="D62" s="0" t="s">
        <v>100</v>
      </c>
      <c r="E62" s="0" t="s">
        <v>101</v>
      </c>
      <c r="F62" s="0" t="s">
        <v>4852</v>
      </c>
      <c r="G62" s="0" t="s">
        <v>99</v>
      </c>
    </row>
    <row customHeight="1" ht="11.25">
      <c r="A63" s="525" t="s">
        <v>14</v>
      </c>
      <c r="B63" s="0" t="s">
        <v>4854</v>
      </c>
      <c r="C63" s="0" t="s">
        <v>4855</v>
      </c>
      <c r="D63" s="0" t="s">
        <v>4854</v>
      </c>
      <c r="E63" s="0" t="s">
        <v>4855</v>
      </c>
      <c r="F63" s="0" t="s">
        <v>4852</v>
      </c>
      <c r="G63" s="0" t="s">
        <v>4856</v>
      </c>
    </row>
    <row customHeight="1" ht="11.25">
      <c r="A64" s="525" t="s">
        <v>14</v>
      </c>
      <c r="B64" s="0" t="s">
        <v>4857</v>
      </c>
      <c r="C64" s="0" t="s">
        <v>4858</v>
      </c>
      <c r="D64" s="0" t="s">
        <v>4857</v>
      </c>
      <c r="E64" s="0" t="s">
        <v>4858</v>
      </c>
      <c r="F64" s="0" t="s">
        <v>4852</v>
      </c>
      <c r="G64" s="0" t="s">
        <v>4859</v>
      </c>
    </row>
    <row customHeight="1" ht="11.25">
      <c r="A65" s="525" t="s">
        <v>14</v>
      </c>
      <c r="B65" s="0" t="s">
        <v>4860</v>
      </c>
      <c r="C65" s="0" t="s">
        <v>4861</v>
      </c>
      <c r="D65" s="0" t="s">
        <v>4860</v>
      </c>
      <c r="E65" s="0" t="s">
        <v>4861</v>
      </c>
      <c r="F65" s="0" t="s">
        <v>4852</v>
      </c>
      <c r="G65" s="0" t="s">
        <v>4862</v>
      </c>
    </row>
    <row customHeight="1" ht="11.25">
      <c r="A66" s="525" t="s">
        <v>14</v>
      </c>
      <c r="B66" s="0" t="s">
        <v>4863</v>
      </c>
      <c r="C66" s="0" t="s">
        <v>4864</v>
      </c>
      <c r="D66" s="0" t="s">
        <v>4863</v>
      </c>
      <c r="E66" s="0" t="s">
        <v>4864</v>
      </c>
      <c r="F66" s="0" t="s">
        <v>4852</v>
      </c>
      <c r="G66" s="0" t="s">
        <v>4865</v>
      </c>
    </row>
    <row customHeight="1" ht="11.25">
      <c r="A67" s="525" t="s">
        <v>14</v>
      </c>
      <c r="B67" s="0" t="s">
        <v>105</v>
      </c>
      <c r="C67" s="0" t="s">
        <v>106</v>
      </c>
      <c r="D67" s="0" t="s">
        <v>105</v>
      </c>
      <c r="E67" s="0" t="s">
        <v>106</v>
      </c>
      <c r="F67" s="0" t="s">
        <v>4852</v>
      </c>
      <c r="G67" s="0" t="s">
        <v>104</v>
      </c>
    </row>
    <row customHeight="1" ht="11.25">
      <c r="A68" s="525" t="s">
        <v>14</v>
      </c>
      <c r="B68" s="0" t="s">
        <v>4866</v>
      </c>
      <c r="C68" s="0" t="s">
        <v>4867</v>
      </c>
      <c r="D68" s="0" t="s">
        <v>4868</v>
      </c>
      <c r="E68" s="0" t="s">
        <v>4869</v>
      </c>
      <c r="F68" s="0" t="s">
        <v>4740</v>
      </c>
      <c r="G68" s="0" t="s">
        <v>4870</v>
      </c>
    </row>
    <row customHeight="1" ht="11.25">
      <c r="A69" s="525" t="s">
        <v>14</v>
      </c>
      <c r="B69" s="0" t="s">
        <v>4866</v>
      </c>
      <c r="C69" s="0" t="s">
        <v>4867</v>
      </c>
      <c r="D69" s="0" t="s">
        <v>4871</v>
      </c>
      <c r="E69" s="0" t="s">
        <v>4872</v>
      </c>
      <c r="F69" s="0" t="s">
        <v>4737</v>
      </c>
      <c r="G69" s="0" t="s">
        <v>729</v>
      </c>
    </row>
    <row customHeight="1" ht="11.25">
      <c r="A70" s="525" t="s">
        <v>14</v>
      </c>
      <c r="B70" s="0" t="s">
        <v>4866</v>
      </c>
      <c r="C70" s="0" t="s">
        <v>4867</v>
      </c>
      <c r="D70" s="0" t="s">
        <v>4866</v>
      </c>
      <c r="E70" s="0" t="s">
        <v>4867</v>
      </c>
      <c r="F70" s="0" t="s">
        <v>4731</v>
      </c>
      <c r="G70" s="0" t="s">
        <v>4873</v>
      </c>
    </row>
    <row customHeight="1" ht="11.25">
      <c r="A71" s="525" t="s">
        <v>14</v>
      </c>
      <c r="B71" s="0" t="s">
        <v>4866</v>
      </c>
      <c r="C71" s="0" t="s">
        <v>4867</v>
      </c>
      <c r="D71" s="0" t="s">
        <v>4874</v>
      </c>
      <c r="E71" s="0" t="s">
        <v>4875</v>
      </c>
      <c r="F71" s="0" t="s">
        <v>4734</v>
      </c>
      <c r="G71" s="0" t="s">
        <v>4876</v>
      </c>
    </row>
    <row customHeight="1" ht="11.25">
      <c r="A72" s="525" t="s">
        <v>14</v>
      </c>
      <c r="B72" s="0" t="s">
        <v>4866</v>
      </c>
      <c r="C72" s="0" t="s">
        <v>4867</v>
      </c>
      <c r="D72" s="0" t="s">
        <v>4877</v>
      </c>
      <c r="E72" s="0" t="s">
        <v>4878</v>
      </c>
      <c r="F72" s="0" t="s">
        <v>4740</v>
      </c>
      <c r="G72" s="0" t="s">
        <v>4879</v>
      </c>
    </row>
    <row customHeight="1" ht="11.25">
      <c r="A73" s="525" t="s">
        <v>14</v>
      </c>
      <c r="B73" s="0" t="s">
        <v>4866</v>
      </c>
      <c r="C73" s="0" t="s">
        <v>4867</v>
      </c>
      <c r="D73" s="0" t="s">
        <v>4880</v>
      </c>
      <c r="E73" s="0" t="s">
        <v>4881</v>
      </c>
      <c r="F73" s="0" t="s">
        <v>4737</v>
      </c>
      <c r="G73" s="0" t="s">
        <v>4882</v>
      </c>
    </row>
    <row customHeight="1" ht="11.25">
      <c r="A74" s="525" t="s">
        <v>14</v>
      </c>
      <c r="B74" s="0" t="s">
        <v>4866</v>
      </c>
      <c r="C74" s="0" t="s">
        <v>4867</v>
      </c>
      <c r="D74" s="0" t="s">
        <v>4883</v>
      </c>
      <c r="E74" s="0" t="s">
        <v>4884</v>
      </c>
      <c r="F74" s="0" t="s">
        <v>4740</v>
      </c>
      <c r="G74" s="0" t="s">
        <v>4885</v>
      </c>
    </row>
    <row customHeight="1" ht="11.25">
      <c r="A75" s="525" t="s">
        <v>14</v>
      </c>
      <c r="B75" s="0" t="s">
        <v>4866</v>
      </c>
      <c r="C75" s="0" t="s">
        <v>4867</v>
      </c>
      <c r="D75" s="0" t="s">
        <v>4886</v>
      </c>
      <c r="E75" s="0" t="s">
        <v>4887</v>
      </c>
      <c r="F75" s="0" t="s">
        <v>4740</v>
      </c>
      <c r="G75" s="0" t="s">
        <v>4888</v>
      </c>
    </row>
    <row customHeight="1" ht="11.25">
      <c r="A76" s="525" t="s">
        <v>14</v>
      </c>
      <c r="B76" s="0" t="s">
        <v>4866</v>
      </c>
      <c r="C76" s="0" t="s">
        <v>4867</v>
      </c>
      <c r="D76" s="0" t="s">
        <v>4889</v>
      </c>
      <c r="E76" s="0" t="s">
        <v>4890</v>
      </c>
      <c r="F76" s="0" t="s">
        <v>4740</v>
      </c>
      <c r="G76" s="0" t="s">
        <v>4891</v>
      </c>
    </row>
    <row customHeight="1" ht="11.25">
      <c r="A77" s="525" t="s">
        <v>14</v>
      </c>
      <c r="B77" s="0" t="s">
        <v>4866</v>
      </c>
      <c r="C77" s="0" t="s">
        <v>4867</v>
      </c>
      <c r="D77" s="0" t="s">
        <v>4892</v>
      </c>
      <c r="E77" s="0" t="s">
        <v>4893</v>
      </c>
      <c r="F77" s="0" t="s">
        <v>4740</v>
      </c>
      <c r="G77" s="0" t="s">
        <v>4894</v>
      </c>
    </row>
    <row customHeight="1" ht="11.25">
      <c r="A78" s="525" t="s">
        <v>14</v>
      </c>
      <c r="B78" s="0" t="s">
        <v>4866</v>
      </c>
      <c r="C78" s="0" t="s">
        <v>4867</v>
      </c>
      <c r="D78" s="0" t="s">
        <v>4895</v>
      </c>
      <c r="E78" s="0" t="s">
        <v>4896</v>
      </c>
      <c r="F78" s="0" t="s">
        <v>4740</v>
      </c>
      <c r="G78" s="0" t="s">
        <v>4897</v>
      </c>
    </row>
    <row customHeight="1" ht="11.25">
      <c r="A79" s="525" t="s">
        <v>14</v>
      </c>
      <c r="B79" s="0" t="s">
        <v>4866</v>
      </c>
      <c r="C79" s="0" t="s">
        <v>4867</v>
      </c>
      <c r="D79" s="0" t="s">
        <v>4898</v>
      </c>
      <c r="E79" s="0" t="s">
        <v>4899</v>
      </c>
      <c r="F79" s="0" t="s">
        <v>4740</v>
      </c>
      <c r="G79" s="0" t="s">
        <v>4900</v>
      </c>
    </row>
    <row customHeight="1" ht="11.25">
      <c r="A80" s="525" t="s">
        <v>14</v>
      </c>
      <c r="B80" s="0" t="s">
        <v>4866</v>
      </c>
      <c r="C80" s="0" t="s">
        <v>4867</v>
      </c>
      <c r="D80" s="0" t="s">
        <v>4901</v>
      </c>
      <c r="E80" s="0" t="s">
        <v>4902</v>
      </c>
      <c r="F80" s="0" t="s">
        <v>4740</v>
      </c>
      <c r="G80" s="0" t="s">
        <v>4903</v>
      </c>
    </row>
    <row customHeight="1" ht="11.25">
      <c r="A81" s="525" t="s">
        <v>14</v>
      </c>
      <c r="B81" s="0" t="s">
        <v>4866</v>
      </c>
      <c r="C81" s="0" t="s">
        <v>4867</v>
      </c>
      <c r="D81" s="0" t="s">
        <v>4904</v>
      </c>
      <c r="E81" s="0" t="s">
        <v>4905</v>
      </c>
      <c r="F81" s="0" t="s">
        <v>4740</v>
      </c>
      <c r="G81" s="0" t="s">
        <v>4906</v>
      </c>
    </row>
    <row customHeight="1" ht="11.25">
      <c r="A82" s="525" t="s">
        <v>14</v>
      </c>
      <c r="B82" s="0" t="s">
        <v>4866</v>
      </c>
      <c r="C82" s="0" t="s">
        <v>4867</v>
      </c>
      <c r="D82" s="0" t="s">
        <v>4907</v>
      </c>
      <c r="E82" s="0" t="s">
        <v>4908</v>
      </c>
      <c r="F82" s="0" t="s">
        <v>4740</v>
      </c>
      <c r="G82" s="0" t="s">
        <v>4909</v>
      </c>
    </row>
    <row customHeight="1" ht="11.25">
      <c r="A83" s="525" t="s">
        <v>14</v>
      </c>
      <c r="B83" s="0" t="s">
        <v>4866</v>
      </c>
      <c r="C83" s="0" t="s">
        <v>4867</v>
      </c>
      <c r="D83" s="0" t="s">
        <v>4910</v>
      </c>
      <c r="E83" s="0" t="s">
        <v>4911</v>
      </c>
      <c r="F83" s="0" t="s">
        <v>4740</v>
      </c>
      <c r="G83" s="0" t="s">
        <v>4912</v>
      </c>
    </row>
    <row customHeight="1" ht="11.25">
      <c r="A84" s="525" t="s">
        <v>14</v>
      </c>
      <c r="B84" s="0" t="s">
        <v>4913</v>
      </c>
      <c r="C84" s="0" t="s">
        <v>4914</v>
      </c>
      <c r="D84" s="0" t="s">
        <v>4915</v>
      </c>
      <c r="E84" s="0" t="s">
        <v>4916</v>
      </c>
      <c r="F84" s="0" t="s">
        <v>4740</v>
      </c>
      <c r="G84" s="0" t="s">
        <v>4917</v>
      </c>
    </row>
    <row customHeight="1" ht="11.25">
      <c r="A85" s="525" t="s">
        <v>14</v>
      </c>
      <c r="B85" s="0" t="s">
        <v>4913</v>
      </c>
      <c r="C85" s="0" t="s">
        <v>4914</v>
      </c>
      <c r="D85" s="0" t="s">
        <v>4918</v>
      </c>
      <c r="E85" s="0" t="s">
        <v>4919</v>
      </c>
      <c r="F85" s="0" t="s">
        <v>4740</v>
      </c>
      <c r="G85" s="0" t="s">
        <v>4920</v>
      </c>
    </row>
    <row customHeight="1" ht="11.25">
      <c r="A86" s="525" t="s">
        <v>14</v>
      </c>
      <c r="B86" s="0" t="s">
        <v>4913</v>
      </c>
      <c r="C86" s="0" t="s">
        <v>4914</v>
      </c>
      <c r="D86" s="0" t="s">
        <v>4913</v>
      </c>
      <c r="E86" s="0" t="s">
        <v>4914</v>
      </c>
      <c r="F86" s="0" t="s">
        <v>4731</v>
      </c>
      <c r="G86" s="0" t="s">
        <v>4921</v>
      </c>
    </row>
    <row customHeight="1" ht="11.25">
      <c r="A87" s="525" t="s">
        <v>14</v>
      </c>
      <c r="B87" s="0" t="s">
        <v>4913</v>
      </c>
      <c r="C87" s="0" t="s">
        <v>4914</v>
      </c>
      <c r="D87" s="0" t="s">
        <v>4922</v>
      </c>
      <c r="E87" s="0" t="s">
        <v>4923</v>
      </c>
      <c r="F87" s="0" t="s">
        <v>4740</v>
      </c>
      <c r="G87" s="0" t="s">
        <v>4924</v>
      </c>
    </row>
    <row customHeight="1" ht="11.25">
      <c r="A88" s="525" t="s">
        <v>14</v>
      </c>
      <c r="B88" s="0" t="s">
        <v>4913</v>
      </c>
      <c r="C88" s="0" t="s">
        <v>4914</v>
      </c>
      <c r="D88" s="0" t="s">
        <v>4925</v>
      </c>
      <c r="E88" s="0" t="s">
        <v>4926</v>
      </c>
      <c r="F88" s="0" t="s">
        <v>4740</v>
      </c>
      <c r="G88" s="0" t="s">
        <v>4927</v>
      </c>
    </row>
    <row customHeight="1" ht="11.25">
      <c r="A89" s="525" t="s">
        <v>14</v>
      </c>
      <c r="B89" s="0" t="s">
        <v>4913</v>
      </c>
      <c r="C89" s="0" t="s">
        <v>4914</v>
      </c>
      <c r="D89" s="0" t="s">
        <v>4928</v>
      </c>
      <c r="E89" s="0" t="s">
        <v>4929</v>
      </c>
      <c r="F89" s="0" t="s">
        <v>4740</v>
      </c>
      <c r="G89" s="0" t="s">
        <v>4930</v>
      </c>
    </row>
    <row customHeight="1" ht="11.25">
      <c r="A90" s="525" t="s">
        <v>14</v>
      </c>
      <c r="B90" s="0" t="s">
        <v>4913</v>
      </c>
      <c r="C90" s="0" t="s">
        <v>4914</v>
      </c>
      <c r="D90" s="0" t="s">
        <v>4931</v>
      </c>
      <c r="E90" s="0" t="s">
        <v>4932</v>
      </c>
      <c r="F90" s="0" t="s">
        <v>4740</v>
      </c>
      <c r="G90" s="0" t="s">
        <v>4933</v>
      </c>
    </row>
    <row customHeight="1" ht="11.25">
      <c r="A91" s="525" t="s">
        <v>14</v>
      </c>
      <c r="B91" s="0" t="s">
        <v>4913</v>
      </c>
      <c r="C91" s="0" t="s">
        <v>4914</v>
      </c>
      <c r="D91" s="0" t="s">
        <v>4934</v>
      </c>
      <c r="E91" s="0" t="s">
        <v>4935</v>
      </c>
      <c r="F91" s="0" t="s">
        <v>4740</v>
      </c>
      <c r="G91" s="0" t="s">
        <v>4936</v>
      </c>
    </row>
    <row customHeight="1" ht="11.25">
      <c r="A92" s="525" t="s">
        <v>14</v>
      </c>
      <c r="B92" s="0" t="s">
        <v>4913</v>
      </c>
      <c r="C92" s="0" t="s">
        <v>4914</v>
      </c>
      <c r="D92" s="0" t="s">
        <v>4937</v>
      </c>
      <c r="E92" s="0" t="s">
        <v>4938</v>
      </c>
      <c r="F92" s="0" t="s">
        <v>4740</v>
      </c>
      <c r="G92" s="0" t="s">
        <v>4939</v>
      </c>
    </row>
    <row customHeight="1" ht="11.25">
      <c r="A93" s="525" t="s">
        <v>14</v>
      </c>
      <c r="B93" s="0" t="s">
        <v>4913</v>
      </c>
      <c r="C93" s="0" t="s">
        <v>4914</v>
      </c>
      <c r="D93" s="0" t="s">
        <v>4940</v>
      </c>
      <c r="E93" s="0" t="s">
        <v>4941</v>
      </c>
      <c r="F93" s="0" t="s">
        <v>4740</v>
      </c>
      <c r="G93" s="0" t="s">
        <v>4942</v>
      </c>
    </row>
    <row customHeight="1" ht="11.25">
      <c r="A94" s="525" t="s">
        <v>14</v>
      </c>
      <c r="B94" s="0" t="s">
        <v>4913</v>
      </c>
      <c r="C94" s="0" t="s">
        <v>4914</v>
      </c>
      <c r="D94" s="0" t="s">
        <v>4943</v>
      </c>
      <c r="E94" s="0" t="s">
        <v>4944</v>
      </c>
      <c r="F94" s="0" t="s">
        <v>4740</v>
      </c>
      <c r="G94" s="0" t="s">
        <v>4945</v>
      </c>
    </row>
    <row customHeight="1" ht="11.25">
      <c r="A95" s="525" t="s">
        <v>14</v>
      </c>
      <c r="B95" s="0" t="s">
        <v>4946</v>
      </c>
      <c r="C95" s="0" t="s">
        <v>4947</v>
      </c>
      <c r="D95" s="0" t="s">
        <v>4948</v>
      </c>
      <c r="E95" s="0" t="s">
        <v>4949</v>
      </c>
      <c r="F95" s="0" t="s">
        <v>4740</v>
      </c>
      <c r="G95" s="0" t="s">
        <v>4950</v>
      </c>
    </row>
    <row customHeight="1" ht="11.25">
      <c r="A96" s="525" t="s">
        <v>14</v>
      </c>
      <c r="B96" s="0" t="s">
        <v>4946</v>
      </c>
      <c r="C96" s="0" t="s">
        <v>4947</v>
      </c>
      <c r="D96" s="0" t="s">
        <v>4951</v>
      </c>
      <c r="E96" s="0" t="s">
        <v>4952</v>
      </c>
      <c r="F96" s="0" t="s">
        <v>4740</v>
      </c>
      <c r="G96" s="0" t="s">
        <v>4953</v>
      </c>
    </row>
    <row customHeight="1" ht="11.25">
      <c r="A97" s="525" t="s">
        <v>14</v>
      </c>
      <c r="B97" s="0" t="s">
        <v>4946</v>
      </c>
      <c r="C97" s="0" t="s">
        <v>4947</v>
      </c>
      <c r="D97" s="0" t="s">
        <v>4946</v>
      </c>
      <c r="E97" s="0" t="s">
        <v>4947</v>
      </c>
      <c r="F97" s="0" t="s">
        <v>4731</v>
      </c>
      <c r="G97" s="0" t="s">
        <v>4954</v>
      </c>
    </row>
    <row customHeight="1" ht="11.25">
      <c r="A98" s="525" t="s">
        <v>14</v>
      </c>
      <c r="B98" s="0" t="s">
        <v>4946</v>
      </c>
      <c r="C98" s="0" t="s">
        <v>4947</v>
      </c>
      <c r="D98" s="0" t="s">
        <v>4955</v>
      </c>
      <c r="E98" s="0" t="s">
        <v>4956</v>
      </c>
      <c r="F98" s="0" t="s">
        <v>4740</v>
      </c>
      <c r="G98" s="0" t="s">
        <v>4957</v>
      </c>
    </row>
    <row customHeight="1" ht="11.25">
      <c r="A99" s="525" t="s">
        <v>14</v>
      </c>
      <c r="B99" s="0" t="s">
        <v>4946</v>
      </c>
      <c r="C99" s="0" t="s">
        <v>4947</v>
      </c>
      <c r="D99" s="0" t="s">
        <v>4958</v>
      </c>
      <c r="E99" s="0" t="s">
        <v>4959</v>
      </c>
      <c r="F99" s="0" t="s">
        <v>4734</v>
      </c>
      <c r="G99" s="0" t="s">
        <v>4960</v>
      </c>
    </row>
    <row customHeight="1" ht="11.25">
      <c r="A100" s="525" t="s">
        <v>14</v>
      </c>
      <c r="B100" s="0" t="s">
        <v>4946</v>
      </c>
      <c r="C100" s="0" t="s">
        <v>4947</v>
      </c>
      <c r="D100" s="0" t="s">
        <v>4961</v>
      </c>
      <c r="E100" s="0" t="s">
        <v>4962</v>
      </c>
      <c r="F100" s="0" t="s">
        <v>4740</v>
      </c>
      <c r="G100" s="0" t="s">
        <v>4963</v>
      </c>
    </row>
    <row customHeight="1" ht="11.25">
      <c r="A101" s="525" t="s">
        <v>14</v>
      </c>
      <c r="B101" s="0" t="s">
        <v>4946</v>
      </c>
      <c r="C101" s="0" t="s">
        <v>4947</v>
      </c>
      <c r="D101" s="0" t="s">
        <v>4964</v>
      </c>
      <c r="E101" s="0" t="s">
        <v>4965</v>
      </c>
      <c r="F101" s="0" t="s">
        <v>4740</v>
      </c>
      <c r="G101" s="0" t="s">
        <v>4966</v>
      </c>
    </row>
    <row customHeight="1" ht="11.25">
      <c r="A102" s="525" t="s">
        <v>14</v>
      </c>
      <c r="B102" s="0" t="s">
        <v>4946</v>
      </c>
      <c r="C102" s="0" t="s">
        <v>4947</v>
      </c>
      <c r="D102" s="0" t="s">
        <v>4967</v>
      </c>
      <c r="E102" s="0" t="s">
        <v>4968</v>
      </c>
      <c r="F102" s="0" t="s">
        <v>4740</v>
      </c>
      <c r="G102" s="0" t="s">
        <v>4969</v>
      </c>
    </row>
    <row customHeight="1" ht="11.25">
      <c r="A103" s="525" t="s">
        <v>14</v>
      </c>
      <c r="B103" s="0" t="s">
        <v>4946</v>
      </c>
      <c r="C103" s="0" t="s">
        <v>4947</v>
      </c>
      <c r="D103" s="0" t="s">
        <v>4970</v>
      </c>
      <c r="E103" s="0" t="s">
        <v>4971</v>
      </c>
      <c r="F103" s="0" t="s">
        <v>4740</v>
      </c>
      <c r="G103" s="0" t="s">
        <v>4972</v>
      </c>
    </row>
    <row customHeight="1" ht="11.25">
      <c r="A104" s="525" t="s">
        <v>14</v>
      </c>
      <c r="B104" s="0" t="s">
        <v>4946</v>
      </c>
      <c r="C104" s="0" t="s">
        <v>4947</v>
      </c>
      <c r="D104" s="0" t="s">
        <v>4973</v>
      </c>
      <c r="E104" s="0" t="s">
        <v>4974</v>
      </c>
      <c r="F104" s="0" t="s">
        <v>4740</v>
      </c>
      <c r="G104" s="0" t="s">
        <v>4975</v>
      </c>
    </row>
    <row customHeight="1" ht="11.25">
      <c r="A105" s="525" t="s">
        <v>14</v>
      </c>
      <c r="B105" s="0" t="s">
        <v>4946</v>
      </c>
      <c r="C105" s="0" t="s">
        <v>4947</v>
      </c>
      <c r="D105" s="0" t="s">
        <v>4976</v>
      </c>
      <c r="E105" s="0" t="s">
        <v>4977</v>
      </c>
      <c r="F105" s="0" t="s">
        <v>4740</v>
      </c>
      <c r="G105" s="0" t="s">
        <v>4978</v>
      </c>
    </row>
    <row customHeight="1" ht="11.25">
      <c r="A106" s="525" t="s">
        <v>14</v>
      </c>
      <c r="B106" s="0" t="s">
        <v>4946</v>
      </c>
      <c r="C106" s="0" t="s">
        <v>4947</v>
      </c>
      <c r="D106" s="0" t="s">
        <v>4979</v>
      </c>
      <c r="E106" s="0" t="s">
        <v>4980</v>
      </c>
      <c r="F106" s="0" t="s">
        <v>4740</v>
      </c>
      <c r="G106" s="0" t="s">
        <v>4981</v>
      </c>
    </row>
    <row customHeight="1" ht="11.25">
      <c r="A107" s="525" t="s">
        <v>14</v>
      </c>
      <c r="B107" s="0" t="s">
        <v>108</v>
      </c>
      <c r="C107" s="0" t="s">
        <v>4982</v>
      </c>
      <c r="D107" s="0" t="s">
        <v>4983</v>
      </c>
      <c r="E107" s="0" t="s">
        <v>4984</v>
      </c>
      <c r="F107" s="0" t="s">
        <v>4740</v>
      </c>
      <c r="G107" s="0" t="s">
        <v>4985</v>
      </c>
    </row>
    <row customHeight="1" ht="11.25">
      <c r="A108" s="525" t="s">
        <v>14</v>
      </c>
      <c r="B108" s="0" t="s">
        <v>108</v>
      </c>
      <c r="C108" s="0" t="s">
        <v>4982</v>
      </c>
      <c r="D108" s="0" t="s">
        <v>108</v>
      </c>
      <c r="E108" s="0" t="s">
        <v>4982</v>
      </c>
      <c r="F108" s="0" t="s">
        <v>4731</v>
      </c>
      <c r="G108" s="0" t="s">
        <v>4986</v>
      </c>
    </row>
    <row customHeight="1" ht="11.25">
      <c r="A109" s="525" t="s">
        <v>14</v>
      </c>
      <c r="B109" s="0" t="s">
        <v>108</v>
      </c>
      <c r="C109" s="0" t="s">
        <v>4982</v>
      </c>
      <c r="D109" s="0" t="s">
        <v>4987</v>
      </c>
      <c r="E109" s="0" t="s">
        <v>4988</v>
      </c>
      <c r="F109" s="0" t="s">
        <v>4740</v>
      </c>
      <c r="G109" s="0" t="s">
        <v>4989</v>
      </c>
    </row>
    <row customHeight="1" ht="11.25">
      <c r="A110" s="525" t="s">
        <v>14</v>
      </c>
      <c r="B110" s="0" t="s">
        <v>108</v>
      </c>
      <c r="C110" s="0" t="s">
        <v>4982</v>
      </c>
      <c r="D110" s="0" t="s">
        <v>4990</v>
      </c>
      <c r="E110" s="0" t="s">
        <v>4991</v>
      </c>
      <c r="F110" s="0" t="s">
        <v>4740</v>
      </c>
      <c r="G110" s="0" t="s">
        <v>4992</v>
      </c>
    </row>
    <row customHeight="1" ht="11.25">
      <c r="A111" s="525" t="s">
        <v>14</v>
      </c>
      <c r="B111" s="0" t="s">
        <v>108</v>
      </c>
      <c r="C111" s="0" t="s">
        <v>4982</v>
      </c>
      <c r="D111" s="0" t="s">
        <v>109</v>
      </c>
      <c r="E111" s="0" t="s">
        <v>110</v>
      </c>
      <c r="F111" s="0" t="s">
        <v>4734</v>
      </c>
      <c r="G111" s="0" t="s">
        <v>107</v>
      </c>
    </row>
    <row customHeight="1" ht="11.25">
      <c r="A112" s="525" t="s">
        <v>14</v>
      </c>
      <c r="B112" s="0" t="s">
        <v>108</v>
      </c>
      <c r="C112" s="0" t="s">
        <v>4982</v>
      </c>
      <c r="D112" s="0" t="s">
        <v>4993</v>
      </c>
      <c r="E112" s="0" t="s">
        <v>4994</v>
      </c>
      <c r="F112" s="0" t="s">
        <v>4740</v>
      </c>
      <c r="G112" s="0" t="s">
        <v>4995</v>
      </c>
    </row>
    <row customHeight="1" ht="11.25">
      <c r="A113" s="525" t="s">
        <v>14</v>
      </c>
      <c r="B113" s="0" t="s">
        <v>108</v>
      </c>
      <c r="C113" s="0" t="s">
        <v>4982</v>
      </c>
      <c r="D113" s="0" t="s">
        <v>4996</v>
      </c>
      <c r="E113" s="0" t="s">
        <v>4997</v>
      </c>
      <c r="F113" s="0" t="s">
        <v>4740</v>
      </c>
      <c r="G113" s="0" t="s">
        <v>4998</v>
      </c>
    </row>
    <row customHeight="1" ht="11.25">
      <c r="A114" s="525" t="s">
        <v>14</v>
      </c>
      <c r="B114" s="0" t="s">
        <v>108</v>
      </c>
      <c r="C114" s="0" t="s">
        <v>4982</v>
      </c>
      <c r="D114" s="0" t="s">
        <v>4999</v>
      </c>
      <c r="E114" s="0" t="s">
        <v>5000</v>
      </c>
      <c r="F114" s="0" t="s">
        <v>4740</v>
      </c>
      <c r="G114" s="0" t="s">
        <v>5001</v>
      </c>
    </row>
    <row customHeight="1" ht="11.25">
      <c r="A115" s="525" t="s">
        <v>14</v>
      </c>
      <c r="B115" s="0" t="s">
        <v>108</v>
      </c>
      <c r="C115" s="0" t="s">
        <v>4982</v>
      </c>
      <c r="D115" s="0" t="s">
        <v>5002</v>
      </c>
      <c r="E115" s="0" t="s">
        <v>5003</v>
      </c>
      <c r="F115" s="0" t="s">
        <v>4740</v>
      </c>
      <c r="G115" s="0" t="s">
        <v>5004</v>
      </c>
    </row>
    <row customHeight="1" ht="11.25">
      <c r="A116" s="525" t="s">
        <v>14</v>
      </c>
      <c r="B116" s="0" t="s">
        <v>108</v>
      </c>
      <c r="C116" s="0" t="s">
        <v>4982</v>
      </c>
      <c r="D116" s="0" t="s">
        <v>5005</v>
      </c>
      <c r="E116" s="0" t="s">
        <v>5006</v>
      </c>
      <c r="F116" s="0" t="s">
        <v>4740</v>
      </c>
      <c r="G116" s="0" t="s">
        <v>5007</v>
      </c>
    </row>
    <row customHeight="1" ht="11.25">
      <c r="A117" s="525" t="s">
        <v>14</v>
      </c>
      <c r="B117" s="0" t="s">
        <v>5008</v>
      </c>
      <c r="C117" s="0" t="s">
        <v>5009</v>
      </c>
      <c r="D117" s="0" t="s">
        <v>5010</v>
      </c>
      <c r="E117" s="0" t="s">
        <v>5011</v>
      </c>
      <c r="F117" s="0" t="s">
        <v>4740</v>
      </c>
      <c r="G117" s="0" t="s">
        <v>5012</v>
      </c>
    </row>
    <row customHeight="1" ht="11.25">
      <c r="A118" s="525" t="s">
        <v>14</v>
      </c>
      <c r="B118" s="0" t="s">
        <v>5008</v>
      </c>
      <c r="C118" s="0" t="s">
        <v>5009</v>
      </c>
      <c r="D118" s="0" t="s">
        <v>5013</v>
      </c>
      <c r="E118" s="0" t="s">
        <v>5014</v>
      </c>
      <c r="F118" s="0" t="s">
        <v>4740</v>
      </c>
      <c r="G118" s="0" t="s">
        <v>5015</v>
      </c>
    </row>
    <row customHeight="1" ht="11.25">
      <c r="A119" s="525" t="s">
        <v>14</v>
      </c>
      <c r="B119" s="0" t="s">
        <v>5008</v>
      </c>
      <c r="C119" s="0" t="s">
        <v>5009</v>
      </c>
      <c r="D119" s="0" t="s">
        <v>5016</v>
      </c>
      <c r="E119" s="0" t="s">
        <v>5017</v>
      </c>
      <c r="F119" s="0" t="s">
        <v>4740</v>
      </c>
      <c r="G119" s="0" t="s">
        <v>5018</v>
      </c>
    </row>
    <row customHeight="1" ht="11.25">
      <c r="A120" s="525" t="s">
        <v>14</v>
      </c>
      <c r="B120" s="0" t="s">
        <v>5008</v>
      </c>
      <c r="C120" s="0" t="s">
        <v>5009</v>
      </c>
      <c r="D120" s="0" t="s">
        <v>5019</v>
      </c>
      <c r="E120" s="0" t="s">
        <v>5020</v>
      </c>
      <c r="F120" s="0" t="s">
        <v>4740</v>
      </c>
      <c r="G120" s="0" t="s">
        <v>5021</v>
      </c>
    </row>
    <row customHeight="1" ht="11.25">
      <c r="A121" s="525" t="s">
        <v>14</v>
      </c>
      <c r="B121" s="0" t="s">
        <v>5008</v>
      </c>
      <c r="C121" s="0" t="s">
        <v>5009</v>
      </c>
      <c r="D121" s="0" t="s">
        <v>5008</v>
      </c>
      <c r="E121" s="0" t="s">
        <v>5009</v>
      </c>
      <c r="F121" s="0" t="s">
        <v>4731</v>
      </c>
      <c r="G121" s="0" t="s">
        <v>5022</v>
      </c>
    </row>
    <row customHeight="1" ht="11.25">
      <c r="A122" s="525" t="s">
        <v>14</v>
      </c>
      <c r="B122" s="0" t="s">
        <v>5008</v>
      </c>
      <c r="C122" s="0" t="s">
        <v>5009</v>
      </c>
      <c r="D122" s="0" t="s">
        <v>5023</v>
      </c>
      <c r="E122" s="0" t="s">
        <v>5024</v>
      </c>
      <c r="F122" s="0" t="s">
        <v>4740</v>
      </c>
      <c r="G122" s="0" t="s">
        <v>5025</v>
      </c>
    </row>
    <row customHeight="1" ht="11.25">
      <c r="A123" s="525" t="s">
        <v>14</v>
      </c>
      <c r="B123" s="0" t="s">
        <v>5008</v>
      </c>
      <c r="C123" s="0" t="s">
        <v>5009</v>
      </c>
      <c r="D123" s="0" t="s">
        <v>5026</v>
      </c>
      <c r="E123" s="0" t="s">
        <v>5027</v>
      </c>
      <c r="F123" s="0" t="s">
        <v>4740</v>
      </c>
      <c r="G123" s="0" t="s">
        <v>5028</v>
      </c>
    </row>
    <row customHeight="1" ht="11.25">
      <c r="A124" s="525" t="s">
        <v>14</v>
      </c>
      <c r="B124" s="0" t="s">
        <v>5008</v>
      </c>
      <c r="C124" s="0" t="s">
        <v>5009</v>
      </c>
      <c r="D124" s="0" t="s">
        <v>5029</v>
      </c>
      <c r="E124" s="0" t="s">
        <v>5030</v>
      </c>
      <c r="F124" s="0" t="s">
        <v>4740</v>
      </c>
      <c r="G124" s="0" t="s">
        <v>5031</v>
      </c>
    </row>
    <row customHeight="1" ht="11.25">
      <c r="A125" s="525" t="s">
        <v>14</v>
      </c>
      <c r="B125" s="0" t="s">
        <v>5008</v>
      </c>
      <c r="C125" s="0" t="s">
        <v>5009</v>
      </c>
      <c r="D125" s="0" t="s">
        <v>5032</v>
      </c>
      <c r="E125" s="0" t="s">
        <v>5033</v>
      </c>
      <c r="F125" s="0" t="s">
        <v>4740</v>
      </c>
      <c r="G125" s="0" t="s">
        <v>5034</v>
      </c>
    </row>
    <row customHeight="1" ht="11.25">
      <c r="A126" s="525" t="s">
        <v>14</v>
      </c>
      <c r="B126" s="0" t="s">
        <v>5035</v>
      </c>
      <c r="C126" s="0" t="s">
        <v>5036</v>
      </c>
      <c r="D126" s="0" t="s">
        <v>5037</v>
      </c>
      <c r="E126" s="0" t="s">
        <v>5038</v>
      </c>
      <c r="F126" s="0" t="s">
        <v>4740</v>
      </c>
      <c r="G126" s="0" t="s">
        <v>5039</v>
      </c>
    </row>
    <row customHeight="1" ht="11.25">
      <c r="A127" s="525" t="s">
        <v>14</v>
      </c>
      <c r="B127" s="0" t="s">
        <v>5035</v>
      </c>
      <c r="C127" s="0" t="s">
        <v>5036</v>
      </c>
      <c r="D127" s="0" t="s">
        <v>5035</v>
      </c>
      <c r="E127" s="0" t="s">
        <v>5036</v>
      </c>
      <c r="F127" s="0" t="s">
        <v>4731</v>
      </c>
      <c r="G127" s="0" t="s">
        <v>5040</v>
      </c>
    </row>
    <row customHeight="1" ht="11.25">
      <c r="A128" s="525" t="s">
        <v>14</v>
      </c>
      <c r="B128" s="0" t="s">
        <v>5035</v>
      </c>
      <c r="C128" s="0" t="s">
        <v>5036</v>
      </c>
      <c r="D128" s="0" t="s">
        <v>5041</v>
      </c>
      <c r="E128" s="0" t="s">
        <v>5042</v>
      </c>
      <c r="F128" s="0" t="s">
        <v>4740</v>
      </c>
      <c r="G128" s="0" t="s">
        <v>5043</v>
      </c>
    </row>
    <row customHeight="1" ht="11.25">
      <c r="A129" s="525" t="s">
        <v>14</v>
      </c>
      <c r="B129" s="0" t="s">
        <v>5035</v>
      </c>
      <c r="C129" s="0" t="s">
        <v>5036</v>
      </c>
      <c r="D129" s="0" t="s">
        <v>5044</v>
      </c>
      <c r="E129" s="0" t="s">
        <v>5045</v>
      </c>
      <c r="F129" s="0" t="s">
        <v>4740</v>
      </c>
      <c r="G129" s="0" t="s">
        <v>5046</v>
      </c>
    </row>
    <row customHeight="1" ht="11.25">
      <c r="A130" s="525" t="s">
        <v>14</v>
      </c>
      <c r="B130" s="0" t="s">
        <v>5035</v>
      </c>
      <c r="C130" s="0" t="s">
        <v>5036</v>
      </c>
      <c r="D130" s="0" t="s">
        <v>5047</v>
      </c>
      <c r="E130" s="0" t="s">
        <v>5048</v>
      </c>
      <c r="F130" s="0" t="s">
        <v>4740</v>
      </c>
      <c r="G130" s="0" t="s">
        <v>5049</v>
      </c>
    </row>
    <row customHeight="1" ht="11.25">
      <c r="A131" s="525" t="s">
        <v>14</v>
      </c>
      <c r="B131" s="0" t="s">
        <v>5035</v>
      </c>
      <c r="C131" s="0" t="s">
        <v>5036</v>
      </c>
      <c r="D131" s="0" t="s">
        <v>5050</v>
      </c>
      <c r="E131" s="0" t="s">
        <v>5051</v>
      </c>
      <c r="F131" s="0" t="s">
        <v>4740</v>
      </c>
      <c r="G131" s="0" t="s">
        <v>5052</v>
      </c>
    </row>
    <row customHeight="1" ht="11.25">
      <c r="A132" s="525" t="s">
        <v>14</v>
      </c>
      <c r="B132" s="0" t="s">
        <v>5035</v>
      </c>
      <c r="C132" s="0" t="s">
        <v>5036</v>
      </c>
      <c r="D132" s="0" t="s">
        <v>5053</v>
      </c>
      <c r="E132" s="0" t="s">
        <v>5054</v>
      </c>
      <c r="F132" s="0" t="s">
        <v>4740</v>
      </c>
      <c r="G132" s="0" t="s">
        <v>5055</v>
      </c>
    </row>
    <row customHeight="1" ht="11.25">
      <c r="A133" s="525" t="s">
        <v>14</v>
      </c>
      <c r="B133" s="0" t="s">
        <v>5035</v>
      </c>
      <c r="C133" s="0" t="s">
        <v>5036</v>
      </c>
      <c r="D133" s="0" t="s">
        <v>5056</v>
      </c>
      <c r="E133" s="0" t="s">
        <v>5057</v>
      </c>
      <c r="F133" s="0" t="s">
        <v>4740</v>
      </c>
      <c r="G133" s="0" t="s">
        <v>5058</v>
      </c>
    </row>
    <row customHeight="1" ht="11.25">
      <c r="A134" s="525" t="s">
        <v>14</v>
      </c>
      <c r="B134" s="0" t="s">
        <v>5035</v>
      </c>
      <c r="C134" s="0" t="s">
        <v>5036</v>
      </c>
      <c r="D134" s="0" t="s">
        <v>5059</v>
      </c>
      <c r="E134" s="0" t="s">
        <v>5060</v>
      </c>
      <c r="F134" s="0" t="s">
        <v>4740</v>
      </c>
      <c r="G134" s="0" t="s">
        <v>5061</v>
      </c>
    </row>
    <row customHeight="1" ht="11.25">
      <c r="A135" s="525" t="s">
        <v>14</v>
      </c>
      <c r="B135" s="0" t="s">
        <v>5035</v>
      </c>
      <c r="C135" s="0" t="s">
        <v>5036</v>
      </c>
      <c r="D135" s="0" t="s">
        <v>5062</v>
      </c>
      <c r="E135" s="0" t="s">
        <v>5063</v>
      </c>
      <c r="F135" s="0" t="s">
        <v>4740</v>
      </c>
      <c r="G135" s="0" t="s">
        <v>5064</v>
      </c>
    </row>
    <row customHeight="1" ht="11.25">
      <c r="A136" s="525" t="s">
        <v>14</v>
      </c>
      <c r="B136" s="0" t="s">
        <v>5065</v>
      </c>
      <c r="C136" s="0" t="s">
        <v>5066</v>
      </c>
      <c r="D136" s="0" t="s">
        <v>5067</v>
      </c>
      <c r="E136" s="0" t="s">
        <v>5068</v>
      </c>
      <c r="F136" s="0" t="s">
        <v>4740</v>
      </c>
      <c r="G136" s="0" t="s">
        <v>5069</v>
      </c>
    </row>
    <row customHeight="1" ht="11.25">
      <c r="A137" s="525" t="s">
        <v>14</v>
      </c>
      <c r="B137" s="0" t="s">
        <v>5065</v>
      </c>
      <c r="C137" s="0" t="s">
        <v>5066</v>
      </c>
      <c r="D137" s="0" t="s">
        <v>5070</v>
      </c>
      <c r="E137" s="0" t="s">
        <v>5071</v>
      </c>
      <c r="F137" s="0" t="s">
        <v>4740</v>
      </c>
      <c r="G137" s="0" t="s">
        <v>5072</v>
      </c>
    </row>
    <row customHeight="1" ht="11.25">
      <c r="A138" s="525" t="s">
        <v>14</v>
      </c>
      <c r="B138" s="0" t="s">
        <v>5065</v>
      </c>
      <c r="C138" s="0" t="s">
        <v>5066</v>
      </c>
      <c r="D138" s="0" t="s">
        <v>5073</v>
      </c>
      <c r="E138" s="0" t="s">
        <v>5074</v>
      </c>
      <c r="F138" s="0" t="s">
        <v>4740</v>
      </c>
      <c r="G138" s="0" t="s">
        <v>5075</v>
      </c>
    </row>
    <row customHeight="1" ht="11.25">
      <c r="A139" s="525" t="s">
        <v>14</v>
      </c>
      <c r="B139" s="0" t="s">
        <v>5065</v>
      </c>
      <c r="C139" s="0" t="s">
        <v>5066</v>
      </c>
      <c r="D139" s="0" t="s">
        <v>5076</v>
      </c>
      <c r="E139" s="0" t="s">
        <v>5077</v>
      </c>
      <c r="F139" s="0" t="s">
        <v>4740</v>
      </c>
      <c r="G139" s="0" t="s">
        <v>5078</v>
      </c>
    </row>
    <row customHeight="1" ht="11.25">
      <c r="A140" s="525" t="s">
        <v>14</v>
      </c>
      <c r="B140" s="0" t="s">
        <v>5065</v>
      </c>
      <c r="C140" s="0" t="s">
        <v>5066</v>
      </c>
      <c r="D140" s="0" t="s">
        <v>5065</v>
      </c>
      <c r="E140" s="0" t="s">
        <v>5066</v>
      </c>
      <c r="F140" s="0" t="s">
        <v>4731</v>
      </c>
      <c r="G140" s="0" t="s">
        <v>5079</v>
      </c>
    </row>
    <row customHeight="1" ht="11.25">
      <c r="A141" s="525" t="s">
        <v>14</v>
      </c>
      <c r="B141" s="0" t="s">
        <v>5065</v>
      </c>
      <c r="C141" s="0" t="s">
        <v>5066</v>
      </c>
      <c r="D141" s="0" t="s">
        <v>5080</v>
      </c>
      <c r="E141" s="0" t="s">
        <v>5081</v>
      </c>
      <c r="F141" s="0" t="s">
        <v>4734</v>
      </c>
      <c r="G141" s="0" t="s">
        <v>5082</v>
      </c>
    </row>
    <row customHeight="1" ht="11.25">
      <c r="A142" s="525" t="s">
        <v>14</v>
      </c>
      <c r="B142" s="0" t="s">
        <v>5065</v>
      </c>
      <c r="C142" s="0" t="s">
        <v>5066</v>
      </c>
      <c r="D142" s="0" t="s">
        <v>5083</v>
      </c>
      <c r="E142" s="0" t="s">
        <v>5084</v>
      </c>
      <c r="F142" s="0" t="s">
        <v>4740</v>
      </c>
      <c r="G142" s="0" t="s">
        <v>5085</v>
      </c>
    </row>
    <row customHeight="1" ht="11.25">
      <c r="A143" s="525" t="s">
        <v>14</v>
      </c>
      <c r="B143" s="0" t="s">
        <v>5065</v>
      </c>
      <c r="C143" s="0" t="s">
        <v>5066</v>
      </c>
      <c r="D143" s="0" t="s">
        <v>5086</v>
      </c>
      <c r="E143" s="0" t="s">
        <v>5087</v>
      </c>
      <c r="F143" s="0" t="s">
        <v>4740</v>
      </c>
      <c r="G143" s="0" t="s">
        <v>5088</v>
      </c>
    </row>
    <row customHeight="1" ht="11.25">
      <c r="A144" s="525" t="s">
        <v>14</v>
      </c>
      <c r="B144" s="0" t="s">
        <v>5065</v>
      </c>
      <c r="C144" s="0" t="s">
        <v>5066</v>
      </c>
      <c r="D144" s="0" t="s">
        <v>5089</v>
      </c>
      <c r="E144" s="0" t="s">
        <v>5090</v>
      </c>
      <c r="F144" s="0" t="s">
        <v>4740</v>
      </c>
      <c r="G144" s="0" t="s">
        <v>5091</v>
      </c>
    </row>
    <row customHeight="1" ht="11.25">
      <c r="A145" s="525" t="s">
        <v>14</v>
      </c>
      <c r="B145" s="0" t="s">
        <v>5065</v>
      </c>
      <c r="C145" s="0" t="s">
        <v>5066</v>
      </c>
      <c r="D145" s="0" t="s">
        <v>5092</v>
      </c>
      <c r="E145" s="0" t="s">
        <v>5093</v>
      </c>
      <c r="F145" s="0" t="s">
        <v>4740</v>
      </c>
      <c r="G145" s="0" t="s">
        <v>5094</v>
      </c>
    </row>
    <row customHeight="1" ht="11.25">
      <c r="A146" s="525" t="s">
        <v>14</v>
      </c>
      <c r="B146" s="0" t="s">
        <v>5065</v>
      </c>
      <c r="C146" s="0" t="s">
        <v>5066</v>
      </c>
      <c r="D146" s="0" t="s">
        <v>5095</v>
      </c>
      <c r="E146" s="0" t="s">
        <v>5096</v>
      </c>
      <c r="F146" s="0" t="s">
        <v>4740</v>
      </c>
      <c r="G146" s="0" t="s">
        <v>5097</v>
      </c>
    </row>
    <row customHeight="1" ht="11.25">
      <c r="A147" s="525" t="s">
        <v>14</v>
      </c>
      <c r="B147" s="0" t="s">
        <v>5098</v>
      </c>
      <c r="C147" s="0" t="s">
        <v>5099</v>
      </c>
      <c r="D147" s="0" t="s">
        <v>5100</v>
      </c>
      <c r="E147" s="0" t="s">
        <v>5101</v>
      </c>
      <c r="F147" s="0" t="s">
        <v>4740</v>
      </c>
      <c r="G147" s="0" t="s">
        <v>5102</v>
      </c>
    </row>
    <row customHeight="1" ht="11.25">
      <c r="A148" s="525" t="s">
        <v>14</v>
      </c>
      <c r="B148" s="0" t="s">
        <v>5098</v>
      </c>
      <c r="C148" s="0" t="s">
        <v>5099</v>
      </c>
      <c r="D148" s="0" t="s">
        <v>5098</v>
      </c>
      <c r="E148" s="0" t="s">
        <v>5099</v>
      </c>
      <c r="F148" s="0" t="s">
        <v>4731</v>
      </c>
      <c r="G148" s="0" t="s">
        <v>5103</v>
      </c>
    </row>
    <row customHeight="1" ht="11.25">
      <c r="A149" s="525" t="s">
        <v>14</v>
      </c>
      <c r="B149" s="0" t="s">
        <v>5098</v>
      </c>
      <c r="C149" s="0" t="s">
        <v>5099</v>
      </c>
      <c r="D149" s="0" t="s">
        <v>5104</v>
      </c>
      <c r="E149" s="0" t="s">
        <v>5105</v>
      </c>
      <c r="F149" s="0" t="s">
        <v>4740</v>
      </c>
      <c r="G149" s="0" t="s">
        <v>5106</v>
      </c>
    </row>
    <row customHeight="1" ht="11.25">
      <c r="A150" s="525" t="s">
        <v>14</v>
      </c>
      <c r="B150" s="0" t="s">
        <v>5098</v>
      </c>
      <c r="C150" s="0" t="s">
        <v>5099</v>
      </c>
      <c r="D150" s="0" t="s">
        <v>5107</v>
      </c>
      <c r="E150" s="0" t="s">
        <v>5108</v>
      </c>
      <c r="F150" s="0" t="s">
        <v>4740</v>
      </c>
      <c r="G150" s="0" t="s">
        <v>5109</v>
      </c>
    </row>
    <row customHeight="1" ht="11.25">
      <c r="A151" s="525" t="s">
        <v>14</v>
      </c>
      <c r="B151" s="0" t="s">
        <v>5098</v>
      </c>
      <c r="C151" s="0" t="s">
        <v>5099</v>
      </c>
      <c r="D151" s="0" t="s">
        <v>5110</v>
      </c>
      <c r="E151" s="0" t="s">
        <v>5111</v>
      </c>
      <c r="F151" s="0" t="s">
        <v>4740</v>
      </c>
      <c r="G151" s="0" t="s">
        <v>5112</v>
      </c>
    </row>
    <row customHeight="1" ht="11.25">
      <c r="A152" s="525" t="s">
        <v>14</v>
      </c>
      <c r="B152" s="0" t="s">
        <v>5098</v>
      </c>
      <c r="C152" s="0" t="s">
        <v>5099</v>
      </c>
      <c r="D152" s="0" t="s">
        <v>5113</v>
      </c>
      <c r="E152" s="0" t="s">
        <v>5114</v>
      </c>
      <c r="F152" s="0" t="s">
        <v>4740</v>
      </c>
      <c r="G152" s="0" t="s">
        <v>5115</v>
      </c>
    </row>
    <row customHeight="1" ht="11.25">
      <c r="A153" s="525" t="s">
        <v>14</v>
      </c>
      <c r="B153" s="0" t="s">
        <v>5098</v>
      </c>
      <c r="C153" s="0" t="s">
        <v>5099</v>
      </c>
      <c r="D153" s="0" t="s">
        <v>5116</v>
      </c>
      <c r="E153" s="0" t="s">
        <v>5117</v>
      </c>
      <c r="F153" s="0" t="s">
        <v>4740</v>
      </c>
      <c r="G153" s="0" t="s">
        <v>5118</v>
      </c>
    </row>
    <row customHeight="1" ht="11.25">
      <c r="A154" s="525" t="s">
        <v>14</v>
      </c>
      <c r="B154" s="0" t="s">
        <v>5098</v>
      </c>
      <c r="C154" s="0" t="s">
        <v>5099</v>
      </c>
      <c r="D154" s="0" t="s">
        <v>5119</v>
      </c>
      <c r="E154" s="0" t="s">
        <v>5120</v>
      </c>
      <c r="F154" s="0" t="s">
        <v>4740</v>
      </c>
      <c r="G154" s="0" t="s">
        <v>5121</v>
      </c>
    </row>
    <row customHeight="1" ht="11.25">
      <c r="A155" s="525" t="s">
        <v>14</v>
      </c>
      <c r="B155" s="0" t="s">
        <v>5098</v>
      </c>
      <c r="C155" s="0" t="s">
        <v>5099</v>
      </c>
      <c r="D155" s="0" t="s">
        <v>5122</v>
      </c>
      <c r="E155" s="0" t="s">
        <v>5123</v>
      </c>
      <c r="F155" s="0" t="s">
        <v>4740</v>
      </c>
      <c r="G155" s="0" t="s">
        <v>5124</v>
      </c>
    </row>
    <row customHeight="1" ht="11.25">
      <c r="A156" s="525" t="s">
        <v>14</v>
      </c>
      <c r="B156" s="0" t="s">
        <v>5098</v>
      </c>
      <c r="C156" s="0" t="s">
        <v>5099</v>
      </c>
      <c r="D156" s="0" t="s">
        <v>5125</v>
      </c>
      <c r="E156" s="0" t="s">
        <v>5126</v>
      </c>
      <c r="F156" s="0" t="s">
        <v>4740</v>
      </c>
      <c r="G156" s="0" t="s">
        <v>5127</v>
      </c>
    </row>
    <row customHeight="1" ht="11.25">
      <c r="A157" s="525" t="s">
        <v>14</v>
      </c>
      <c r="B157" s="0" t="s">
        <v>5098</v>
      </c>
      <c r="C157" s="0" t="s">
        <v>5099</v>
      </c>
      <c r="D157" s="0" t="s">
        <v>5128</v>
      </c>
      <c r="E157" s="0" t="s">
        <v>5129</v>
      </c>
      <c r="F157" s="0" t="s">
        <v>4740</v>
      </c>
      <c r="G157" s="0" t="s">
        <v>5130</v>
      </c>
    </row>
    <row customHeight="1" ht="11.25">
      <c r="A158" s="525" t="s">
        <v>14</v>
      </c>
      <c r="B158" s="0" t="s">
        <v>5131</v>
      </c>
      <c r="C158" s="0" t="s">
        <v>5132</v>
      </c>
      <c r="D158" s="0" t="s">
        <v>5131</v>
      </c>
      <c r="E158" s="0" t="s">
        <v>5132</v>
      </c>
      <c r="F158" s="0" t="s">
        <v>4731</v>
      </c>
      <c r="G158" s="0" t="s">
        <v>5133</v>
      </c>
    </row>
    <row customHeight="1" ht="11.25">
      <c r="A159" s="525" t="s">
        <v>14</v>
      </c>
      <c r="B159" s="0" t="s">
        <v>5131</v>
      </c>
      <c r="C159" s="0" t="s">
        <v>5132</v>
      </c>
      <c r="D159" s="0" t="s">
        <v>5134</v>
      </c>
      <c r="E159" s="0" t="s">
        <v>5135</v>
      </c>
      <c r="F159" s="0" t="s">
        <v>4740</v>
      </c>
      <c r="G159" s="0" t="s">
        <v>5136</v>
      </c>
    </row>
    <row customHeight="1" ht="11.25">
      <c r="A160" s="525" t="s">
        <v>14</v>
      </c>
      <c r="B160" s="0" t="s">
        <v>5131</v>
      </c>
      <c r="C160" s="0" t="s">
        <v>5132</v>
      </c>
      <c r="D160" s="0" t="s">
        <v>5137</v>
      </c>
      <c r="E160" s="0" t="s">
        <v>5138</v>
      </c>
      <c r="F160" s="0" t="s">
        <v>4740</v>
      </c>
      <c r="G160" s="0" t="s">
        <v>5139</v>
      </c>
    </row>
    <row customHeight="1" ht="11.25">
      <c r="A161" s="525" t="s">
        <v>14</v>
      </c>
      <c r="B161" s="0" t="s">
        <v>5131</v>
      </c>
      <c r="C161" s="0" t="s">
        <v>5132</v>
      </c>
      <c r="D161" s="0" t="s">
        <v>5140</v>
      </c>
      <c r="E161" s="0" t="s">
        <v>5141</v>
      </c>
      <c r="F161" s="0" t="s">
        <v>4740</v>
      </c>
      <c r="G161" s="0" t="s">
        <v>5142</v>
      </c>
    </row>
    <row customHeight="1" ht="11.25">
      <c r="A162" s="525" t="s">
        <v>14</v>
      </c>
      <c r="B162" s="0" t="s">
        <v>5131</v>
      </c>
      <c r="C162" s="0" t="s">
        <v>5132</v>
      </c>
      <c r="D162" s="0" t="s">
        <v>5143</v>
      </c>
      <c r="E162" s="0" t="s">
        <v>5144</v>
      </c>
      <c r="F162" s="0" t="s">
        <v>4740</v>
      </c>
      <c r="G162" s="0" t="s">
        <v>5145</v>
      </c>
    </row>
    <row customHeight="1" ht="11.25">
      <c r="A163" s="525" t="s">
        <v>14</v>
      </c>
      <c r="B163" s="0" t="s">
        <v>5131</v>
      </c>
      <c r="C163" s="0" t="s">
        <v>5132</v>
      </c>
      <c r="D163" s="0" t="s">
        <v>5110</v>
      </c>
      <c r="E163" s="0" t="s">
        <v>5146</v>
      </c>
      <c r="F163" s="0" t="s">
        <v>4740</v>
      </c>
      <c r="G163" s="0" t="s">
        <v>5147</v>
      </c>
    </row>
    <row customHeight="1" ht="11.25">
      <c r="A164" s="525" t="s">
        <v>14</v>
      </c>
      <c r="B164" s="0" t="s">
        <v>5131</v>
      </c>
      <c r="C164" s="0" t="s">
        <v>5132</v>
      </c>
      <c r="D164" s="0" t="s">
        <v>5148</v>
      </c>
      <c r="E164" s="0" t="s">
        <v>5149</v>
      </c>
      <c r="F164" s="0" t="s">
        <v>4740</v>
      </c>
      <c r="G164" s="0" t="s">
        <v>5150</v>
      </c>
    </row>
    <row customHeight="1" ht="11.25">
      <c r="A165" s="525" t="s">
        <v>14</v>
      </c>
      <c r="B165" s="0" t="s">
        <v>5151</v>
      </c>
      <c r="C165" s="0" t="s">
        <v>5152</v>
      </c>
      <c r="D165" s="0" t="s">
        <v>5153</v>
      </c>
      <c r="E165" s="0" t="s">
        <v>5154</v>
      </c>
      <c r="F165" s="0" t="s">
        <v>4740</v>
      </c>
      <c r="G165" s="0" t="s">
        <v>5155</v>
      </c>
    </row>
    <row customHeight="1" ht="11.25">
      <c r="A166" s="525" t="s">
        <v>14</v>
      </c>
      <c r="B166" s="0" t="s">
        <v>5151</v>
      </c>
      <c r="C166" s="0" t="s">
        <v>5152</v>
      </c>
      <c r="D166" s="0" t="s">
        <v>5156</v>
      </c>
      <c r="E166" s="0" t="s">
        <v>5157</v>
      </c>
      <c r="F166" s="0" t="s">
        <v>4740</v>
      </c>
      <c r="G166" s="0" t="s">
        <v>5158</v>
      </c>
    </row>
    <row customHeight="1" ht="11.25">
      <c r="A167" s="525" t="s">
        <v>14</v>
      </c>
      <c r="B167" s="0" t="s">
        <v>5151</v>
      </c>
      <c r="C167" s="0" t="s">
        <v>5152</v>
      </c>
      <c r="D167" s="0" t="s">
        <v>5159</v>
      </c>
      <c r="E167" s="0" t="s">
        <v>5160</v>
      </c>
      <c r="F167" s="0" t="s">
        <v>4740</v>
      </c>
      <c r="G167" s="0" t="s">
        <v>5161</v>
      </c>
    </row>
    <row customHeight="1" ht="11.25">
      <c r="A168" s="525" t="s">
        <v>14</v>
      </c>
      <c r="B168" s="0" t="s">
        <v>5151</v>
      </c>
      <c r="C168" s="0" t="s">
        <v>5152</v>
      </c>
      <c r="D168" s="0" t="s">
        <v>5162</v>
      </c>
      <c r="E168" s="0" t="s">
        <v>5163</v>
      </c>
      <c r="F168" s="0" t="s">
        <v>4740</v>
      </c>
      <c r="G168" s="0" t="s">
        <v>5164</v>
      </c>
    </row>
    <row customHeight="1" ht="11.25">
      <c r="A169" s="525" t="s">
        <v>14</v>
      </c>
      <c r="B169" s="0" t="s">
        <v>5151</v>
      </c>
      <c r="C169" s="0" t="s">
        <v>5152</v>
      </c>
      <c r="D169" s="0" t="s">
        <v>5151</v>
      </c>
      <c r="E169" s="0" t="s">
        <v>5152</v>
      </c>
      <c r="F169" s="0" t="s">
        <v>4731</v>
      </c>
      <c r="G169" s="0" t="s">
        <v>5165</v>
      </c>
    </row>
    <row customHeight="1" ht="11.25">
      <c r="A170" s="525" t="s">
        <v>14</v>
      </c>
      <c r="B170" s="0" t="s">
        <v>5151</v>
      </c>
      <c r="C170" s="0" t="s">
        <v>5152</v>
      </c>
      <c r="D170" s="0" t="s">
        <v>5166</v>
      </c>
      <c r="E170" s="0" t="s">
        <v>5167</v>
      </c>
      <c r="F170" s="0" t="s">
        <v>4734</v>
      </c>
      <c r="G170" s="0" t="s">
        <v>5168</v>
      </c>
    </row>
    <row customHeight="1" ht="11.25">
      <c r="A171" s="525" t="s">
        <v>14</v>
      </c>
      <c r="B171" s="0" t="s">
        <v>5151</v>
      </c>
      <c r="C171" s="0" t="s">
        <v>5152</v>
      </c>
      <c r="D171" s="0" t="s">
        <v>5169</v>
      </c>
      <c r="E171" s="0" t="s">
        <v>5170</v>
      </c>
      <c r="F171" s="0" t="s">
        <v>4740</v>
      </c>
      <c r="G171" s="0" t="s">
        <v>5171</v>
      </c>
    </row>
    <row customHeight="1" ht="11.25">
      <c r="A172" s="525" t="s">
        <v>14</v>
      </c>
      <c r="B172" s="0" t="s">
        <v>5151</v>
      </c>
      <c r="C172" s="0" t="s">
        <v>5152</v>
      </c>
      <c r="D172" s="0" t="s">
        <v>5172</v>
      </c>
      <c r="E172" s="0" t="s">
        <v>5173</v>
      </c>
      <c r="F172" s="0" t="s">
        <v>4740</v>
      </c>
      <c r="G172" s="0" t="s">
        <v>5174</v>
      </c>
    </row>
    <row customHeight="1" ht="11.25">
      <c r="A173" s="525" t="s">
        <v>14</v>
      </c>
      <c r="B173" s="0" t="s">
        <v>5151</v>
      </c>
      <c r="C173" s="0" t="s">
        <v>5152</v>
      </c>
      <c r="D173" s="0" t="s">
        <v>5175</v>
      </c>
      <c r="E173" s="0" t="s">
        <v>5176</v>
      </c>
      <c r="F173" s="0" t="s">
        <v>4740</v>
      </c>
      <c r="G173" s="0" t="s">
        <v>5177</v>
      </c>
    </row>
    <row customHeight="1" ht="11.25">
      <c r="A174" s="525" t="s">
        <v>14</v>
      </c>
      <c r="B174" s="0" t="s">
        <v>5151</v>
      </c>
      <c r="C174" s="0" t="s">
        <v>5152</v>
      </c>
      <c r="D174" s="0" t="s">
        <v>5178</v>
      </c>
      <c r="E174" s="0" t="s">
        <v>5179</v>
      </c>
      <c r="F174" s="0" t="s">
        <v>4740</v>
      </c>
      <c r="G174" s="0" t="s">
        <v>5180</v>
      </c>
    </row>
    <row customHeight="1" ht="11.25">
      <c r="A175" s="525" t="s">
        <v>14</v>
      </c>
      <c r="B175" s="0" t="s">
        <v>5151</v>
      </c>
      <c r="C175" s="0" t="s">
        <v>5152</v>
      </c>
      <c r="D175" s="0" t="s">
        <v>5181</v>
      </c>
      <c r="E175" s="0" t="s">
        <v>5182</v>
      </c>
      <c r="F175" s="0" t="s">
        <v>4740</v>
      </c>
      <c r="G175" s="0" t="s">
        <v>5183</v>
      </c>
    </row>
    <row customHeight="1" ht="11.25">
      <c r="A176" s="525" t="s">
        <v>14</v>
      </c>
      <c r="B176" s="0" t="s">
        <v>5151</v>
      </c>
      <c r="C176" s="0" t="s">
        <v>5152</v>
      </c>
      <c r="D176" s="0" t="s">
        <v>5184</v>
      </c>
      <c r="E176" s="0" t="s">
        <v>5185</v>
      </c>
      <c r="F176" s="0" t="s">
        <v>4740</v>
      </c>
      <c r="G176" s="0" t="s">
        <v>5186</v>
      </c>
    </row>
    <row customHeight="1" ht="11.25">
      <c r="A177" s="525" t="s">
        <v>14</v>
      </c>
      <c r="B177" s="0" t="s">
        <v>5187</v>
      </c>
      <c r="C177" s="0" t="s">
        <v>5188</v>
      </c>
      <c r="D177" s="0" t="s">
        <v>5189</v>
      </c>
      <c r="E177" s="0" t="s">
        <v>5190</v>
      </c>
      <c r="F177" s="0" t="s">
        <v>4740</v>
      </c>
      <c r="G177" s="0" t="s">
        <v>5191</v>
      </c>
    </row>
    <row customHeight="1" ht="11.25">
      <c r="A178" s="525" t="s">
        <v>14</v>
      </c>
      <c r="B178" s="0" t="s">
        <v>5187</v>
      </c>
      <c r="C178" s="0" t="s">
        <v>5188</v>
      </c>
      <c r="D178" s="0" t="s">
        <v>5192</v>
      </c>
      <c r="E178" s="0" t="s">
        <v>5193</v>
      </c>
      <c r="F178" s="0" t="s">
        <v>4740</v>
      </c>
      <c r="G178" s="0" t="s">
        <v>5194</v>
      </c>
    </row>
    <row customHeight="1" ht="11.25">
      <c r="A179" s="525" t="s">
        <v>14</v>
      </c>
      <c r="B179" s="0" t="s">
        <v>5187</v>
      </c>
      <c r="C179" s="0" t="s">
        <v>5188</v>
      </c>
      <c r="D179" s="0" t="s">
        <v>5195</v>
      </c>
      <c r="E179" s="0" t="s">
        <v>5196</v>
      </c>
      <c r="F179" s="0" t="s">
        <v>4740</v>
      </c>
      <c r="G179" s="0" t="s">
        <v>5197</v>
      </c>
    </row>
    <row customHeight="1" ht="11.25">
      <c r="A180" s="525" t="s">
        <v>14</v>
      </c>
      <c r="B180" s="0" t="s">
        <v>5187</v>
      </c>
      <c r="C180" s="0" t="s">
        <v>5188</v>
      </c>
      <c r="D180" s="0" t="s">
        <v>5187</v>
      </c>
      <c r="E180" s="0" t="s">
        <v>5188</v>
      </c>
      <c r="F180" s="0" t="s">
        <v>4731</v>
      </c>
      <c r="G180" s="0" t="s">
        <v>5198</v>
      </c>
    </row>
    <row customHeight="1" ht="11.25">
      <c r="A181" s="525" t="s">
        <v>14</v>
      </c>
      <c r="B181" s="0" t="s">
        <v>5187</v>
      </c>
      <c r="C181" s="0" t="s">
        <v>5188</v>
      </c>
      <c r="D181" s="0" t="s">
        <v>5199</v>
      </c>
      <c r="E181" s="0" t="s">
        <v>5200</v>
      </c>
      <c r="F181" s="0" t="s">
        <v>4734</v>
      </c>
      <c r="G181" s="0" t="s">
        <v>5201</v>
      </c>
    </row>
    <row customHeight="1" ht="11.25">
      <c r="A182" s="525" t="s">
        <v>14</v>
      </c>
      <c r="B182" s="0" t="s">
        <v>5187</v>
      </c>
      <c r="C182" s="0" t="s">
        <v>5188</v>
      </c>
      <c r="D182" s="0" t="s">
        <v>5202</v>
      </c>
      <c r="E182" s="0" t="s">
        <v>5203</v>
      </c>
      <c r="F182" s="0" t="s">
        <v>4740</v>
      </c>
      <c r="G182" s="0" t="s">
        <v>5204</v>
      </c>
    </row>
    <row customHeight="1" ht="11.25">
      <c r="A183" s="525" t="s">
        <v>14</v>
      </c>
      <c r="B183" s="0" t="s">
        <v>5187</v>
      </c>
      <c r="C183" s="0" t="s">
        <v>5188</v>
      </c>
      <c r="D183" s="0" t="s">
        <v>5205</v>
      </c>
      <c r="E183" s="0" t="s">
        <v>5206</v>
      </c>
      <c r="F183" s="0" t="s">
        <v>4740</v>
      </c>
      <c r="G183" s="0" t="s">
        <v>5207</v>
      </c>
    </row>
    <row customHeight="1" ht="11.25">
      <c r="A184" s="525" t="s">
        <v>14</v>
      </c>
      <c r="B184" s="0" t="s">
        <v>5187</v>
      </c>
      <c r="C184" s="0" t="s">
        <v>5188</v>
      </c>
      <c r="D184" s="0" t="s">
        <v>5110</v>
      </c>
      <c r="E184" s="0" t="s">
        <v>5208</v>
      </c>
      <c r="F184" s="0" t="s">
        <v>4740</v>
      </c>
      <c r="G184" s="0" t="s">
        <v>5209</v>
      </c>
    </row>
    <row customHeight="1" ht="11.25">
      <c r="A185" s="525" t="s">
        <v>14</v>
      </c>
      <c r="B185" s="0" t="s">
        <v>5187</v>
      </c>
      <c r="C185" s="0" t="s">
        <v>5188</v>
      </c>
      <c r="D185" s="0" t="s">
        <v>5210</v>
      </c>
      <c r="E185" s="0" t="s">
        <v>5211</v>
      </c>
      <c r="F185" s="0" t="s">
        <v>4740</v>
      </c>
      <c r="G185" s="0" t="s">
        <v>5212</v>
      </c>
    </row>
    <row customHeight="1" ht="11.25">
      <c r="A186" s="525" t="s">
        <v>14</v>
      </c>
      <c r="B186" s="0" t="s">
        <v>5187</v>
      </c>
      <c r="C186" s="0" t="s">
        <v>5188</v>
      </c>
      <c r="D186" s="0" t="s">
        <v>4801</v>
      </c>
      <c r="E186" s="0" t="s">
        <v>5213</v>
      </c>
      <c r="F186" s="0" t="s">
        <v>4740</v>
      </c>
      <c r="G186" s="0" t="s">
        <v>5214</v>
      </c>
    </row>
    <row customHeight="1" ht="11.25">
      <c r="A187" s="525" t="s">
        <v>14</v>
      </c>
      <c r="B187" s="0" t="s">
        <v>5187</v>
      </c>
      <c r="C187" s="0" t="s">
        <v>5188</v>
      </c>
      <c r="D187" s="0" t="s">
        <v>5215</v>
      </c>
      <c r="E187" s="0" t="s">
        <v>5216</v>
      </c>
      <c r="F187" s="0" t="s">
        <v>4740</v>
      </c>
      <c r="G187" s="0" t="s">
        <v>5217</v>
      </c>
    </row>
    <row customHeight="1" ht="11.25">
      <c r="A188" s="525" t="s">
        <v>14</v>
      </c>
      <c r="B188" s="0" t="s">
        <v>5218</v>
      </c>
      <c r="C188" s="0" t="s">
        <v>5219</v>
      </c>
      <c r="D188" s="0" t="s">
        <v>5220</v>
      </c>
      <c r="E188" s="0" t="s">
        <v>5221</v>
      </c>
      <c r="F188" s="0" t="s">
        <v>4740</v>
      </c>
      <c r="G188" s="0" t="s">
        <v>5222</v>
      </c>
    </row>
    <row customHeight="1" ht="11.25">
      <c r="A189" s="525" t="s">
        <v>14</v>
      </c>
      <c r="B189" s="0" t="s">
        <v>5218</v>
      </c>
      <c r="C189" s="0" t="s">
        <v>5219</v>
      </c>
      <c r="D189" s="0" t="s">
        <v>5223</v>
      </c>
      <c r="E189" s="0" t="s">
        <v>5224</v>
      </c>
      <c r="F189" s="0" t="s">
        <v>4740</v>
      </c>
      <c r="G189" s="0" t="s">
        <v>5225</v>
      </c>
    </row>
    <row customHeight="1" ht="11.25">
      <c r="A190" s="525" t="s">
        <v>14</v>
      </c>
      <c r="B190" s="0" t="s">
        <v>5218</v>
      </c>
      <c r="C190" s="0" t="s">
        <v>5219</v>
      </c>
      <c r="D190" s="0" t="s">
        <v>5226</v>
      </c>
      <c r="E190" s="0" t="s">
        <v>5227</v>
      </c>
      <c r="F190" s="0" t="s">
        <v>4740</v>
      </c>
      <c r="G190" s="0" t="s">
        <v>5228</v>
      </c>
    </row>
    <row customHeight="1" ht="11.25">
      <c r="A191" s="525" t="s">
        <v>14</v>
      </c>
      <c r="B191" s="0" t="s">
        <v>5218</v>
      </c>
      <c r="C191" s="0" t="s">
        <v>5219</v>
      </c>
      <c r="D191" s="0" t="s">
        <v>5229</v>
      </c>
      <c r="E191" s="0" t="s">
        <v>5230</v>
      </c>
      <c r="F191" s="0" t="s">
        <v>4740</v>
      </c>
      <c r="G191" s="0" t="s">
        <v>5231</v>
      </c>
    </row>
    <row customHeight="1" ht="11.25">
      <c r="A192" s="525" t="s">
        <v>14</v>
      </c>
      <c r="B192" s="0" t="s">
        <v>5218</v>
      </c>
      <c r="C192" s="0" t="s">
        <v>5219</v>
      </c>
      <c r="D192" s="0" t="s">
        <v>4922</v>
      </c>
      <c r="E192" s="0" t="s">
        <v>5232</v>
      </c>
      <c r="F192" s="0" t="s">
        <v>4740</v>
      </c>
      <c r="G192" s="0" t="s">
        <v>5233</v>
      </c>
    </row>
    <row customHeight="1" ht="11.25">
      <c r="A193" s="525" t="s">
        <v>14</v>
      </c>
      <c r="B193" s="0" t="s">
        <v>5218</v>
      </c>
      <c r="C193" s="0" t="s">
        <v>5219</v>
      </c>
      <c r="D193" s="0" t="s">
        <v>5218</v>
      </c>
      <c r="E193" s="0" t="s">
        <v>5219</v>
      </c>
      <c r="F193" s="0" t="s">
        <v>4731</v>
      </c>
      <c r="G193" s="0" t="s">
        <v>5234</v>
      </c>
    </row>
    <row customHeight="1" ht="11.25">
      <c r="A194" s="525" t="s">
        <v>14</v>
      </c>
      <c r="B194" s="0" t="s">
        <v>5218</v>
      </c>
      <c r="C194" s="0" t="s">
        <v>5219</v>
      </c>
      <c r="D194" s="0" t="s">
        <v>5235</v>
      </c>
      <c r="E194" s="0" t="s">
        <v>5236</v>
      </c>
      <c r="F194" s="0" t="s">
        <v>4740</v>
      </c>
      <c r="G194" s="0" t="s">
        <v>5237</v>
      </c>
    </row>
    <row customHeight="1" ht="11.25">
      <c r="A195" s="525" t="s">
        <v>14</v>
      </c>
      <c r="B195" s="0" t="s">
        <v>5218</v>
      </c>
      <c r="C195" s="0" t="s">
        <v>5219</v>
      </c>
      <c r="D195" s="0" t="s">
        <v>5238</v>
      </c>
      <c r="E195" s="0" t="s">
        <v>5239</v>
      </c>
      <c r="F195" s="0" t="s">
        <v>4740</v>
      </c>
      <c r="G195" s="0" t="s">
        <v>5240</v>
      </c>
    </row>
    <row customHeight="1" ht="11.25">
      <c r="A196" s="525" t="s">
        <v>14</v>
      </c>
      <c r="B196" s="0" t="s">
        <v>5218</v>
      </c>
      <c r="C196" s="0" t="s">
        <v>5219</v>
      </c>
      <c r="D196" s="0" t="s">
        <v>4797</v>
      </c>
      <c r="E196" s="0" t="s">
        <v>5241</v>
      </c>
      <c r="F196" s="0" t="s">
        <v>4740</v>
      </c>
      <c r="G196" s="0" t="s">
        <v>5242</v>
      </c>
    </row>
    <row customHeight="1" ht="11.25">
      <c r="A197" s="525" t="s">
        <v>14</v>
      </c>
      <c r="B197" s="0" t="s">
        <v>5218</v>
      </c>
      <c r="C197" s="0" t="s">
        <v>5219</v>
      </c>
      <c r="D197" s="0" t="s">
        <v>5243</v>
      </c>
      <c r="E197" s="0" t="s">
        <v>5244</v>
      </c>
      <c r="F197" s="0" t="s">
        <v>4740</v>
      </c>
      <c r="G197" s="0" t="s">
        <v>5245</v>
      </c>
    </row>
    <row customHeight="1" ht="11.25">
      <c r="A198" s="525" t="s">
        <v>14</v>
      </c>
      <c r="B198" s="0" t="s">
        <v>5218</v>
      </c>
      <c r="C198" s="0" t="s">
        <v>5219</v>
      </c>
      <c r="D198" s="0" t="s">
        <v>5092</v>
      </c>
      <c r="E198" s="0" t="s">
        <v>5246</v>
      </c>
      <c r="F198" s="0" t="s">
        <v>4740</v>
      </c>
      <c r="G198" s="0" t="s">
        <v>5247</v>
      </c>
    </row>
    <row customHeight="1" ht="11.25">
      <c r="A199" s="525" t="s">
        <v>14</v>
      </c>
      <c r="B199" s="0" t="s">
        <v>5218</v>
      </c>
      <c r="C199" s="0" t="s">
        <v>5219</v>
      </c>
      <c r="D199" s="0" t="s">
        <v>5248</v>
      </c>
      <c r="E199" s="0" t="s">
        <v>5249</v>
      </c>
      <c r="F199" s="0" t="s">
        <v>4740</v>
      </c>
      <c r="G199" s="0" t="s">
        <v>5250</v>
      </c>
    </row>
    <row customHeight="1" ht="11.25">
      <c r="A200" s="525" t="s">
        <v>14</v>
      </c>
      <c r="B200" s="0" t="s">
        <v>5218</v>
      </c>
      <c r="C200" s="0" t="s">
        <v>5219</v>
      </c>
      <c r="D200" s="0" t="s">
        <v>5251</v>
      </c>
      <c r="E200" s="0" t="s">
        <v>5252</v>
      </c>
      <c r="F200" s="0" t="s">
        <v>4740</v>
      </c>
      <c r="G200" s="0" t="s">
        <v>5253</v>
      </c>
    </row>
    <row customHeight="1" ht="11.25">
      <c r="A201" s="525" t="s">
        <v>14</v>
      </c>
      <c r="B201" s="0" t="s">
        <v>5254</v>
      </c>
      <c r="C201" s="0" t="s">
        <v>5255</v>
      </c>
      <c r="D201" s="0" t="s">
        <v>5256</v>
      </c>
      <c r="E201" s="0" t="s">
        <v>5257</v>
      </c>
      <c r="F201" s="0" t="s">
        <v>4740</v>
      </c>
      <c r="G201" s="0" t="s">
        <v>5258</v>
      </c>
    </row>
    <row customHeight="1" ht="11.25">
      <c r="A202" s="525" t="s">
        <v>14</v>
      </c>
      <c r="B202" s="0" t="s">
        <v>5254</v>
      </c>
      <c r="C202" s="0" t="s">
        <v>5255</v>
      </c>
      <c r="D202" s="0" t="s">
        <v>5259</v>
      </c>
      <c r="E202" s="0" t="s">
        <v>5260</v>
      </c>
      <c r="F202" s="0" t="s">
        <v>4740</v>
      </c>
      <c r="G202" s="0" t="s">
        <v>5261</v>
      </c>
    </row>
    <row customHeight="1" ht="11.25">
      <c r="A203" s="525" t="s">
        <v>14</v>
      </c>
      <c r="B203" s="0" t="s">
        <v>5254</v>
      </c>
      <c r="C203" s="0" t="s">
        <v>5255</v>
      </c>
      <c r="D203" s="0" t="s">
        <v>5262</v>
      </c>
      <c r="E203" s="0" t="s">
        <v>5263</v>
      </c>
      <c r="F203" s="0" t="s">
        <v>4740</v>
      </c>
      <c r="G203" s="0" t="s">
        <v>5264</v>
      </c>
    </row>
    <row customHeight="1" ht="11.25">
      <c r="A204" s="525" t="s">
        <v>14</v>
      </c>
      <c r="B204" s="0" t="s">
        <v>5254</v>
      </c>
      <c r="C204" s="0" t="s">
        <v>5255</v>
      </c>
      <c r="D204" s="0" t="s">
        <v>5265</v>
      </c>
      <c r="E204" s="0" t="s">
        <v>5266</v>
      </c>
      <c r="F204" s="0" t="s">
        <v>4740</v>
      </c>
      <c r="G204" s="0" t="s">
        <v>5267</v>
      </c>
    </row>
    <row customHeight="1" ht="11.25">
      <c r="A205" s="525" t="s">
        <v>14</v>
      </c>
      <c r="B205" s="0" t="s">
        <v>5254</v>
      </c>
      <c r="C205" s="0" t="s">
        <v>5255</v>
      </c>
      <c r="D205" s="0" t="s">
        <v>5268</v>
      </c>
      <c r="E205" s="0" t="s">
        <v>5269</v>
      </c>
      <c r="F205" s="0" t="s">
        <v>4740</v>
      </c>
      <c r="G205" s="0" t="s">
        <v>5270</v>
      </c>
    </row>
    <row customHeight="1" ht="11.25">
      <c r="A206" s="525" t="s">
        <v>14</v>
      </c>
      <c r="B206" s="0" t="s">
        <v>5254</v>
      </c>
      <c r="C206" s="0" t="s">
        <v>5255</v>
      </c>
      <c r="D206" s="0" t="s">
        <v>5254</v>
      </c>
      <c r="E206" s="0" t="s">
        <v>5255</v>
      </c>
      <c r="F206" s="0" t="s">
        <v>4731</v>
      </c>
      <c r="G206" s="0" t="s">
        <v>5271</v>
      </c>
    </row>
    <row customHeight="1" ht="11.25">
      <c r="A207" s="525" t="s">
        <v>14</v>
      </c>
      <c r="B207" s="0" t="s">
        <v>5254</v>
      </c>
      <c r="C207" s="0" t="s">
        <v>5255</v>
      </c>
      <c r="D207" s="0" t="s">
        <v>5272</v>
      </c>
      <c r="E207" s="0" t="s">
        <v>5273</v>
      </c>
      <c r="F207" s="0" t="s">
        <v>4734</v>
      </c>
      <c r="G207" s="0" t="s">
        <v>5274</v>
      </c>
    </row>
    <row customHeight="1" ht="11.25">
      <c r="A208" s="525" t="s">
        <v>14</v>
      </c>
      <c r="B208" s="0" t="s">
        <v>5254</v>
      </c>
      <c r="C208" s="0" t="s">
        <v>5255</v>
      </c>
      <c r="D208" s="0" t="s">
        <v>5275</v>
      </c>
      <c r="E208" s="0" t="s">
        <v>5276</v>
      </c>
      <c r="F208" s="0" t="s">
        <v>4740</v>
      </c>
      <c r="G208" s="0" t="s">
        <v>5277</v>
      </c>
    </row>
    <row customHeight="1" ht="11.25">
      <c r="A209" s="525" t="s">
        <v>14</v>
      </c>
      <c r="B209" s="0" t="s">
        <v>5254</v>
      </c>
      <c r="C209" s="0" t="s">
        <v>5255</v>
      </c>
      <c r="D209" s="0" t="s">
        <v>5278</v>
      </c>
      <c r="E209" s="0" t="s">
        <v>5279</v>
      </c>
      <c r="F209" s="0" t="s">
        <v>4740</v>
      </c>
      <c r="G209" s="0" t="s">
        <v>5280</v>
      </c>
    </row>
    <row customHeight="1" ht="11.25">
      <c r="A210" s="525" t="s">
        <v>14</v>
      </c>
      <c r="B210" s="0" t="s">
        <v>5254</v>
      </c>
      <c r="C210" s="0" t="s">
        <v>5255</v>
      </c>
      <c r="D210" s="0" t="s">
        <v>5281</v>
      </c>
      <c r="E210" s="0" t="s">
        <v>5282</v>
      </c>
      <c r="F210" s="0" t="s">
        <v>4740</v>
      </c>
      <c r="G210" s="0" t="s">
        <v>5283</v>
      </c>
    </row>
    <row customHeight="1" ht="11.25">
      <c r="A211" s="525" t="s">
        <v>14</v>
      </c>
      <c r="B211" s="0" t="s">
        <v>5254</v>
      </c>
      <c r="C211" s="0" t="s">
        <v>5255</v>
      </c>
      <c r="D211" s="0" t="s">
        <v>5284</v>
      </c>
      <c r="E211" s="0" t="s">
        <v>5285</v>
      </c>
      <c r="F211" s="0" t="s">
        <v>4740</v>
      </c>
      <c r="G211" s="0" t="s">
        <v>5286</v>
      </c>
    </row>
    <row customHeight="1" ht="11.25">
      <c r="A212" s="525" t="s">
        <v>14</v>
      </c>
      <c r="B212" s="0" t="s">
        <v>5254</v>
      </c>
      <c r="C212" s="0" t="s">
        <v>5255</v>
      </c>
      <c r="D212" s="0" t="s">
        <v>5287</v>
      </c>
      <c r="E212" s="0" t="s">
        <v>5288</v>
      </c>
      <c r="F212" s="0" t="s">
        <v>4740</v>
      </c>
      <c r="G212" s="0" t="s">
        <v>5289</v>
      </c>
    </row>
    <row customHeight="1" ht="11.25">
      <c r="A213" s="525" t="s">
        <v>14</v>
      </c>
      <c r="B213" s="0" t="s">
        <v>5254</v>
      </c>
      <c r="C213" s="0" t="s">
        <v>5255</v>
      </c>
      <c r="D213" s="0" t="s">
        <v>5290</v>
      </c>
      <c r="E213" s="0" t="s">
        <v>5291</v>
      </c>
      <c r="F213" s="0" t="s">
        <v>4740</v>
      </c>
      <c r="G213" s="0" t="s">
        <v>5292</v>
      </c>
    </row>
    <row customHeight="1" ht="11.25">
      <c r="A214" s="525" t="s">
        <v>14</v>
      </c>
      <c r="B214" s="0" t="s">
        <v>5254</v>
      </c>
      <c r="C214" s="0" t="s">
        <v>5255</v>
      </c>
      <c r="D214" s="0" t="s">
        <v>5293</v>
      </c>
      <c r="E214" s="0" t="s">
        <v>5294</v>
      </c>
      <c r="F214" s="0" t="s">
        <v>4740</v>
      </c>
      <c r="G214" s="0" t="s">
        <v>5295</v>
      </c>
    </row>
    <row customHeight="1" ht="11.25">
      <c r="A215" s="525" t="s">
        <v>14</v>
      </c>
      <c r="B215" s="0" t="s">
        <v>5296</v>
      </c>
      <c r="C215" s="0" t="s">
        <v>5297</v>
      </c>
      <c r="D215" s="0" t="s">
        <v>5298</v>
      </c>
      <c r="E215" s="0" t="s">
        <v>5299</v>
      </c>
      <c r="F215" s="0" t="s">
        <v>4740</v>
      </c>
      <c r="G215" s="0" t="s">
        <v>5300</v>
      </c>
    </row>
    <row customHeight="1" ht="11.25">
      <c r="A216" s="525" t="s">
        <v>14</v>
      </c>
      <c r="B216" s="0" t="s">
        <v>5296</v>
      </c>
      <c r="C216" s="0" t="s">
        <v>5297</v>
      </c>
      <c r="D216" s="0" t="s">
        <v>5301</v>
      </c>
      <c r="E216" s="0" t="s">
        <v>5302</v>
      </c>
      <c r="F216" s="0" t="s">
        <v>4740</v>
      </c>
      <c r="G216" s="0" t="s">
        <v>5303</v>
      </c>
    </row>
    <row customHeight="1" ht="11.25">
      <c r="A217" s="525" t="s">
        <v>14</v>
      </c>
      <c r="B217" s="0" t="s">
        <v>5296</v>
      </c>
      <c r="C217" s="0" t="s">
        <v>5297</v>
      </c>
      <c r="D217" s="0" t="s">
        <v>5304</v>
      </c>
      <c r="E217" s="0" t="s">
        <v>5305</v>
      </c>
      <c r="F217" s="0" t="s">
        <v>4740</v>
      </c>
      <c r="G217" s="0" t="s">
        <v>5306</v>
      </c>
    </row>
    <row customHeight="1" ht="11.25">
      <c r="A218" s="525" t="s">
        <v>14</v>
      </c>
      <c r="B218" s="0" t="s">
        <v>5296</v>
      </c>
      <c r="C218" s="0" t="s">
        <v>5297</v>
      </c>
      <c r="D218" s="0" t="s">
        <v>5307</v>
      </c>
      <c r="E218" s="0" t="s">
        <v>5308</v>
      </c>
      <c r="F218" s="0" t="s">
        <v>4740</v>
      </c>
      <c r="G218" s="0" t="s">
        <v>5309</v>
      </c>
    </row>
    <row customHeight="1" ht="11.25">
      <c r="A219" s="525" t="s">
        <v>14</v>
      </c>
      <c r="B219" s="0" t="s">
        <v>5296</v>
      </c>
      <c r="C219" s="0" t="s">
        <v>5297</v>
      </c>
      <c r="D219" s="0" t="s">
        <v>5134</v>
      </c>
      <c r="E219" s="0" t="s">
        <v>5310</v>
      </c>
      <c r="F219" s="0" t="s">
        <v>4740</v>
      </c>
      <c r="G219" s="0" t="s">
        <v>5311</v>
      </c>
    </row>
    <row customHeight="1" ht="11.25">
      <c r="A220" s="525" t="s">
        <v>14</v>
      </c>
      <c r="B220" s="0" t="s">
        <v>5296</v>
      </c>
      <c r="C220" s="0" t="s">
        <v>5297</v>
      </c>
      <c r="D220" s="0" t="s">
        <v>5312</v>
      </c>
      <c r="E220" s="0" t="s">
        <v>5313</v>
      </c>
      <c r="F220" s="0" t="s">
        <v>4740</v>
      </c>
      <c r="G220" s="0" t="s">
        <v>5314</v>
      </c>
    </row>
    <row customHeight="1" ht="11.25">
      <c r="A221" s="525" t="s">
        <v>14</v>
      </c>
      <c r="B221" s="0" t="s">
        <v>5296</v>
      </c>
      <c r="C221" s="0" t="s">
        <v>5297</v>
      </c>
      <c r="D221" s="0" t="s">
        <v>5296</v>
      </c>
      <c r="E221" s="0" t="s">
        <v>5297</v>
      </c>
      <c r="F221" s="0" t="s">
        <v>4731</v>
      </c>
      <c r="G221" s="0" t="s">
        <v>5315</v>
      </c>
    </row>
    <row customHeight="1" ht="11.25">
      <c r="A222" s="525" t="s">
        <v>14</v>
      </c>
      <c r="B222" s="0" t="s">
        <v>5296</v>
      </c>
      <c r="C222" s="0" t="s">
        <v>5297</v>
      </c>
      <c r="D222" s="0" t="s">
        <v>5316</v>
      </c>
      <c r="E222" s="0" t="s">
        <v>5317</v>
      </c>
      <c r="F222" s="0" t="s">
        <v>4740</v>
      </c>
      <c r="G222" s="0" t="s">
        <v>5318</v>
      </c>
    </row>
    <row customHeight="1" ht="11.25">
      <c r="A223" s="525" t="s">
        <v>14</v>
      </c>
      <c r="B223" s="0" t="s">
        <v>5296</v>
      </c>
      <c r="C223" s="0" t="s">
        <v>5297</v>
      </c>
      <c r="D223" s="0" t="s">
        <v>5319</v>
      </c>
      <c r="E223" s="0" t="s">
        <v>5320</v>
      </c>
      <c r="F223" s="0" t="s">
        <v>4740</v>
      </c>
      <c r="G223" s="0" t="s">
        <v>5321</v>
      </c>
    </row>
    <row customHeight="1" ht="11.25">
      <c r="A224" s="525" t="s">
        <v>14</v>
      </c>
      <c r="B224" s="0" t="s">
        <v>5296</v>
      </c>
      <c r="C224" s="0" t="s">
        <v>5297</v>
      </c>
      <c r="D224" s="0" t="s">
        <v>5322</v>
      </c>
      <c r="E224" s="0" t="s">
        <v>5323</v>
      </c>
      <c r="F224" s="0" t="s">
        <v>4740</v>
      </c>
      <c r="G224" s="0" t="s">
        <v>5324</v>
      </c>
    </row>
    <row customHeight="1" ht="11.25">
      <c r="A225" s="525" t="s">
        <v>14</v>
      </c>
      <c r="B225" s="0" t="s">
        <v>5296</v>
      </c>
      <c r="C225" s="0" t="s">
        <v>5297</v>
      </c>
      <c r="D225" s="0" t="s">
        <v>5325</v>
      </c>
      <c r="E225" s="0" t="s">
        <v>5326</v>
      </c>
      <c r="F225" s="0" t="s">
        <v>4740</v>
      </c>
      <c r="G225" s="0" t="s">
        <v>5327</v>
      </c>
    </row>
    <row customHeight="1" ht="11.25">
      <c r="A226" s="525" t="s">
        <v>14</v>
      </c>
      <c r="B226" s="0" t="s">
        <v>5296</v>
      </c>
      <c r="C226" s="0" t="s">
        <v>5297</v>
      </c>
      <c r="D226" s="0" t="s">
        <v>4797</v>
      </c>
      <c r="E226" s="0" t="s">
        <v>5328</v>
      </c>
      <c r="F226" s="0" t="s">
        <v>4740</v>
      </c>
      <c r="G226" s="0" t="s">
        <v>5329</v>
      </c>
    </row>
    <row customHeight="1" ht="11.25">
      <c r="A227" s="525" t="s">
        <v>14</v>
      </c>
      <c r="B227" s="0" t="s">
        <v>5296</v>
      </c>
      <c r="C227" s="0" t="s">
        <v>5297</v>
      </c>
      <c r="D227" s="0" t="s">
        <v>5330</v>
      </c>
      <c r="E227" s="0" t="s">
        <v>5331</v>
      </c>
      <c r="F227" s="0" t="s">
        <v>4740</v>
      </c>
      <c r="G227" s="0" t="s">
        <v>5332</v>
      </c>
    </row>
    <row customHeight="1" ht="11.25">
      <c r="A228" s="525" t="s">
        <v>14</v>
      </c>
      <c r="B228" s="0" t="s">
        <v>5333</v>
      </c>
      <c r="C228" s="0" t="s">
        <v>5334</v>
      </c>
      <c r="D228" s="0" t="s">
        <v>5335</v>
      </c>
      <c r="E228" s="0" t="s">
        <v>5336</v>
      </c>
      <c r="F228" s="0" t="s">
        <v>4740</v>
      </c>
      <c r="G228" s="0" t="s">
        <v>5337</v>
      </c>
    </row>
    <row customHeight="1" ht="11.25">
      <c r="A229" s="525" t="s">
        <v>14</v>
      </c>
      <c r="B229" s="0" t="s">
        <v>5333</v>
      </c>
      <c r="C229" s="0" t="s">
        <v>5334</v>
      </c>
      <c r="D229" s="0" t="s">
        <v>5338</v>
      </c>
      <c r="E229" s="0" t="s">
        <v>5339</v>
      </c>
      <c r="F229" s="0" t="s">
        <v>4740</v>
      </c>
      <c r="G229" s="0" t="s">
        <v>5340</v>
      </c>
    </row>
    <row customHeight="1" ht="11.25">
      <c r="A230" s="525" t="s">
        <v>14</v>
      </c>
      <c r="B230" s="0" t="s">
        <v>5333</v>
      </c>
      <c r="C230" s="0" t="s">
        <v>5334</v>
      </c>
      <c r="D230" s="0" t="s">
        <v>5341</v>
      </c>
      <c r="E230" s="0" t="s">
        <v>5342</v>
      </c>
      <c r="F230" s="0" t="s">
        <v>4740</v>
      </c>
      <c r="G230" s="0" t="s">
        <v>5343</v>
      </c>
    </row>
    <row customHeight="1" ht="11.25">
      <c r="A231" s="525" t="s">
        <v>14</v>
      </c>
      <c r="B231" s="0" t="s">
        <v>5333</v>
      </c>
      <c r="C231" s="0" t="s">
        <v>5334</v>
      </c>
      <c r="D231" s="0" t="s">
        <v>5344</v>
      </c>
      <c r="E231" s="0" t="s">
        <v>5345</v>
      </c>
      <c r="F231" s="0" t="s">
        <v>4740</v>
      </c>
      <c r="G231" s="0" t="s">
        <v>5346</v>
      </c>
    </row>
    <row customHeight="1" ht="11.25">
      <c r="A232" s="525" t="s">
        <v>14</v>
      </c>
      <c r="B232" s="0" t="s">
        <v>5333</v>
      </c>
      <c r="C232" s="0" t="s">
        <v>5334</v>
      </c>
      <c r="D232" s="0" t="s">
        <v>5347</v>
      </c>
      <c r="E232" s="0" t="s">
        <v>5348</v>
      </c>
      <c r="F232" s="0" t="s">
        <v>4740</v>
      </c>
      <c r="G232" s="0" t="s">
        <v>5349</v>
      </c>
    </row>
    <row customHeight="1" ht="11.25">
      <c r="A233" s="525" t="s">
        <v>14</v>
      </c>
      <c r="B233" s="0" t="s">
        <v>5333</v>
      </c>
      <c r="C233" s="0" t="s">
        <v>5334</v>
      </c>
      <c r="D233" s="0" t="s">
        <v>5350</v>
      </c>
      <c r="E233" s="0" t="s">
        <v>5351</v>
      </c>
      <c r="F233" s="0" t="s">
        <v>4740</v>
      </c>
      <c r="G233" s="0" t="s">
        <v>5352</v>
      </c>
    </row>
    <row customHeight="1" ht="11.25">
      <c r="A234" s="525" t="s">
        <v>14</v>
      </c>
      <c r="B234" s="0" t="s">
        <v>5333</v>
      </c>
      <c r="C234" s="0" t="s">
        <v>5334</v>
      </c>
      <c r="D234" s="0" t="s">
        <v>5353</v>
      </c>
      <c r="E234" s="0" t="s">
        <v>5354</v>
      </c>
      <c r="F234" s="0" t="s">
        <v>4740</v>
      </c>
      <c r="G234" s="0" t="s">
        <v>5355</v>
      </c>
    </row>
    <row customHeight="1" ht="11.25">
      <c r="A235" s="525" t="s">
        <v>14</v>
      </c>
      <c r="B235" s="0" t="s">
        <v>5333</v>
      </c>
      <c r="C235" s="0" t="s">
        <v>5334</v>
      </c>
      <c r="D235" s="0" t="s">
        <v>5356</v>
      </c>
      <c r="E235" s="0" t="s">
        <v>5357</v>
      </c>
      <c r="F235" s="0" t="s">
        <v>4740</v>
      </c>
      <c r="G235" s="0" t="s">
        <v>5358</v>
      </c>
    </row>
    <row customHeight="1" ht="11.25">
      <c r="A236" s="525" t="s">
        <v>14</v>
      </c>
      <c r="B236" s="0" t="s">
        <v>5333</v>
      </c>
      <c r="C236" s="0" t="s">
        <v>5334</v>
      </c>
      <c r="D236" s="0" t="s">
        <v>5333</v>
      </c>
      <c r="E236" s="0" t="s">
        <v>5334</v>
      </c>
      <c r="F236" s="0" t="s">
        <v>4731</v>
      </c>
      <c r="G236" s="0" t="s">
        <v>5359</v>
      </c>
    </row>
    <row customHeight="1" ht="11.25">
      <c r="A237" s="525" t="s">
        <v>14</v>
      </c>
      <c r="B237" s="0" t="s">
        <v>5333</v>
      </c>
      <c r="C237" s="0" t="s">
        <v>5334</v>
      </c>
      <c r="D237" s="0" t="s">
        <v>5360</v>
      </c>
      <c r="E237" s="0" t="s">
        <v>5361</v>
      </c>
      <c r="F237" s="0" t="s">
        <v>4737</v>
      </c>
      <c r="G237" s="0" t="s">
        <v>5362</v>
      </c>
    </row>
    <row customHeight="1" ht="11.25">
      <c r="A238" s="525" t="s">
        <v>14</v>
      </c>
      <c r="B238" s="0" t="s">
        <v>5333</v>
      </c>
      <c r="C238" s="0" t="s">
        <v>5334</v>
      </c>
      <c r="D238" s="0" t="s">
        <v>5363</v>
      </c>
      <c r="E238" s="0" t="s">
        <v>5364</v>
      </c>
      <c r="F238" s="0" t="s">
        <v>4740</v>
      </c>
      <c r="G238" s="0" t="s">
        <v>5365</v>
      </c>
    </row>
    <row customHeight="1" ht="11.25">
      <c r="A239" s="525" t="s">
        <v>14</v>
      </c>
      <c r="B239" s="0" t="s">
        <v>5333</v>
      </c>
      <c r="C239" s="0" t="s">
        <v>5334</v>
      </c>
      <c r="D239" s="0" t="s">
        <v>5366</v>
      </c>
      <c r="E239" s="0" t="s">
        <v>5367</v>
      </c>
      <c r="F239" s="0" t="s">
        <v>4737</v>
      </c>
      <c r="G239" s="0" t="s">
        <v>5368</v>
      </c>
    </row>
    <row customHeight="1" ht="11.25">
      <c r="A240" s="525" t="s">
        <v>14</v>
      </c>
      <c r="B240" s="0" t="s">
        <v>5333</v>
      </c>
      <c r="C240" s="0" t="s">
        <v>5334</v>
      </c>
      <c r="D240" s="0" t="s">
        <v>5369</v>
      </c>
      <c r="E240" s="0" t="s">
        <v>5370</v>
      </c>
      <c r="F240" s="0" t="s">
        <v>4740</v>
      </c>
      <c r="G240" s="0" t="s">
        <v>5371</v>
      </c>
    </row>
    <row customHeight="1" ht="11.25">
      <c r="A241" s="525" t="s">
        <v>14</v>
      </c>
      <c r="B241" s="0" t="s">
        <v>5333</v>
      </c>
      <c r="C241" s="0" t="s">
        <v>5334</v>
      </c>
      <c r="D241" s="0" t="s">
        <v>5372</v>
      </c>
      <c r="E241" s="0" t="s">
        <v>5373</v>
      </c>
      <c r="F241" s="0" t="s">
        <v>4740</v>
      </c>
      <c r="G241" s="0" t="s">
        <v>5374</v>
      </c>
    </row>
    <row customHeight="1" ht="11.25">
      <c r="A242" s="525" t="s">
        <v>14</v>
      </c>
      <c r="B242" s="0" t="s">
        <v>5333</v>
      </c>
      <c r="C242" s="0" t="s">
        <v>5334</v>
      </c>
      <c r="D242" s="0" t="s">
        <v>5375</v>
      </c>
      <c r="E242" s="0" t="s">
        <v>5376</v>
      </c>
      <c r="F242" s="0" t="s">
        <v>4740</v>
      </c>
      <c r="G242" s="0" t="s">
        <v>5377</v>
      </c>
    </row>
    <row customHeight="1" ht="11.25">
      <c r="A243" s="525" t="s">
        <v>14</v>
      </c>
      <c r="B243" s="0" t="s">
        <v>5378</v>
      </c>
      <c r="C243" s="0" t="s">
        <v>5379</v>
      </c>
      <c r="D243" s="0" t="s">
        <v>5380</v>
      </c>
      <c r="E243" s="0" t="s">
        <v>5381</v>
      </c>
      <c r="F243" s="0" t="s">
        <v>4740</v>
      </c>
      <c r="G243" s="0" t="s">
        <v>5382</v>
      </c>
    </row>
    <row customHeight="1" ht="11.25">
      <c r="A244" s="525" t="s">
        <v>14</v>
      </c>
      <c r="B244" s="0" t="s">
        <v>5378</v>
      </c>
      <c r="C244" s="0" t="s">
        <v>5379</v>
      </c>
      <c r="D244" s="0" t="s">
        <v>5383</v>
      </c>
      <c r="E244" s="0" t="s">
        <v>5384</v>
      </c>
      <c r="F244" s="0" t="s">
        <v>4740</v>
      </c>
      <c r="G244" s="0" t="s">
        <v>5385</v>
      </c>
    </row>
    <row customHeight="1" ht="11.25">
      <c r="A245" s="525" t="s">
        <v>14</v>
      </c>
      <c r="B245" s="0" t="s">
        <v>5378</v>
      </c>
      <c r="C245" s="0" t="s">
        <v>5379</v>
      </c>
      <c r="D245" s="0" t="s">
        <v>5386</v>
      </c>
      <c r="E245" s="0" t="s">
        <v>5387</v>
      </c>
      <c r="F245" s="0" t="s">
        <v>4740</v>
      </c>
      <c r="G245" s="0" t="s">
        <v>5388</v>
      </c>
    </row>
    <row customHeight="1" ht="11.25">
      <c r="A246" s="525" t="s">
        <v>14</v>
      </c>
      <c r="B246" s="0" t="s">
        <v>5378</v>
      </c>
      <c r="C246" s="0" t="s">
        <v>5379</v>
      </c>
      <c r="D246" s="0" t="s">
        <v>5389</v>
      </c>
      <c r="E246" s="0" t="s">
        <v>5390</v>
      </c>
      <c r="F246" s="0" t="s">
        <v>4740</v>
      </c>
      <c r="G246" s="0" t="s">
        <v>5391</v>
      </c>
    </row>
    <row customHeight="1" ht="11.25">
      <c r="A247" s="525" t="s">
        <v>14</v>
      </c>
      <c r="B247" s="0" t="s">
        <v>5378</v>
      </c>
      <c r="C247" s="0" t="s">
        <v>5379</v>
      </c>
      <c r="D247" s="0" t="s">
        <v>5378</v>
      </c>
      <c r="E247" s="0" t="s">
        <v>5379</v>
      </c>
      <c r="F247" s="0" t="s">
        <v>4731</v>
      </c>
      <c r="G247" s="0" t="s">
        <v>5392</v>
      </c>
    </row>
    <row customHeight="1" ht="11.25">
      <c r="A248" s="525" t="s">
        <v>14</v>
      </c>
      <c r="B248" s="0" t="s">
        <v>5378</v>
      </c>
      <c r="C248" s="0" t="s">
        <v>5379</v>
      </c>
      <c r="D248" s="0" t="s">
        <v>5393</v>
      </c>
      <c r="E248" s="0" t="s">
        <v>5394</v>
      </c>
      <c r="F248" s="0" t="s">
        <v>4734</v>
      </c>
      <c r="G248" s="0" t="s">
        <v>5395</v>
      </c>
    </row>
    <row customHeight="1" ht="11.25">
      <c r="A249" s="525" t="s">
        <v>14</v>
      </c>
      <c r="B249" s="0" t="s">
        <v>5378</v>
      </c>
      <c r="C249" s="0" t="s">
        <v>5379</v>
      </c>
      <c r="D249" s="0" t="s">
        <v>4820</v>
      </c>
      <c r="E249" s="0" t="s">
        <v>5396</v>
      </c>
      <c r="F249" s="0" t="s">
        <v>4740</v>
      </c>
      <c r="G249" s="0" t="s">
        <v>5397</v>
      </c>
    </row>
    <row customHeight="1" ht="11.25">
      <c r="A250" s="525" t="s">
        <v>14</v>
      </c>
      <c r="B250" s="0" t="s">
        <v>5378</v>
      </c>
      <c r="C250" s="0" t="s">
        <v>5379</v>
      </c>
      <c r="D250" s="0" t="s">
        <v>5398</v>
      </c>
      <c r="E250" s="0" t="s">
        <v>5399</v>
      </c>
      <c r="F250" s="0" t="s">
        <v>4740</v>
      </c>
      <c r="G250" s="0" t="s">
        <v>5400</v>
      </c>
    </row>
    <row customHeight="1" ht="11.25">
      <c r="A251" s="525" t="s">
        <v>14</v>
      </c>
      <c r="B251" s="0" t="s">
        <v>5378</v>
      </c>
      <c r="C251" s="0" t="s">
        <v>5379</v>
      </c>
      <c r="D251" s="0" t="s">
        <v>5401</v>
      </c>
      <c r="E251" s="0" t="s">
        <v>5402</v>
      </c>
      <c r="F251" s="0" t="s">
        <v>4740</v>
      </c>
      <c r="G251" s="0" t="s">
        <v>5403</v>
      </c>
    </row>
    <row customHeight="1" ht="11.25">
      <c r="A252" s="525" t="s">
        <v>14</v>
      </c>
      <c r="B252" s="0" t="s">
        <v>5378</v>
      </c>
      <c r="C252" s="0" t="s">
        <v>5379</v>
      </c>
      <c r="D252" s="0" t="s">
        <v>5404</v>
      </c>
      <c r="E252" s="0" t="s">
        <v>5405</v>
      </c>
      <c r="F252" s="0" t="s">
        <v>4740</v>
      </c>
      <c r="G252" s="0" t="s">
        <v>5406</v>
      </c>
    </row>
    <row customHeight="1" ht="11.25">
      <c r="A253" s="525" t="s">
        <v>14</v>
      </c>
      <c r="B253" s="0" t="s">
        <v>5407</v>
      </c>
      <c r="C253" s="0" t="s">
        <v>5408</v>
      </c>
      <c r="D253" s="0" t="s">
        <v>5409</v>
      </c>
      <c r="E253" s="0" t="s">
        <v>5410</v>
      </c>
      <c r="F253" s="0" t="s">
        <v>4740</v>
      </c>
      <c r="G253" s="0" t="s">
        <v>5411</v>
      </c>
    </row>
    <row customHeight="1" ht="11.25">
      <c r="A254" s="525" t="s">
        <v>14</v>
      </c>
      <c r="B254" s="0" t="s">
        <v>5407</v>
      </c>
      <c r="C254" s="0" t="s">
        <v>5408</v>
      </c>
      <c r="D254" s="0" t="s">
        <v>5223</v>
      </c>
      <c r="E254" s="0" t="s">
        <v>5412</v>
      </c>
      <c r="F254" s="0" t="s">
        <v>4740</v>
      </c>
      <c r="G254" s="0" t="s">
        <v>5413</v>
      </c>
    </row>
    <row customHeight="1" ht="11.25">
      <c r="A255" s="525" t="s">
        <v>14</v>
      </c>
      <c r="B255" s="0" t="s">
        <v>5407</v>
      </c>
      <c r="C255" s="0" t="s">
        <v>5408</v>
      </c>
      <c r="D255" s="0" t="s">
        <v>5414</v>
      </c>
      <c r="E255" s="0" t="s">
        <v>5415</v>
      </c>
      <c r="F255" s="0" t="s">
        <v>4740</v>
      </c>
      <c r="G255" s="0" t="s">
        <v>5416</v>
      </c>
    </row>
    <row customHeight="1" ht="11.25">
      <c r="A256" s="525" t="s">
        <v>14</v>
      </c>
      <c r="B256" s="0" t="s">
        <v>5407</v>
      </c>
      <c r="C256" s="0" t="s">
        <v>5408</v>
      </c>
      <c r="D256" s="0" t="s">
        <v>4757</v>
      </c>
      <c r="E256" s="0" t="s">
        <v>5417</v>
      </c>
      <c r="F256" s="0" t="s">
        <v>4740</v>
      </c>
      <c r="G256" s="0" t="s">
        <v>5418</v>
      </c>
    </row>
    <row customHeight="1" ht="11.25">
      <c r="A257" s="525" t="s">
        <v>14</v>
      </c>
      <c r="B257" s="0" t="s">
        <v>5407</v>
      </c>
      <c r="C257" s="0" t="s">
        <v>5408</v>
      </c>
      <c r="D257" s="0" t="s">
        <v>5419</v>
      </c>
      <c r="E257" s="0" t="s">
        <v>5420</v>
      </c>
      <c r="F257" s="0" t="s">
        <v>4740</v>
      </c>
      <c r="G257" s="0" t="s">
        <v>5421</v>
      </c>
    </row>
    <row customHeight="1" ht="11.25">
      <c r="A258" s="525" t="s">
        <v>14</v>
      </c>
      <c r="B258" s="0" t="s">
        <v>5407</v>
      </c>
      <c r="C258" s="0" t="s">
        <v>5408</v>
      </c>
      <c r="D258" s="0" t="s">
        <v>5422</v>
      </c>
      <c r="E258" s="0" t="s">
        <v>5423</v>
      </c>
      <c r="F258" s="0" t="s">
        <v>4740</v>
      </c>
      <c r="G258" s="0" t="s">
        <v>5424</v>
      </c>
    </row>
    <row customHeight="1" ht="11.25">
      <c r="A259" s="525" t="s">
        <v>14</v>
      </c>
      <c r="B259" s="0" t="s">
        <v>5407</v>
      </c>
      <c r="C259" s="0" t="s">
        <v>5408</v>
      </c>
      <c r="D259" s="0" t="s">
        <v>5407</v>
      </c>
      <c r="E259" s="0" t="s">
        <v>5408</v>
      </c>
      <c r="F259" s="0" t="s">
        <v>4731</v>
      </c>
      <c r="G259" s="0" t="s">
        <v>5425</v>
      </c>
    </row>
    <row customHeight="1" ht="11.25">
      <c r="A260" s="525" t="s">
        <v>14</v>
      </c>
      <c r="B260" s="0" t="s">
        <v>5407</v>
      </c>
      <c r="C260" s="0" t="s">
        <v>5408</v>
      </c>
      <c r="D260" s="0" t="s">
        <v>5426</v>
      </c>
      <c r="E260" s="0" t="s">
        <v>5427</v>
      </c>
      <c r="F260" s="0" t="s">
        <v>4740</v>
      </c>
      <c r="G260" s="0" t="s">
        <v>5428</v>
      </c>
    </row>
    <row customHeight="1" ht="11.25">
      <c r="A261" s="525" t="s">
        <v>14</v>
      </c>
      <c r="B261" s="0" t="s">
        <v>5407</v>
      </c>
      <c r="C261" s="0" t="s">
        <v>5408</v>
      </c>
      <c r="D261" s="0" t="s">
        <v>5429</v>
      </c>
      <c r="E261" s="0" t="s">
        <v>5430</v>
      </c>
      <c r="F261" s="0" t="s">
        <v>4740</v>
      </c>
      <c r="G261" s="0" t="s">
        <v>5431</v>
      </c>
    </row>
    <row customHeight="1" ht="11.25">
      <c r="A262" s="525" t="s">
        <v>14</v>
      </c>
      <c r="B262" s="0" t="s">
        <v>5432</v>
      </c>
      <c r="C262" s="0" t="s">
        <v>5433</v>
      </c>
      <c r="D262" s="0" t="s">
        <v>5434</v>
      </c>
      <c r="E262" s="0" t="s">
        <v>5435</v>
      </c>
      <c r="F262" s="0" t="s">
        <v>4740</v>
      </c>
      <c r="G262" s="0" t="s">
        <v>5436</v>
      </c>
    </row>
    <row customHeight="1" ht="11.25">
      <c r="A263" s="525" t="s">
        <v>14</v>
      </c>
      <c r="B263" s="0" t="s">
        <v>5432</v>
      </c>
      <c r="C263" s="0" t="s">
        <v>5433</v>
      </c>
      <c r="D263" s="0" t="s">
        <v>5437</v>
      </c>
      <c r="E263" s="0" t="s">
        <v>5438</v>
      </c>
      <c r="F263" s="0" t="s">
        <v>4740</v>
      </c>
      <c r="G263" s="0" t="s">
        <v>5439</v>
      </c>
    </row>
    <row customHeight="1" ht="11.25">
      <c r="A264" s="525" t="s">
        <v>14</v>
      </c>
      <c r="B264" s="0" t="s">
        <v>5432</v>
      </c>
      <c r="C264" s="0" t="s">
        <v>5433</v>
      </c>
      <c r="D264" s="0" t="s">
        <v>5041</v>
      </c>
      <c r="E264" s="0" t="s">
        <v>5440</v>
      </c>
      <c r="F264" s="0" t="s">
        <v>4740</v>
      </c>
      <c r="G264" s="0" t="s">
        <v>5441</v>
      </c>
    </row>
    <row customHeight="1" ht="11.25">
      <c r="A265" s="525" t="s">
        <v>14</v>
      </c>
      <c r="B265" s="0" t="s">
        <v>5432</v>
      </c>
      <c r="C265" s="0" t="s">
        <v>5433</v>
      </c>
      <c r="D265" s="0" t="s">
        <v>5442</v>
      </c>
      <c r="E265" s="0" t="s">
        <v>5443</v>
      </c>
      <c r="F265" s="0" t="s">
        <v>4740</v>
      </c>
      <c r="G265" s="0" t="s">
        <v>5444</v>
      </c>
    </row>
    <row customHeight="1" ht="11.25">
      <c r="A266" s="525" t="s">
        <v>14</v>
      </c>
      <c r="B266" s="0" t="s">
        <v>5432</v>
      </c>
      <c r="C266" s="0" t="s">
        <v>5433</v>
      </c>
      <c r="D266" s="0" t="s">
        <v>5445</v>
      </c>
      <c r="E266" s="0" t="s">
        <v>5446</v>
      </c>
      <c r="F266" s="0" t="s">
        <v>4740</v>
      </c>
      <c r="G266" s="0" t="s">
        <v>5447</v>
      </c>
    </row>
    <row customHeight="1" ht="11.25">
      <c r="A267" s="525" t="s">
        <v>14</v>
      </c>
      <c r="B267" s="0" t="s">
        <v>5432</v>
      </c>
      <c r="C267" s="0" t="s">
        <v>5433</v>
      </c>
      <c r="D267" s="0" t="s">
        <v>5448</v>
      </c>
      <c r="E267" s="0" t="s">
        <v>5449</v>
      </c>
      <c r="F267" s="0" t="s">
        <v>4740</v>
      </c>
      <c r="G267" s="0" t="s">
        <v>5450</v>
      </c>
    </row>
    <row customHeight="1" ht="11.25">
      <c r="A268" s="525" t="s">
        <v>14</v>
      </c>
      <c r="B268" s="0" t="s">
        <v>5432</v>
      </c>
      <c r="C268" s="0" t="s">
        <v>5433</v>
      </c>
      <c r="D268" s="0" t="s">
        <v>5432</v>
      </c>
      <c r="E268" s="0" t="s">
        <v>5433</v>
      </c>
      <c r="F268" s="0" t="s">
        <v>4731</v>
      </c>
      <c r="G268" s="0" t="s">
        <v>5451</v>
      </c>
    </row>
    <row customHeight="1" ht="11.25">
      <c r="A269" s="525" t="s">
        <v>14</v>
      </c>
      <c r="B269" s="0" t="s">
        <v>5432</v>
      </c>
      <c r="C269" s="0" t="s">
        <v>5433</v>
      </c>
      <c r="D269" s="0" t="s">
        <v>5452</v>
      </c>
      <c r="E269" s="0" t="s">
        <v>5453</v>
      </c>
      <c r="F269" s="0" t="s">
        <v>4740</v>
      </c>
      <c r="G269" s="0" t="s">
        <v>5454</v>
      </c>
    </row>
    <row customHeight="1" ht="11.25">
      <c r="A270" s="525" t="s">
        <v>14</v>
      </c>
      <c r="B270" s="0" t="s">
        <v>5432</v>
      </c>
      <c r="C270" s="0" t="s">
        <v>5433</v>
      </c>
      <c r="D270" s="0" t="s">
        <v>5455</v>
      </c>
      <c r="E270" s="0" t="s">
        <v>5456</v>
      </c>
      <c r="F270" s="0" t="s">
        <v>4740</v>
      </c>
      <c r="G270" s="0" t="s">
        <v>5457</v>
      </c>
    </row>
    <row customHeight="1" ht="11.25">
      <c r="A271" s="525" t="s">
        <v>14</v>
      </c>
      <c r="B271" s="0" t="s">
        <v>5432</v>
      </c>
      <c r="C271" s="0" t="s">
        <v>5433</v>
      </c>
      <c r="D271" s="0" t="s">
        <v>5458</v>
      </c>
      <c r="E271" s="0" t="s">
        <v>5459</v>
      </c>
      <c r="F271" s="0" t="s">
        <v>4740</v>
      </c>
      <c r="G271" s="0" t="s">
        <v>5460</v>
      </c>
    </row>
    <row customHeight="1" ht="11.25">
      <c r="A272" s="525" t="s">
        <v>14</v>
      </c>
      <c r="B272" s="0" t="s">
        <v>5432</v>
      </c>
      <c r="C272" s="0" t="s">
        <v>5433</v>
      </c>
      <c r="D272" s="0" t="s">
        <v>5461</v>
      </c>
      <c r="E272" s="0" t="s">
        <v>5462</v>
      </c>
      <c r="F272" s="0" t="s">
        <v>4740</v>
      </c>
      <c r="G272" s="0" t="s">
        <v>5463</v>
      </c>
    </row>
    <row customHeight="1" ht="11.25">
      <c r="A273" s="525" t="s">
        <v>14</v>
      </c>
      <c r="B273" s="0" t="s">
        <v>5432</v>
      </c>
      <c r="C273" s="0" t="s">
        <v>5433</v>
      </c>
      <c r="D273" s="0" t="s">
        <v>5464</v>
      </c>
      <c r="E273" s="0" t="s">
        <v>5465</v>
      </c>
      <c r="F273" s="0" t="s">
        <v>4740</v>
      </c>
      <c r="G273" s="0" t="s">
        <v>5466</v>
      </c>
    </row>
    <row customHeight="1" ht="11.25">
      <c r="A274" s="525" t="s">
        <v>14</v>
      </c>
      <c r="B274" s="0" t="s">
        <v>5432</v>
      </c>
      <c r="C274" s="0" t="s">
        <v>5433</v>
      </c>
      <c r="D274" s="0" t="s">
        <v>5467</v>
      </c>
      <c r="E274" s="0" t="s">
        <v>5468</v>
      </c>
      <c r="F274" s="0" t="s">
        <v>4740</v>
      </c>
      <c r="G274" s="0" t="s">
        <v>5469</v>
      </c>
    </row>
    <row customHeight="1" ht="11.25">
      <c r="A275" s="525" t="s">
        <v>14</v>
      </c>
      <c r="B275" s="0" t="s">
        <v>5432</v>
      </c>
      <c r="C275" s="0" t="s">
        <v>5433</v>
      </c>
      <c r="D275" s="0" t="s">
        <v>5470</v>
      </c>
      <c r="E275" s="0" t="s">
        <v>5471</v>
      </c>
      <c r="F275" s="0" t="s">
        <v>4740</v>
      </c>
      <c r="G275" s="0" t="s">
        <v>5472</v>
      </c>
    </row>
    <row customHeight="1" ht="11.25">
      <c r="A276" s="525" t="s">
        <v>14</v>
      </c>
      <c r="B276" s="0" t="s">
        <v>5432</v>
      </c>
      <c r="C276" s="0" t="s">
        <v>5433</v>
      </c>
      <c r="D276" s="0" t="s">
        <v>5473</v>
      </c>
      <c r="E276" s="0" t="s">
        <v>5474</v>
      </c>
      <c r="F276" s="0" t="s">
        <v>4740</v>
      </c>
      <c r="G276" s="0" t="s">
        <v>5475</v>
      </c>
    </row>
    <row customHeight="1" ht="11.25">
      <c r="A277" s="525" t="s">
        <v>14</v>
      </c>
      <c r="B277" s="0" t="s">
        <v>5476</v>
      </c>
      <c r="C277" s="0" t="s">
        <v>5477</v>
      </c>
      <c r="D277" s="0" t="s">
        <v>5478</v>
      </c>
      <c r="E277" s="0" t="s">
        <v>5479</v>
      </c>
      <c r="F277" s="0" t="s">
        <v>4740</v>
      </c>
      <c r="G277" s="0" t="s">
        <v>5480</v>
      </c>
    </row>
    <row customHeight="1" ht="11.25">
      <c r="A278" s="525" t="s">
        <v>14</v>
      </c>
      <c r="B278" s="0" t="s">
        <v>5476</v>
      </c>
      <c r="C278" s="0" t="s">
        <v>5477</v>
      </c>
      <c r="D278" s="0" t="s">
        <v>5481</v>
      </c>
      <c r="E278" s="0" t="s">
        <v>5482</v>
      </c>
      <c r="F278" s="0" t="s">
        <v>4740</v>
      </c>
      <c r="G278" s="0" t="s">
        <v>5483</v>
      </c>
    </row>
    <row customHeight="1" ht="11.25">
      <c r="A279" s="525" t="s">
        <v>14</v>
      </c>
      <c r="B279" s="0" t="s">
        <v>5476</v>
      </c>
      <c r="C279" s="0" t="s">
        <v>5477</v>
      </c>
      <c r="D279" s="0" t="s">
        <v>5419</v>
      </c>
      <c r="E279" s="0" t="s">
        <v>5484</v>
      </c>
      <c r="F279" s="0" t="s">
        <v>4740</v>
      </c>
      <c r="G279" s="0" t="s">
        <v>5485</v>
      </c>
    </row>
    <row customHeight="1" ht="11.25">
      <c r="A280" s="525" t="s">
        <v>14</v>
      </c>
      <c r="B280" s="0" t="s">
        <v>5476</v>
      </c>
      <c r="C280" s="0" t="s">
        <v>5477</v>
      </c>
      <c r="D280" s="0" t="s">
        <v>5486</v>
      </c>
      <c r="E280" s="0" t="s">
        <v>5487</v>
      </c>
      <c r="F280" s="0" t="s">
        <v>4740</v>
      </c>
      <c r="G280" s="0" t="s">
        <v>5488</v>
      </c>
    </row>
    <row customHeight="1" ht="11.25">
      <c r="A281" s="525" t="s">
        <v>14</v>
      </c>
      <c r="B281" s="0" t="s">
        <v>5476</v>
      </c>
      <c r="C281" s="0" t="s">
        <v>5477</v>
      </c>
      <c r="D281" s="0" t="s">
        <v>5489</v>
      </c>
      <c r="E281" s="0" t="s">
        <v>5490</v>
      </c>
      <c r="F281" s="0" t="s">
        <v>4740</v>
      </c>
      <c r="G281" s="0" t="s">
        <v>5491</v>
      </c>
    </row>
    <row customHeight="1" ht="11.25">
      <c r="A282" s="525" t="s">
        <v>14</v>
      </c>
      <c r="B282" s="0" t="s">
        <v>5476</v>
      </c>
      <c r="C282" s="0" t="s">
        <v>5477</v>
      </c>
      <c r="D282" s="0" t="s">
        <v>5492</v>
      </c>
      <c r="E282" s="0" t="s">
        <v>5493</v>
      </c>
      <c r="F282" s="0" t="s">
        <v>4740</v>
      </c>
      <c r="G282" s="0" t="s">
        <v>5494</v>
      </c>
    </row>
    <row customHeight="1" ht="11.25">
      <c r="A283" s="525" t="s">
        <v>14</v>
      </c>
      <c r="B283" s="0" t="s">
        <v>5476</v>
      </c>
      <c r="C283" s="0" t="s">
        <v>5477</v>
      </c>
      <c r="D283" s="0" t="s">
        <v>5476</v>
      </c>
      <c r="E283" s="0" t="s">
        <v>5477</v>
      </c>
      <c r="F283" s="0" t="s">
        <v>4731</v>
      </c>
      <c r="G283" s="0" t="s">
        <v>5495</v>
      </c>
    </row>
    <row customHeight="1" ht="11.25">
      <c r="A284" s="525" t="s">
        <v>14</v>
      </c>
      <c r="B284" s="0" t="s">
        <v>5476</v>
      </c>
      <c r="C284" s="0" t="s">
        <v>5477</v>
      </c>
      <c r="D284" s="0" t="s">
        <v>5496</v>
      </c>
      <c r="E284" s="0" t="s">
        <v>5497</v>
      </c>
      <c r="F284" s="0" t="s">
        <v>4740</v>
      </c>
      <c r="G284" s="0" t="s">
        <v>5498</v>
      </c>
    </row>
    <row customHeight="1" ht="11.25">
      <c r="A285" s="525" t="s">
        <v>14</v>
      </c>
      <c r="B285" s="0" t="s">
        <v>5476</v>
      </c>
      <c r="C285" s="0" t="s">
        <v>5477</v>
      </c>
      <c r="D285" s="0" t="s">
        <v>5499</v>
      </c>
      <c r="E285" s="0" t="s">
        <v>5500</v>
      </c>
      <c r="F285" s="0" t="s">
        <v>4740</v>
      </c>
      <c r="G285" s="0" t="s">
        <v>5501</v>
      </c>
    </row>
    <row customHeight="1" ht="11.25">
      <c r="A286" s="525" t="s">
        <v>14</v>
      </c>
      <c r="B286" s="0" t="s">
        <v>5476</v>
      </c>
      <c r="C286" s="0" t="s">
        <v>5477</v>
      </c>
      <c r="D286" s="0" t="s">
        <v>5502</v>
      </c>
      <c r="E286" s="0" t="s">
        <v>5503</v>
      </c>
      <c r="F286" s="0" t="s">
        <v>4740</v>
      </c>
      <c r="G286" s="0" t="s">
        <v>5504</v>
      </c>
    </row>
    <row customHeight="1" ht="11.25">
      <c r="A287" s="525" t="s">
        <v>14</v>
      </c>
      <c r="B287" s="0" t="s">
        <v>5476</v>
      </c>
      <c r="C287" s="0" t="s">
        <v>5477</v>
      </c>
      <c r="D287" s="0" t="s">
        <v>5505</v>
      </c>
      <c r="E287" s="0" t="s">
        <v>5506</v>
      </c>
      <c r="F287" s="0" t="s">
        <v>4740</v>
      </c>
      <c r="G287" s="0" t="s">
        <v>5507</v>
      </c>
    </row>
    <row customHeight="1" ht="11.25">
      <c r="A288" s="525" t="s">
        <v>14</v>
      </c>
      <c r="B288" s="0" t="s">
        <v>5476</v>
      </c>
      <c r="C288" s="0" t="s">
        <v>5477</v>
      </c>
      <c r="D288" s="0" t="s">
        <v>5287</v>
      </c>
      <c r="E288" s="0" t="s">
        <v>5508</v>
      </c>
      <c r="F288" s="0" t="s">
        <v>4740</v>
      </c>
      <c r="G288" s="0" t="s">
        <v>5509</v>
      </c>
    </row>
    <row customHeight="1" ht="11.25">
      <c r="A289" s="525" t="s">
        <v>14</v>
      </c>
      <c r="B289" s="0" t="s">
        <v>5510</v>
      </c>
      <c r="C289" s="0" t="s">
        <v>5511</v>
      </c>
      <c r="D289" s="0" t="s">
        <v>5512</v>
      </c>
      <c r="E289" s="0" t="s">
        <v>5513</v>
      </c>
      <c r="F289" s="0" t="s">
        <v>4740</v>
      </c>
      <c r="G289" s="0" t="s">
        <v>5514</v>
      </c>
    </row>
    <row customHeight="1" ht="11.25">
      <c r="A290" s="525" t="s">
        <v>14</v>
      </c>
      <c r="B290" s="0" t="s">
        <v>5510</v>
      </c>
      <c r="C290" s="0" t="s">
        <v>5511</v>
      </c>
      <c r="D290" s="0" t="s">
        <v>5515</v>
      </c>
      <c r="E290" s="0" t="s">
        <v>5516</v>
      </c>
      <c r="F290" s="0" t="s">
        <v>4740</v>
      </c>
      <c r="G290" s="0" t="s">
        <v>5517</v>
      </c>
    </row>
    <row customHeight="1" ht="11.25">
      <c r="A291" s="525" t="s">
        <v>14</v>
      </c>
      <c r="B291" s="0" t="s">
        <v>5510</v>
      </c>
      <c r="C291" s="0" t="s">
        <v>5511</v>
      </c>
      <c r="D291" s="0" t="s">
        <v>5518</v>
      </c>
      <c r="E291" s="0" t="s">
        <v>5519</v>
      </c>
      <c r="F291" s="0" t="s">
        <v>4740</v>
      </c>
      <c r="G291" s="0" t="s">
        <v>5520</v>
      </c>
    </row>
    <row customHeight="1" ht="11.25">
      <c r="A292" s="525" t="s">
        <v>14</v>
      </c>
      <c r="B292" s="0" t="s">
        <v>5510</v>
      </c>
      <c r="C292" s="0" t="s">
        <v>5511</v>
      </c>
      <c r="D292" s="0" t="s">
        <v>5426</v>
      </c>
      <c r="E292" s="0" t="s">
        <v>5521</v>
      </c>
      <c r="F292" s="0" t="s">
        <v>4740</v>
      </c>
      <c r="G292" s="0" t="s">
        <v>5522</v>
      </c>
    </row>
    <row customHeight="1" ht="11.25">
      <c r="A293" s="525" t="s">
        <v>14</v>
      </c>
      <c r="B293" s="0" t="s">
        <v>5510</v>
      </c>
      <c r="C293" s="0" t="s">
        <v>5511</v>
      </c>
      <c r="D293" s="0" t="s">
        <v>4743</v>
      </c>
      <c r="E293" s="0" t="s">
        <v>5523</v>
      </c>
      <c r="F293" s="0" t="s">
        <v>4740</v>
      </c>
      <c r="G293" s="0" t="s">
        <v>5524</v>
      </c>
    </row>
    <row customHeight="1" ht="11.25">
      <c r="A294" s="525" t="s">
        <v>14</v>
      </c>
      <c r="B294" s="0" t="s">
        <v>5510</v>
      </c>
      <c r="C294" s="0" t="s">
        <v>5511</v>
      </c>
      <c r="D294" s="0" t="s">
        <v>5525</v>
      </c>
      <c r="E294" s="0" t="s">
        <v>5526</v>
      </c>
      <c r="F294" s="0" t="s">
        <v>4740</v>
      </c>
      <c r="G294" s="0" t="s">
        <v>5527</v>
      </c>
    </row>
    <row customHeight="1" ht="11.25">
      <c r="A295" s="525" t="s">
        <v>14</v>
      </c>
      <c r="B295" s="0" t="s">
        <v>5510</v>
      </c>
      <c r="C295" s="0" t="s">
        <v>5511</v>
      </c>
      <c r="D295" s="0" t="s">
        <v>5510</v>
      </c>
      <c r="E295" s="0" t="s">
        <v>5511</v>
      </c>
      <c r="F295" s="0" t="s">
        <v>4731</v>
      </c>
      <c r="G295" s="0" t="s">
        <v>5528</v>
      </c>
    </row>
    <row customHeight="1" ht="11.25">
      <c r="A296" s="525" t="s">
        <v>14</v>
      </c>
      <c r="B296" s="0" t="s">
        <v>5510</v>
      </c>
      <c r="C296" s="0" t="s">
        <v>5511</v>
      </c>
      <c r="D296" s="0" t="s">
        <v>5529</v>
      </c>
      <c r="E296" s="0" t="s">
        <v>5530</v>
      </c>
      <c r="F296" s="0" t="s">
        <v>4734</v>
      </c>
      <c r="G296" s="0" t="s">
        <v>5531</v>
      </c>
    </row>
    <row customHeight="1" ht="11.25">
      <c r="A297" s="525" t="s">
        <v>14</v>
      </c>
      <c r="B297" s="0" t="s">
        <v>5510</v>
      </c>
      <c r="C297" s="0" t="s">
        <v>5511</v>
      </c>
      <c r="D297" s="0" t="s">
        <v>5532</v>
      </c>
      <c r="E297" s="0" t="s">
        <v>5533</v>
      </c>
      <c r="F297" s="0" t="s">
        <v>4740</v>
      </c>
      <c r="G297" s="0" t="s">
        <v>5534</v>
      </c>
    </row>
    <row customHeight="1" ht="11.25">
      <c r="A298" s="525" t="s">
        <v>14</v>
      </c>
      <c r="B298" s="0" t="s">
        <v>5510</v>
      </c>
      <c r="C298" s="0" t="s">
        <v>5511</v>
      </c>
      <c r="D298" s="0" t="s">
        <v>5535</v>
      </c>
      <c r="E298" s="0" t="s">
        <v>5536</v>
      </c>
      <c r="F298" s="0" t="s">
        <v>4740</v>
      </c>
      <c r="G298" s="0" t="s">
        <v>5537</v>
      </c>
    </row>
    <row customHeight="1" ht="11.25">
      <c r="A299" s="525" t="s">
        <v>14</v>
      </c>
      <c r="B299" s="0" t="s">
        <v>5538</v>
      </c>
      <c r="C299" s="0" t="s">
        <v>5539</v>
      </c>
      <c r="D299" s="0" t="s">
        <v>5540</v>
      </c>
      <c r="E299" s="0" t="s">
        <v>5541</v>
      </c>
      <c r="F299" s="0" t="s">
        <v>4740</v>
      </c>
      <c r="G299" s="0" t="s">
        <v>5542</v>
      </c>
    </row>
    <row customHeight="1" ht="11.25">
      <c r="A300" s="525" t="s">
        <v>14</v>
      </c>
      <c r="B300" s="0" t="s">
        <v>5538</v>
      </c>
      <c r="C300" s="0" t="s">
        <v>5539</v>
      </c>
      <c r="D300" s="0" t="s">
        <v>5543</v>
      </c>
      <c r="E300" s="0" t="s">
        <v>5544</v>
      </c>
      <c r="F300" s="0" t="s">
        <v>4737</v>
      </c>
      <c r="G300" s="0" t="s">
        <v>5545</v>
      </c>
    </row>
    <row customHeight="1" ht="11.25">
      <c r="A301" s="525" t="s">
        <v>14</v>
      </c>
      <c r="B301" s="0" t="s">
        <v>5538</v>
      </c>
      <c r="C301" s="0" t="s">
        <v>5539</v>
      </c>
      <c r="D301" s="0" t="s">
        <v>5546</v>
      </c>
      <c r="E301" s="0" t="s">
        <v>5547</v>
      </c>
      <c r="F301" s="0" t="s">
        <v>4740</v>
      </c>
      <c r="G301" s="0" t="s">
        <v>5548</v>
      </c>
    </row>
    <row customHeight="1" ht="11.25">
      <c r="A302" s="525" t="s">
        <v>14</v>
      </c>
      <c r="B302" s="0" t="s">
        <v>5538</v>
      </c>
      <c r="C302" s="0" t="s">
        <v>5539</v>
      </c>
      <c r="D302" s="0" t="s">
        <v>5549</v>
      </c>
      <c r="E302" s="0" t="s">
        <v>5550</v>
      </c>
      <c r="F302" s="0" t="s">
        <v>4737</v>
      </c>
      <c r="G302" s="0" t="s">
        <v>5551</v>
      </c>
    </row>
    <row customHeight="1" ht="11.25">
      <c r="A303" s="525" t="s">
        <v>14</v>
      </c>
      <c r="B303" s="0" t="s">
        <v>5538</v>
      </c>
      <c r="C303" s="0" t="s">
        <v>5539</v>
      </c>
      <c r="D303" s="0" t="s">
        <v>5552</v>
      </c>
      <c r="E303" s="0" t="s">
        <v>5553</v>
      </c>
      <c r="F303" s="0" t="s">
        <v>4740</v>
      </c>
      <c r="G303" s="0" t="s">
        <v>5554</v>
      </c>
    </row>
    <row customHeight="1" ht="11.25">
      <c r="A304" s="525" t="s">
        <v>14</v>
      </c>
      <c r="B304" s="0" t="s">
        <v>5538</v>
      </c>
      <c r="C304" s="0" t="s">
        <v>5539</v>
      </c>
      <c r="D304" s="0" t="s">
        <v>5555</v>
      </c>
      <c r="E304" s="0" t="s">
        <v>5556</v>
      </c>
      <c r="F304" s="0" t="s">
        <v>4740</v>
      </c>
      <c r="G304" s="0" t="s">
        <v>5557</v>
      </c>
    </row>
    <row customHeight="1" ht="11.25">
      <c r="A305" s="525" t="s">
        <v>14</v>
      </c>
      <c r="B305" s="0" t="s">
        <v>5538</v>
      </c>
      <c r="C305" s="0" t="s">
        <v>5539</v>
      </c>
      <c r="D305" s="0" t="s">
        <v>5202</v>
      </c>
      <c r="E305" s="0" t="s">
        <v>5558</v>
      </c>
      <c r="F305" s="0" t="s">
        <v>4740</v>
      </c>
      <c r="G305" s="0" t="s">
        <v>5559</v>
      </c>
    </row>
    <row customHeight="1" ht="11.25">
      <c r="A306" s="525" t="s">
        <v>14</v>
      </c>
      <c r="B306" s="0" t="s">
        <v>5538</v>
      </c>
      <c r="C306" s="0" t="s">
        <v>5539</v>
      </c>
      <c r="D306" s="0" t="s">
        <v>5560</v>
      </c>
      <c r="E306" s="0" t="s">
        <v>5561</v>
      </c>
      <c r="F306" s="0" t="s">
        <v>4740</v>
      </c>
      <c r="G306" s="0" t="s">
        <v>5562</v>
      </c>
    </row>
    <row customHeight="1" ht="11.25">
      <c r="A307" s="525" t="s">
        <v>14</v>
      </c>
      <c r="B307" s="0" t="s">
        <v>5538</v>
      </c>
      <c r="C307" s="0" t="s">
        <v>5539</v>
      </c>
      <c r="D307" s="0" t="s">
        <v>5538</v>
      </c>
      <c r="E307" s="0" t="s">
        <v>5539</v>
      </c>
      <c r="F307" s="0" t="s">
        <v>4731</v>
      </c>
      <c r="G307" s="0" t="s">
        <v>5563</v>
      </c>
    </row>
    <row customHeight="1" ht="11.25">
      <c r="A308" s="525" t="s">
        <v>14</v>
      </c>
      <c r="B308" s="0" t="s">
        <v>5538</v>
      </c>
      <c r="C308" s="0" t="s">
        <v>5539</v>
      </c>
      <c r="D308" s="0" t="s">
        <v>5564</v>
      </c>
      <c r="E308" s="0" t="s">
        <v>5565</v>
      </c>
      <c r="F308" s="0" t="s">
        <v>4740</v>
      </c>
      <c r="G308" s="0" t="s">
        <v>5566</v>
      </c>
    </row>
    <row customHeight="1" ht="11.25">
      <c r="A309" s="525" t="s">
        <v>14</v>
      </c>
      <c r="B309" s="0" t="s">
        <v>5538</v>
      </c>
      <c r="C309" s="0" t="s">
        <v>5539</v>
      </c>
      <c r="D309" s="0" t="s">
        <v>5567</v>
      </c>
      <c r="E309" s="0" t="s">
        <v>5568</v>
      </c>
      <c r="F309" s="0" t="s">
        <v>4740</v>
      </c>
      <c r="G309" s="0" t="s">
        <v>5569</v>
      </c>
    </row>
    <row customHeight="1" ht="11.25">
      <c r="A310" s="525" t="s">
        <v>14</v>
      </c>
      <c r="B310" s="0" t="s">
        <v>5538</v>
      </c>
      <c r="C310" s="0" t="s">
        <v>5539</v>
      </c>
      <c r="D310" s="0" t="s">
        <v>5570</v>
      </c>
      <c r="E310" s="0" t="s">
        <v>5571</v>
      </c>
      <c r="F310" s="0" t="s">
        <v>4737</v>
      </c>
      <c r="G310" s="0" t="s">
        <v>5572</v>
      </c>
    </row>
    <row customHeight="1" ht="11.25">
      <c r="A311" s="525" t="s">
        <v>14</v>
      </c>
      <c r="B311" s="0" t="s">
        <v>5538</v>
      </c>
      <c r="C311" s="0" t="s">
        <v>5539</v>
      </c>
      <c r="D311" s="0" t="s">
        <v>5573</v>
      </c>
      <c r="E311" s="0" t="s">
        <v>5574</v>
      </c>
      <c r="F311" s="0" t="s">
        <v>4740</v>
      </c>
      <c r="G311" s="0" t="s">
        <v>5575</v>
      </c>
    </row>
    <row customHeight="1" ht="11.25">
      <c r="A312" s="525" t="s">
        <v>14</v>
      </c>
      <c r="B312" s="0" t="s">
        <v>5576</v>
      </c>
      <c r="C312" s="0" t="s">
        <v>5577</v>
      </c>
      <c r="D312" s="0" t="s">
        <v>5576</v>
      </c>
      <c r="E312" s="0" t="s">
        <v>5577</v>
      </c>
      <c r="F312" s="0" t="s">
        <v>4852</v>
      </c>
      <c r="G312" s="0" t="s">
        <v>5578</v>
      </c>
    </row>
    <row customHeight="1" ht="11.25">
      <c r="A313" s="525" t="s">
        <v>14</v>
      </c>
      <c r="B313" s="0" t="s">
        <v>5579</v>
      </c>
      <c r="C313" s="0" t="s">
        <v>5580</v>
      </c>
      <c r="D313" s="0" t="s">
        <v>5581</v>
      </c>
      <c r="E313" s="0" t="s">
        <v>5582</v>
      </c>
      <c r="F313" s="0" t="s">
        <v>4740</v>
      </c>
      <c r="G313" s="0" t="s">
        <v>5583</v>
      </c>
    </row>
    <row customHeight="1" ht="11.25">
      <c r="A314" s="525" t="s">
        <v>14</v>
      </c>
      <c r="B314" s="0" t="s">
        <v>5579</v>
      </c>
      <c r="C314" s="0" t="s">
        <v>5580</v>
      </c>
      <c r="D314" s="0" t="s">
        <v>5584</v>
      </c>
      <c r="E314" s="0" t="s">
        <v>5585</v>
      </c>
      <c r="F314" s="0" t="s">
        <v>4740</v>
      </c>
      <c r="G314" s="0" t="s">
        <v>5586</v>
      </c>
    </row>
    <row customHeight="1" ht="11.25">
      <c r="A315" s="525" t="s">
        <v>14</v>
      </c>
      <c r="B315" s="0" t="s">
        <v>5579</v>
      </c>
      <c r="C315" s="0" t="s">
        <v>5580</v>
      </c>
      <c r="D315" s="0" t="s">
        <v>5587</v>
      </c>
      <c r="E315" s="0" t="s">
        <v>5588</v>
      </c>
      <c r="F315" s="0" t="s">
        <v>4740</v>
      </c>
      <c r="G315" s="0" t="s">
        <v>5589</v>
      </c>
    </row>
    <row customHeight="1" ht="11.25">
      <c r="A316" s="525" t="s">
        <v>14</v>
      </c>
      <c r="B316" s="0" t="s">
        <v>5579</v>
      </c>
      <c r="C316" s="0" t="s">
        <v>5580</v>
      </c>
      <c r="D316" s="0" t="s">
        <v>5590</v>
      </c>
      <c r="E316" s="0" t="s">
        <v>5591</v>
      </c>
      <c r="F316" s="0" t="s">
        <v>4740</v>
      </c>
      <c r="G316" s="0" t="s">
        <v>5592</v>
      </c>
    </row>
    <row customHeight="1" ht="11.25">
      <c r="A317" s="525" t="s">
        <v>14</v>
      </c>
      <c r="B317" s="0" t="s">
        <v>5579</v>
      </c>
      <c r="C317" s="0" t="s">
        <v>5580</v>
      </c>
      <c r="D317" s="0" t="s">
        <v>5593</v>
      </c>
      <c r="E317" s="0" t="s">
        <v>5594</v>
      </c>
      <c r="F317" s="0" t="s">
        <v>4740</v>
      </c>
      <c r="G317" s="0" t="s">
        <v>5595</v>
      </c>
    </row>
    <row customHeight="1" ht="11.25">
      <c r="A318" s="525" t="s">
        <v>14</v>
      </c>
      <c r="B318" s="0" t="s">
        <v>5579</v>
      </c>
      <c r="C318" s="0" t="s">
        <v>5580</v>
      </c>
      <c r="D318" s="0" t="s">
        <v>5596</v>
      </c>
      <c r="E318" s="0" t="s">
        <v>5597</v>
      </c>
      <c r="F318" s="0" t="s">
        <v>4740</v>
      </c>
      <c r="G318" s="0" t="s">
        <v>5598</v>
      </c>
    </row>
    <row customHeight="1" ht="11.25">
      <c r="A319" s="525" t="s">
        <v>14</v>
      </c>
      <c r="B319" s="0" t="s">
        <v>5579</v>
      </c>
      <c r="C319" s="0" t="s">
        <v>5580</v>
      </c>
      <c r="D319" s="0" t="s">
        <v>5599</v>
      </c>
      <c r="E319" s="0" t="s">
        <v>5600</v>
      </c>
      <c r="F319" s="0" t="s">
        <v>4740</v>
      </c>
      <c r="G319" s="0" t="s">
        <v>5601</v>
      </c>
    </row>
    <row customHeight="1" ht="11.25">
      <c r="A320" s="525" t="s">
        <v>14</v>
      </c>
      <c r="B320" s="0" t="s">
        <v>5579</v>
      </c>
      <c r="C320" s="0" t="s">
        <v>5580</v>
      </c>
      <c r="D320" s="0" t="s">
        <v>5602</v>
      </c>
      <c r="E320" s="0" t="s">
        <v>5603</v>
      </c>
      <c r="F320" s="0" t="s">
        <v>4740</v>
      </c>
      <c r="G320" s="0" t="s">
        <v>5604</v>
      </c>
    </row>
    <row customHeight="1" ht="11.25">
      <c r="A321" s="525" t="s">
        <v>14</v>
      </c>
      <c r="B321" s="0" t="s">
        <v>5579</v>
      </c>
      <c r="C321" s="0" t="s">
        <v>5580</v>
      </c>
      <c r="D321" s="0" t="s">
        <v>5605</v>
      </c>
      <c r="E321" s="0" t="s">
        <v>5606</v>
      </c>
      <c r="F321" s="0" t="s">
        <v>4740</v>
      </c>
      <c r="G321" s="0" t="s">
        <v>5607</v>
      </c>
    </row>
    <row customHeight="1" ht="11.25">
      <c r="A322" s="525" t="s">
        <v>14</v>
      </c>
      <c r="B322" s="0" t="s">
        <v>5579</v>
      </c>
      <c r="C322" s="0" t="s">
        <v>5580</v>
      </c>
      <c r="D322" s="0" t="s">
        <v>5398</v>
      </c>
      <c r="E322" s="0" t="s">
        <v>5608</v>
      </c>
      <c r="F322" s="0" t="s">
        <v>4740</v>
      </c>
      <c r="G322" s="0" t="s">
        <v>5609</v>
      </c>
    </row>
    <row customHeight="1" ht="11.25">
      <c r="A323" s="525" t="s">
        <v>14</v>
      </c>
      <c r="B323" s="0" t="s">
        <v>5579</v>
      </c>
      <c r="C323" s="0" t="s">
        <v>5580</v>
      </c>
      <c r="D323" s="0" t="s">
        <v>5610</v>
      </c>
      <c r="E323" s="0" t="s">
        <v>5611</v>
      </c>
      <c r="F323" s="0" t="s">
        <v>4740</v>
      </c>
      <c r="G323" s="0" t="s">
        <v>5612</v>
      </c>
    </row>
    <row customHeight="1" ht="11.25">
      <c r="A324" s="525" t="s">
        <v>14</v>
      </c>
      <c r="B324" s="0" t="s">
        <v>5579</v>
      </c>
      <c r="C324" s="0" t="s">
        <v>5580</v>
      </c>
      <c r="D324" s="0" t="s">
        <v>5613</v>
      </c>
      <c r="E324" s="0" t="s">
        <v>5614</v>
      </c>
      <c r="F324" s="0" t="s">
        <v>4740</v>
      </c>
      <c r="G324" s="0" t="s">
        <v>5615</v>
      </c>
    </row>
    <row customHeight="1" ht="11.25">
      <c r="A325" s="525" t="s">
        <v>14</v>
      </c>
      <c r="B325" s="0" t="s">
        <v>5579</v>
      </c>
      <c r="C325" s="0" t="s">
        <v>5580</v>
      </c>
      <c r="D325" s="0" t="s">
        <v>5579</v>
      </c>
      <c r="E325" s="0" t="s">
        <v>5580</v>
      </c>
      <c r="F325" s="0" t="s">
        <v>4731</v>
      </c>
      <c r="G325" s="0" t="s">
        <v>5616</v>
      </c>
    </row>
    <row customHeight="1" ht="11.25">
      <c r="A326" s="525" t="s">
        <v>14</v>
      </c>
      <c r="B326" s="0" t="s">
        <v>5579</v>
      </c>
      <c r="C326" s="0" t="s">
        <v>5580</v>
      </c>
      <c r="D326" s="0" t="s">
        <v>5617</v>
      </c>
      <c r="E326" s="0" t="s">
        <v>5618</v>
      </c>
      <c r="F326" s="0" t="s">
        <v>4734</v>
      </c>
      <c r="G326" s="0" t="s">
        <v>5619</v>
      </c>
    </row>
    <row customHeight="1" ht="11.25">
      <c r="A327" s="525" t="s">
        <v>14</v>
      </c>
      <c r="B327" s="0" t="s">
        <v>5579</v>
      </c>
      <c r="C327" s="0" t="s">
        <v>5580</v>
      </c>
      <c r="D327" s="0" t="s">
        <v>5620</v>
      </c>
      <c r="E327" s="0" t="s">
        <v>5621</v>
      </c>
      <c r="F327" s="0" t="s">
        <v>4740</v>
      </c>
      <c r="G327" s="0" t="s">
        <v>5622</v>
      </c>
    </row>
    <row customHeight="1" ht="11.25">
      <c r="A328" s="525" t="s">
        <v>14</v>
      </c>
      <c r="B328" s="0" t="s">
        <v>5579</v>
      </c>
      <c r="C328" s="0" t="s">
        <v>5580</v>
      </c>
      <c r="D328" s="0" t="s">
        <v>5623</v>
      </c>
      <c r="E328" s="0" t="s">
        <v>5624</v>
      </c>
      <c r="F328" s="0" t="s">
        <v>4740</v>
      </c>
      <c r="G328" s="0" t="s">
        <v>5625</v>
      </c>
    </row>
    <row customHeight="1" ht="11.25">
      <c r="A329" s="525" t="s">
        <v>14</v>
      </c>
      <c r="B329" s="0" t="s">
        <v>5626</v>
      </c>
      <c r="C329" s="0" t="s">
        <v>5627</v>
      </c>
      <c r="D329" s="0" t="s">
        <v>5628</v>
      </c>
      <c r="E329" s="0" t="s">
        <v>5629</v>
      </c>
      <c r="F329" s="0" t="s">
        <v>4740</v>
      </c>
      <c r="G329" s="0" t="s">
        <v>5630</v>
      </c>
    </row>
    <row customHeight="1" ht="11.25">
      <c r="A330" s="525" t="s">
        <v>14</v>
      </c>
      <c r="B330" s="0" t="s">
        <v>5626</v>
      </c>
      <c r="C330" s="0" t="s">
        <v>5627</v>
      </c>
      <c r="D330" s="0" t="s">
        <v>5026</v>
      </c>
      <c r="E330" s="0" t="s">
        <v>5631</v>
      </c>
      <c r="F330" s="0" t="s">
        <v>4740</v>
      </c>
      <c r="G330" s="0" t="s">
        <v>5632</v>
      </c>
    </row>
    <row customHeight="1" ht="11.25">
      <c r="A331" s="525" t="s">
        <v>14</v>
      </c>
      <c r="B331" s="0" t="s">
        <v>5626</v>
      </c>
      <c r="C331" s="0" t="s">
        <v>5627</v>
      </c>
      <c r="D331" s="0" t="s">
        <v>5633</v>
      </c>
      <c r="E331" s="0" t="s">
        <v>5634</v>
      </c>
      <c r="F331" s="0" t="s">
        <v>4740</v>
      </c>
      <c r="G331" s="0" t="s">
        <v>5635</v>
      </c>
    </row>
    <row customHeight="1" ht="11.25">
      <c r="A332" s="525" t="s">
        <v>14</v>
      </c>
      <c r="B332" s="0" t="s">
        <v>5626</v>
      </c>
      <c r="C332" s="0" t="s">
        <v>5627</v>
      </c>
      <c r="D332" s="0" t="s">
        <v>5636</v>
      </c>
      <c r="E332" s="0" t="s">
        <v>5637</v>
      </c>
      <c r="F332" s="0" t="s">
        <v>4740</v>
      </c>
      <c r="G332" s="0" t="s">
        <v>5638</v>
      </c>
    </row>
    <row customHeight="1" ht="11.25">
      <c r="A333" s="525" t="s">
        <v>14</v>
      </c>
      <c r="B333" s="0" t="s">
        <v>5626</v>
      </c>
      <c r="C333" s="0" t="s">
        <v>5627</v>
      </c>
      <c r="D333" s="0" t="s">
        <v>5626</v>
      </c>
      <c r="E333" s="0" t="s">
        <v>5627</v>
      </c>
      <c r="F333" s="0" t="s">
        <v>4731</v>
      </c>
      <c r="G333" s="0" t="s">
        <v>5639</v>
      </c>
    </row>
    <row customHeight="1" ht="11.25">
      <c r="A334" s="525" t="s">
        <v>14</v>
      </c>
      <c r="B334" s="0" t="s">
        <v>5626</v>
      </c>
      <c r="C334" s="0" t="s">
        <v>5627</v>
      </c>
      <c r="D334" s="0" t="s">
        <v>5640</v>
      </c>
      <c r="E334" s="0" t="s">
        <v>5641</v>
      </c>
      <c r="F334" s="0" t="s">
        <v>4740</v>
      </c>
      <c r="G334" s="0" t="s">
        <v>5642</v>
      </c>
    </row>
    <row customHeight="1" ht="11.25">
      <c r="A335" s="525" t="s">
        <v>14</v>
      </c>
      <c r="B335" s="0" t="s">
        <v>5643</v>
      </c>
      <c r="C335" s="0" t="s">
        <v>5644</v>
      </c>
      <c r="D335" s="0" t="s">
        <v>5645</v>
      </c>
      <c r="E335" s="0" t="s">
        <v>5646</v>
      </c>
      <c r="F335" s="0" t="s">
        <v>4740</v>
      </c>
      <c r="G335" s="0" t="s">
        <v>5647</v>
      </c>
    </row>
    <row customHeight="1" ht="11.25">
      <c r="A336" s="525" t="s">
        <v>14</v>
      </c>
      <c r="B336" s="0" t="s">
        <v>5643</v>
      </c>
      <c r="C336" s="0" t="s">
        <v>5644</v>
      </c>
      <c r="D336" s="0" t="s">
        <v>5648</v>
      </c>
      <c r="E336" s="0" t="s">
        <v>5649</v>
      </c>
      <c r="F336" s="0" t="s">
        <v>4740</v>
      </c>
      <c r="G336" s="0" t="s">
        <v>5650</v>
      </c>
    </row>
    <row customHeight="1" ht="11.25">
      <c r="A337" s="525" t="s">
        <v>14</v>
      </c>
      <c r="B337" s="0" t="s">
        <v>5643</v>
      </c>
      <c r="C337" s="0" t="s">
        <v>5644</v>
      </c>
      <c r="D337" s="0" t="s">
        <v>5651</v>
      </c>
      <c r="E337" s="0" t="s">
        <v>5652</v>
      </c>
      <c r="F337" s="0" t="s">
        <v>4740</v>
      </c>
      <c r="G337" s="0" t="s">
        <v>5653</v>
      </c>
    </row>
    <row customHeight="1" ht="11.25">
      <c r="A338" s="525" t="s">
        <v>14</v>
      </c>
      <c r="B338" s="0" t="s">
        <v>5643</v>
      </c>
      <c r="C338" s="0" t="s">
        <v>5644</v>
      </c>
      <c r="D338" s="0" t="s">
        <v>5654</v>
      </c>
      <c r="E338" s="0" t="s">
        <v>5655</v>
      </c>
      <c r="F338" s="0" t="s">
        <v>4740</v>
      </c>
      <c r="G338" s="0" t="s">
        <v>5656</v>
      </c>
    </row>
    <row customHeight="1" ht="11.25">
      <c r="A339" s="525" t="s">
        <v>14</v>
      </c>
      <c r="B339" s="0" t="s">
        <v>5643</v>
      </c>
      <c r="C339" s="0" t="s">
        <v>5644</v>
      </c>
      <c r="D339" s="0" t="s">
        <v>5657</v>
      </c>
      <c r="E339" s="0" t="s">
        <v>5658</v>
      </c>
      <c r="F339" s="0" t="s">
        <v>4740</v>
      </c>
      <c r="G339" s="0" t="s">
        <v>5659</v>
      </c>
    </row>
    <row customHeight="1" ht="11.25">
      <c r="A340" s="525" t="s">
        <v>14</v>
      </c>
      <c r="B340" s="0" t="s">
        <v>5643</v>
      </c>
      <c r="C340" s="0" t="s">
        <v>5644</v>
      </c>
      <c r="D340" s="0" t="s">
        <v>5660</v>
      </c>
      <c r="E340" s="0" t="s">
        <v>5661</v>
      </c>
      <c r="F340" s="0" t="s">
        <v>4740</v>
      </c>
      <c r="G340" s="0" t="s">
        <v>5662</v>
      </c>
    </row>
    <row customHeight="1" ht="11.25">
      <c r="A341" s="525" t="s">
        <v>14</v>
      </c>
      <c r="B341" s="0" t="s">
        <v>5643</v>
      </c>
      <c r="C341" s="0" t="s">
        <v>5644</v>
      </c>
      <c r="D341" s="0" t="s">
        <v>5663</v>
      </c>
      <c r="E341" s="0" t="s">
        <v>5664</v>
      </c>
      <c r="F341" s="0" t="s">
        <v>4740</v>
      </c>
      <c r="G341" s="0" t="s">
        <v>5665</v>
      </c>
    </row>
    <row customHeight="1" ht="11.25">
      <c r="A342" s="525" t="s">
        <v>14</v>
      </c>
      <c r="B342" s="0" t="s">
        <v>5643</v>
      </c>
      <c r="C342" s="0" t="s">
        <v>5644</v>
      </c>
      <c r="D342" s="0" t="s">
        <v>5643</v>
      </c>
      <c r="E342" s="0" t="s">
        <v>5644</v>
      </c>
      <c r="F342" s="0" t="s">
        <v>4731</v>
      </c>
      <c r="G342" s="0" t="s">
        <v>5666</v>
      </c>
    </row>
    <row customHeight="1" ht="11.25">
      <c r="A343" s="525" t="s">
        <v>14</v>
      </c>
      <c r="B343" s="0" t="s">
        <v>5643</v>
      </c>
      <c r="C343" s="0" t="s">
        <v>5644</v>
      </c>
      <c r="D343" s="0" t="s">
        <v>5667</v>
      </c>
      <c r="E343" s="0" t="s">
        <v>5668</v>
      </c>
      <c r="F343" s="0" t="s">
        <v>4740</v>
      </c>
      <c r="G343" s="0" t="s">
        <v>5669</v>
      </c>
    </row>
    <row customHeight="1" ht="11.25">
      <c r="A344" s="525" t="s">
        <v>14</v>
      </c>
      <c r="B344" s="0" t="s">
        <v>5670</v>
      </c>
      <c r="C344" s="0" t="s">
        <v>5671</v>
      </c>
      <c r="D344" s="0" t="s">
        <v>5672</v>
      </c>
      <c r="E344" s="0" t="s">
        <v>5673</v>
      </c>
      <c r="F344" s="0" t="s">
        <v>4740</v>
      </c>
      <c r="G344" s="0" t="s">
        <v>5674</v>
      </c>
    </row>
    <row customHeight="1" ht="11.25">
      <c r="A345" s="525" t="s">
        <v>14</v>
      </c>
      <c r="B345" s="0" t="s">
        <v>5670</v>
      </c>
      <c r="C345" s="0" t="s">
        <v>5671</v>
      </c>
      <c r="D345" s="0" t="s">
        <v>5675</v>
      </c>
      <c r="E345" s="0" t="s">
        <v>5676</v>
      </c>
      <c r="F345" s="0" t="s">
        <v>4740</v>
      </c>
      <c r="G345" s="0" t="s">
        <v>5677</v>
      </c>
    </row>
    <row customHeight="1" ht="11.25">
      <c r="A346" s="525" t="s">
        <v>14</v>
      </c>
      <c r="B346" s="0" t="s">
        <v>5670</v>
      </c>
      <c r="C346" s="0" t="s">
        <v>5671</v>
      </c>
      <c r="D346" s="0" t="s">
        <v>5678</v>
      </c>
      <c r="E346" s="0" t="s">
        <v>5679</v>
      </c>
      <c r="F346" s="0" t="s">
        <v>4740</v>
      </c>
      <c r="G346" s="0" t="s">
        <v>5680</v>
      </c>
    </row>
    <row customHeight="1" ht="11.25">
      <c r="A347" s="525" t="s">
        <v>14</v>
      </c>
      <c r="B347" s="0" t="s">
        <v>5670</v>
      </c>
      <c r="C347" s="0" t="s">
        <v>5671</v>
      </c>
      <c r="D347" s="0" t="s">
        <v>5681</v>
      </c>
      <c r="E347" s="0" t="s">
        <v>5682</v>
      </c>
      <c r="F347" s="0" t="s">
        <v>4740</v>
      </c>
      <c r="G347" s="0" t="s">
        <v>5683</v>
      </c>
    </row>
    <row customHeight="1" ht="11.25">
      <c r="A348" s="525" t="s">
        <v>14</v>
      </c>
      <c r="B348" s="0" t="s">
        <v>5670</v>
      </c>
      <c r="C348" s="0" t="s">
        <v>5671</v>
      </c>
      <c r="D348" s="0" t="s">
        <v>5684</v>
      </c>
      <c r="E348" s="0" t="s">
        <v>5685</v>
      </c>
      <c r="F348" s="0" t="s">
        <v>4740</v>
      </c>
      <c r="G348" s="0" t="s">
        <v>5686</v>
      </c>
    </row>
    <row customHeight="1" ht="11.25">
      <c r="A349" s="525" t="s">
        <v>14</v>
      </c>
      <c r="B349" s="0" t="s">
        <v>5670</v>
      </c>
      <c r="C349" s="0" t="s">
        <v>5671</v>
      </c>
      <c r="D349" s="0" t="s">
        <v>5687</v>
      </c>
      <c r="E349" s="0" t="s">
        <v>5688</v>
      </c>
      <c r="F349" s="0" t="s">
        <v>4740</v>
      </c>
      <c r="G349" s="0" t="s">
        <v>5689</v>
      </c>
    </row>
    <row customHeight="1" ht="11.25">
      <c r="A350" s="525" t="s">
        <v>14</v>
      </c>
      <c r="B350" s="0" t="s">
        <v>5670</v>
      </c>
      <c r="C350" s="0" t="s">
        <v>5671</v>
      </c>
      <c r="D350" s="0" t="s">
        <v>5690</v>
      </c>
      <c r="E350" s="0" t="s">
        <v>5691</v>
      </c>
      <c r="F350" s="0" t="s">
        <v>4740</v>
      </c>
      <c r="G350" s="0" t="s">
        <v>5692</v>
      </c>
    </row>
    <row customHeight="1" ht="11.25">
      <c r="A351" s="525" t="s">
        <v>14</v>
      </c>
      <c r="B351" s="0" t="s">
        <v>5670</v>
      </c>
      <c r="C351" s="0" t="s">
        <v>5671</v>
      </c>
      <c r="D351" s="0" t="s">
        <v>5693</v>
      </c>
      <c r="E351" s="0" t="s">
        <v>5694</v>
      </c>
      <c r="F351" s="0" t="s">
        <v>4740</v>
      </c>
      <c r="G351" s="0" t="s">
        <v>5695</v>
      </c>
    </row>
    <row customHeight="1" ht="11.25">
      <c r="A352" s="525" t="s">
        <v>14</v>
      </c>
      <c r="B352" s="0" t="s">
        <v>5670</v>
      </c>
      <c r="C352" s="0" t="s">
        <v>5671</v>
      </c>
      <c r="D352" s="0" t="s">
        <v>5696</v>
      </c>
      <c r="E352" s="0" t="s">
        <v>5697</v>
      </c>
      <c r="F352" s="0" t="s">
        <v>4740</v>
      </c>
      <c r="G352" s="0" t="s">
        <v>5698</v>
      </c>
    </row>
    <row customHeight="1" ht="11.25">
      <c r="A353" s="525" t="s">
        <v>14</v>
      </c>
      <c r="B353" s="0" t="s">
        <v>5670</v>
      </c>
      <c r="C353" s="0" t="s">
        <v>5671</v>
      </c>
      <c r="D353" s="0" t="s">
        <v>5699</v>
      </c>
      <c r="E353" s="0" t="s">
        <v>5700</v>
      </c>
      <c r="F353" s="0" t="s">
        <v>4740</v>
      </c>
      <c r="G353" s="0" t="s">
        <v>5701</v>
      </c>
    </row>
    <row customHeight="1" ht="11.25">
      <c r="A354" s="525" t="s">
        <v>14</v>
      </c>
      <c r="B354" s="0" t="s">
        <v>5670</v>
      </c>
      <c r="C354" s="0" t="s">
        <v>5671</v>
      </c>
      <c r="D354" s="0" t="s">
        <v>5670</v>
      </c>
      <c r="E354" s="0" t="s">
        <v>5671</v>
      </c>
      <c r="F354" s="0" t="s">
        <v>4731</v>
      </c>
      <c r="G354" s="0" t="s">
        <v>5702</v>
      </c>
    </row>
    <row customHeight="1" ht="11.25">
      <c r="A355" s="525" t="s">
        <v>14</v>
      </c>
      <c r="B355" s="0" t="s">
        <v>5670</v>
      </c>
      <c r="C355" s="0" t="s">
        <v>5671</v>
      </c>
      <c r="D355" s="0" t="s">
        <v>5703</v>
      </c>
      <c r="E355" s="0" t="s">
        <v>5704</v>
      </c>
      <c r="F355" s="0" t="s">
        <v>4734</v>
      </c>
      <c r="G355" s="0" t="s">
        <v>5705</v>
      </c>
    </row>
    <row customHeight="1" ht="11.25">
      <c r="A356" s="525" t="s">
        <v>14</v>
      </c>
      <c r="B356" s="0" t="s">
        <v>5670</v>
      </c>
      <c r="C356" s="0" t="s">
        <v>5671</v>
      </c>
      <c r="D356" s="0" t="s">
        <v>5706</v>
      </c>
      <c r="E356" s="0" t="s">
        <v>5707</v>
      </c>
      <c r="F356" s="0" t="s">
        <v>4740</v>
      </c>
      <c r="G356" s="0" t="s">
        <v>5708</v>
      </c>
    </row>
    <row customHeight="1" ht="11.25">
      <c r="A357" s="525" t="s">
        <v>14</v>
      </c>
      <c r="B357" s="0" t="s">
        <v>5709</v>
      </c>
      <c r="C357" s="0" t="s">
        <v>5710</v>
      </c>
      <c r="D357" s="0" t="s">
        <v>5711</v>
      </c>
      <c r="E357" s="0" t="s">
        <v>5712</v>
      </c>
      <c r="F357" s="0" t="s">
        <v>4740</v>
      </c>
      <c r="G357" s="0" t="s">
        <v>5713</v>
      </c>
    </row>
    <row customHeight="1" ht="11.25">
      <c r="A358" s="525" t="s">
        <v>14</v>
      </c>
      <c r="B358" s="0" t="s">
        <v>5709</v>
      </c>
      <c r="C358" s="0" t="s">
        <v>5710</v>
      </c>
      <c r="D358" s="0" t="s">
        <v>5714</v>
      </c>
      <c r="E358" s="0" t="s">
        <v>5715</v>
      </c>
      <c r="F358" s="0" t="s">
        <v>4740</v>
      </c>
      <c r="G358" s="0" t="s">
        <v>5716</v>
      </c>
    </row>
    <row customHeight="1" ht="11.25">
      <c r="A359" s="525" t="s">
        <v>14</v>
      </c>
      <c r="B359" s="0" t="s">
        <v>5709</v>
      </c>
      <c r="C359" s="0" t="s">
        <v>5710</v>
      </c>
      <c r="D359" s="0" t="s">
        <v>5717</v>
      </c>
      <c r="E359" s="0" t="s">
        <v>5718</v>
      </c>
      <c r="F359" s="0" t="s">
        <v>4740</v>
      </c>
      <c r="G359" s="0" t="s">
        <v>5719</v>
      </c>
    </row>
    <row customHeight="1" ht="11.25">
      <c r="A360" s="525" t="s">
        <v>14</v>
      </c>
      <c r="B360" s="0" t="s">
        <v>5709</v>
      </c>
      <c r="C360" s="0" t="s">
        <v>5710</v>
      </c>
      <c r="D360" s="0" t="s">
        <v>5720</v>
      </c>
      <c r="E360" s="0" t="s">
        <v>5721</v>
      </c>
      <c r="F360" s="0" t="s">
        <v>4740</v>
      </c>
      <c r="G360" s="0" t="s">
        <v>5722</v>
      </c>
    </row>
    <row customHeight="1" ht="11.25">
      <c r="A361" s="525" t="s">
        <v>14</v>
      </c>
      <c r="B361" s="0" t="s">
        <v>5709</v>
      </c>
      <c r="C361" s="0" t="s">
        <v>5710</v>
      </c>
      <c r="D361" s="0" t="s">
        <v>5723</v>
      </c>
      <c r="E361" s="0" t="s">
        <v>5724</v>
      </c>
      <c r="F361" s="0" t="s">
        <v>4740</v>
      </c>
      <c r="G361" s="0" t="s">
        <v>5725</v>
      </c>
    </row>
    <row customHeight="1" ht="11.25">
      <c r="A362" s="525" t="s">
        <v>14</v>
      </c>
      <c r="B362" s="0" t="s">
        <v>5709</v>
      </c>
      <c r="C362" s="0" t="s">
        <v>5710</v>
      </c>
      <c r="D362" s="0" t="s">
        <v>5726</v>
      </c>
      <c r="E362" s="0" t="s">
        <v>5727</v>
      </c>
      <c r="F362" s="0" t="s">
        <v>4740</v>
      </c>
      <c r="G362" s="0" t="s">
        <v>5728</v>
      </c>
    </row>
    <row customHeight="1" ht="11.25">
      <c r="A363" s="525" t="s">
        <v>14</v>
      </c>
      <c r="B363" s="0" t="s">
        <v>5709</v>
      </c>
      <c r="C363" s="0" t="s">
        <v>5710</v>
      </c>
      <c r="D363" s="0" t="s">
        <v>5729</v>
      </c>
      <c r="E363" s="0" t="s">
        <v>5730</v>
      </c>
      <c r="F363" s="0" t="s">
        <v>4740</v>
      </c>
      <c r="G363" s="0" t="s">
        <v>5731</v>
      </c>
    </row>
    <row customHeight="1" ht="11.25">
      <c r="A364" s="525" t="s">
        <v>14</v>
      </c>
      <c r="B364" s="0" t="s">
        <v>5709</v>
      </c>
      <c r="C364" s="0" t="s">
        <v>5710</v>
      </c>
      <c r="D364" s="0" t="s">
        <v>5732</v>
      </c>
      <c r="E364" s="0" t="s">
        <v>5733</v>
      </c>
      <c r="F364" s="0" t="s">
        <v>4740</v>
      </c>
      <c r="G364" s="0" t="s">
        <v>5734</v>
      </c>
    </row>
    <row customHeight="1" ht="11.25">
      <c r="A365" s="525" t="s">
        <v>14</v>
      </c>
      <c r="B365" s="0" t="s">
        <v>5709</v>
      </c>
      <c r="C365" s="0" t="s">
        <v>5710</v>
      </c>
      <c r="D365" s="0" t="s">
        <v>5735</v>
      </c>
      <c r="E365" s="0" t="s">
        <v>5736</v>
      </c>
      <c r="F365" s="0" t="s">
        <v>4740</v>
      </c>
      <c r="G365" s="0" t="s">
        <v>5737</v>
      </c>
    </row>
    <row customHeight="1" ht="11.25">
      <c r="A366" s="525" t="s">
        <v>14</v>
      </c>
      <c r="B366" s="0" t="s">
        <v>5709</v>
      </c>
      <c r="C366" s="0" t="s">
        <v>5710</v>
      </c>
      <c r="D366" s="0" t="s">
        <v>5709</v>
      </c>
      <c r="E366" s="0" t="s">
        <v>5710</v>
      </c>
      <c r="F366" s="0" t="s">
        <v>4731</v>
      </c>
      <c r="G366" s="0" t="s">
        <v>5738</v>
      </c>
    </row>
    <row customHeight="1" ht="11.25">
      <c r="A367" s="525" t="s">
        <v>14</v>
      </c>
      <c r="B367" s="0" t="s">
        <v>5709</v>
      </c>
      <c r="C367" s="0" t="s">
        <v>5710</v>
      </c>
      <c r="D367" s="0" t="s">
        <v>5739</v>
      </c>
      <c r="E367" s="0" t="s">
        <v>5740</v>
      </c>
      <c r="F367" s="0" t="s">
        <v>4734</v>
      </c>
      <c r="G367" s="0" t="s">
        <v>5741</v>
      </c>
    </row>
    <row customHeight="1" ht="11.25">
      <c r="A368" s="525" t="s">
        <v>14</v>
      </c>
      <c r="B368" s="0" t="s">
        <v>5742</v>
      </c>
      <c r="C368" s="0" t="s">
        <v>5743</v>
      </c>
      <c r="D368" s="0" t="s">
        <v>5744</v>
      </c>
      <c r="E368" s="0" t="s">
        <v>5745</v>
      </c>
      <c r="F368" s="0" t="s">
        <v>4740</v>
      </c>
      <c r="G368" s="0" t="s">
        <v>5746</v>
      </c>
    </row>
    <row customHeight="1" ht="11.25">
      <c r="A369" s="525" t="s">
        <v>14</v>
      </c>
      <c r="B369" s="0" t="s">
        <v>5742</v>
      </c>
      <c r="C369" s="0" t="s">
        <v>5743</v>
      </c>
      <c r="D369" s="0" t="s">
        <v>5747</v>
      </c>
      <c r="E369" s="0" t="s">
        <v>5748</v>
      </c>
      <c r="F369" s="0" t="s">
        <v>4740</v>
      </c>
      <c r="G369" s="0" t="s">
        <v>5749</v>
      </c>
    </row>
    <row customHeight="1" ht="11.25">
      <c r="A370" s="525" t="s">
        <v>14</v>
      </c>
      <c r="B370" s="0" t="s">
        <v>5742</v>
      </c>
      <c r="C370" s="0" t="s">
        <v>5743</v>
      </c>
      <c r="D370" s="0" t="s">
        <v>5750</v>
      </c>
      <c r="E370" s="0" t="s">
        <v>5751</v>
      </c>
      <c r="F370" s="0" t="s">
        <v>4740</v>
      </c>
      <c r="G370" s="0" t="s">
        <v>5752</v>
      </c>
    </row>
    <row customHeight="1" ht="11.25">
      <c r="A371" s="525" t="s">
        <v>14</v>
      </c>
      <c r="B371" s="0" t="s">
        <v>5742</v>
      </c>
      <c r="C371" s="0" t="s">
        <v>5743</v>
      </c>
      <c r="D371" s="0" t="s">
        <v>5753</v>
      </c>
      <c r="E371" s="0" t="s">
        <v>5754</v>
      </c>
      <c r="F371" s="0" t="s">
        <v>4740</v>
      </c>
      <c r="G371" s="0" t="s">
        <v>5755</v>
      </c>
    </row>
    <row customHeight="1" ht="11.25">
      <c r="A372" s="525" t="s">
        <v>14</v>
      </c>
      <c r="B372" s="0" t="s">
        <v>5742</v>
      </c>
      <c r="C372" s="0" t="s">
        <v>5743</v>
      </c>
      <c r="D372" s="0" t="s">
        <v>5756</v>
      </c>
      <c r="E372" s="0" t="s">
        <v>5757</v>
      </c>
      <c r="F372" s="0" t="s">
        <v>4740</v>
      </c>
      <c r="G372" s="0" t="s">
        <v>5758</v>
      </c>
    </row>
    <row customHeight="1" ht="11.25">
      <c r="A373" s="525" t="s">
        <v>14</v>
      </c>
      <c r="B373" s="0" t="s">
        <v>5742</v>
      </c>
      <c r="C373" s="0" t="s">
        <v>5743</v>
      </c>
      <c r="D373" s="0" t="s">
        <v>5759</v>
      </c>
      <c r="E373" s="0" t="s">
        <v>5760</v>
      </c>
      <c r="F373" s="0" t="s">
        <v>4740</v>
      </c>
      <c r="G373" s="0" t="s">
        <v>5761</v>
      </c>
    </row>
    <row customHeight="1" ht="11.25">
      <c r="A374" s="525" t="s">
        <v>14</v>
      </c>
      <c r="B374" s="0" t="s">
        <v>5742</v>
      </c>
      <c r="C374" s="0" t="s">
        <v>5743</v>
      </c>
      <c r="D374" s="0" t="s">
        <v>5452</v>
      </c>
      <c r="E374" s="0" t="s">
        <v>5762</v>
      </c>
      <c r="F374" s="0" t="s">
        <v>4740</v>
      </c>
      <c r="G374" s="0" t="s">
        <v>5763</v>
      </c>
    </row>
    <row customHeight="1" ht="11.25">
      <c r="A375" s="525" t="s">
        <v>14</v>
      </c>
      <c r="B375" s="0" t="s">
        <v>5742</v>
      </c>
      <c r="C375" s="0" t="s">
        <v>5743</v>
      </c>
      <c r="D375" s="0" t="s">
        <v>5764</v>
      </c>
      <c r="E375" s="0" t="s">
        <v>5765</v>
      </c>
      <c r="F375" s="0" t="s">
        <v>4740</v>
      </c>
      <c r="G375" s="0" t="s">
        <v>5766</v>
      </c>
    </row>
    <row customHeight="1" ht="11.25">
      <c r="A376" s="525" t="s">
        <v>14</v>
      </c>
      <c r="B376" s="0" t="s">
        <v>5742</v>
      </c>
      <c r="C376" s="0" t="s">
        <v>5743</v>
      </c>
      <c r="D376" s="0" t="s">
        <v>5767</v>
      </c>
      <c r="E376" s="0" t="s">
        <v>5768</v>
      </c>
      <c r="F376" s="0" t="s">
        <v>4740</v>
      </c>
      <c r="G376" s="0" t="s">
        <v>5769</v>
      </c>
    </row>
    <row customHeight="1" ht="11.25">
      <c r="A377" s="525" t="s">
        <v>14</v>
      </c>
      <c r="B377" s="0" t="s">
        <v>5742</v>
      </c>
      <c r="C377" s="0" t="s">
        <v>5743</v>
      </c>
      <c r="D377" s="0" t="s">
        <v>5742</v>
      </c>
      <c r="E377" s="0" t="s">
        <v>5743</v>
      </c>
      <c r="F377" s="0" t="s">
        <v>4731</v>
      </c>
      <c r="G377" s="0" t="s">
        <v>5770</v>
      </c>
    </row>
    <row customHeight="1" ht="11.25">
      <c r="A378" s="525" t="s">
        <v>14</v>
      </c>
      <c r="B378" s="0" t="s">
        <v>5742</v>
      </c>
      <c r="C378" s="0" t="s">
        <v>5743</v>
      </c>
      <c r="D378" s="0" t="s">
        <v>5771</v>
      </c>
      <c r="E378" s="0" t="s">
        <v>5772</v>
      </c>
      <c r="F378" s="0" t="s">
        <v>4734</v>
      </c>
      <c r="G378" s="0" t="s">
        <v>5773</v>
      </c>
    </row>
    <row customHeight="1" ht="11.25">
      <c r="A379" s="525" t="s">
        <v>14</v>
      </c>
      <c r="B379" s="0" t="s">
        <v>5742</v>
      </c>
      <c r="C379" s="0" t="s">
        <v>5743</v>
      </c>
      <c r="D379" s="0" t="s">
        <v>5774</v>
      </c>
      <c r="E379" s="0" t="s">
        <v>5775</v>
      </c>
      <c r="F379" s="0" t="s">
        <v>4740</v>
      </c>
      <c r="G379" s="0" t="s">
        <v>5776</v>
      </c>
    </row>
    <row customHeight="1" ht="11.25">
      <c r="A380" s="525" t="s">
        <v>14</v>
      </c>
      <c r="B380" s="0" t="s">
        <v>5742</v>
      </c>
      <c r="C380" s="0" t="s">
        <v>5743</v>
      </c>
      <c r="D380" s="0" t="s">
        <v>5777</v>
      </c>
      <c r="E380" s="0" t="s">
        <v>5778</v>
      </c>
      <c r="F380" s="0" t="s">
        <v>4740</v>
      </c>
      <c r="G380" s="0" t="s">
        <v>5779</v>
      </c>
    </row>
    <row customHeight="1" ht="11.25">
      <c r="A381" s="525" t="s">
        <v>14</v>
      </c>
      <c r="B381" s="0" t="s">
        <v>5742</v>
      </c>
      <c r="C381" s="0" t="s">
        <v>5743</v>
      </c>
      <c r="D381" s="0" t="s">
        <v>5780</v>
      </c>
      <c r="E381" s="0" t="s">
        <v>5781</v>
      </c>
      <c r="F381" s="0" t="s">
        <v>4740</v>
      </c>
      <c r="G381" s="0" t="s">
        <v>5782</v>
      </c>
    </row>
    <row customHeight="1" ht="11.25">
      <c r="A382" s="525" t="s">
        <v>14</v>
      </c>
      <c r="B382" s="0" t="s">
        <v>5783</v>
      </c>
      <c r="C382" s="0" t="s">
        <v>5784</v>
      </c>
      <c r="D382" s="0" t="s">
        <v>5785</v>
      </c>
      <c r="E382" s="0" t="s">
        <v>5786</v>
      </c>
      <c r="F382" s="0" t="s">
        <v>4740</v>
      </c>
      <c r="G382" s="0" t="s">
        <v>5787</v>
      </c>
    </row>
    <row customHeight="1" ht="11.25">
      <c r="A383" s="525" t="s">
        <v>14</v>
      </c>
      <c r="B383" s="0" t="s">
        <v>5783</v>
      </c>
      <c r="C383" s="0" t="s">
        <v>5784</v>
      </c>
      <c r="D383" s="0" t="s">
        <v>5788</v>
      </c>
      <c r="E383" s="0" t="s">
        <v>5789</v>
      </c>
      <c r="F383" s="0" t="s">
        <v>4740</v>
      </c>
      <c r="G383" s="0" t="s">
        <v>5790</v>
      </c>
    </row>
    <row customHeight="1" ht="11.25">
      <c r="A384" s="525" t="s">
        <v>14</v>
      </c>
      <c r="B384" s="0" t="s">
        <v>5783</v>
      </c>
      <c r="C384" s="0" t="s">
        <v>5784</v>
      </c>
      <c r="D384" s="0" t="s">
        <v>5791</v>
      </c>
      <c r="E384" s="0" t="s">
        <v>5792</v>
      </c>
      <c r="F384" s="0" t="s">
        <v>4737</v>
      </c>
      <c r="G384" s="0" t="s">
        <v>5793</v>
      </c>
    </row>
    <row customHeight="1" ht="11.25">
      <c r="A385" s="525" t="s">
        <v>14</v>
      </c>
      <c r="B385" s="0" t="s">
        <v>5783</v>
      </c>
      <c r="C385" s="0" t="s">
        <v>5784</v>
      </c>
      <c r="D385" s="0" t="s">
        <v>5794</v>
      </c>
      <c r="E385" s="0" t="s">
        <v>5795</v>
      </c>
      <c r="F385" s="0" t="s">
        <v>4740</v>
      </c>
      <c r="G385" s="0" t="s">
        <v>5796</v>
      </c>
    </row>
    <row customHeight="1" ht="11.25">
      <c r="A386" s="525" t="s">
        <v>14</v>
      </c>
      <c r="B386" s="0" t="s">
        <v>5783</v>
      </c>
      <c r="C386" s="0" t="s">
        <v>5784</v>
      </c>
      <c r="D386" s="0" t="s">
        <v>5797</v>
      </c>
      <c r="E386" s="0" t="s">
        <v>5798</v>
      </c>
      <c r="F386" s="0" t="s">
        <v>4737</v>
      </c>
      <c r="G386" s="0" t="s">
        <v>5799</v>
      </c>
    </row>
    <row customHeight="1" ht="11.25">
      <c r="A387" s="525" t="s">
        <v>14</v>
      </c>
      <c r="B387" s="0" t="s">
        <v>5783</v>
      </c>
      <c r="C387" s="0" t="s">
        <v>5784</v>
      </c>
      <c r="D387" s="0" t="s">
        <v>5110</v>
      </c>
      <c r="E387" s="0" t="s">
        <v>5800</v>
      </c>
      <c r="F387" s="0" t="s">
        <v>4740</v>
      </c>
      <c r="G387" s="0" t="s">
        <v>5801</v>
      </c>
    </row>
    <row customHeight="1" ht="11.25">
      <c r="A388" s="525" t="s">
        <v>14</v>
      </c>
      <c r="B388" s="0" t="s">
        <v>5783</v>
      </c>
      <c r="C388" s="0" t="s">
        <v>5784</v>
      </c>
      <c r="D388" s="0" t="s">
        <v>5802</v>
      </c>
      <c r="E388" s="0" t="s">
        <v>5803</v>
      </c>
      <c r="F388" s="0" t="s">
        <v>4740</v>
      </c>
      <c r="G388" s="0" t="s">
        <v>5804</v>
      </c>
    </row>
    <row customHeight="1" ht="11.25">
      <c r="A389" s="525" t="s">
        <v>14</v>
      </c>
      <c r="B389" s="0" t="s">
        <v>5783</v>
      </c>
      <c r="C389" s="0" t="s">
        <v>5784</v>
      </c>
      <c r="D389" s="0" t="s">
        <v>5783</v>
      </c>
      <c r="E389" s="0" t="s">
        <v>5784</v>
      </c>
      <c r="F389" s="0" t="s">
        <v>4731</v>
      </c>
      <c r="G389" s="0" t="s">
        <v>5805</v>
      </c>
    </row>
    <row customHeight="1" ht="11.25">
      <c r="A390" s="525" t="s">
        <v>14</v>
      </c>
      <c r="B390" s="0" t="s">
        <v>5783</v>
      </c>
      <c r="C390" s="0" t="s">
        <v>5784</v>
      </c>
      <c r="D390" s="0" t="s">
        <v>5806</v>
      </c>
      <c r="E390" s="0" t="s">
        <v>5807</v>
      </c>
      <c r="F390" s="0" t="s">
        <v>4734</v>
      </c>
      <c r="G390" s="0" t="s">
        <v>5808</v>
      </c>
    </row>
    <row customHeight="1" ht="11.25">
      <c r="A391" s="525" t="s">
        <v>14</v>
      </c>
      <c r="B391" s="0" t="s">
        <v>5783</v>
      </c>
      <c r="C391" s="0" t="s">
        <v>5784</v>
      </c>
      <c r="D391" s="0" t="s">
        <v>5809</v>
      </c>
      <c r="E391" s="0" t="s">
        <v>5810</v>
      </c>
      <c r="F391" s="0" t="s">
        <v>4740</v>
      </c>
      <c r="G391" s="0" t="s">
        <v>5811</v>
      </c>
    </row>
    <row customHeight="1" ht="11.25">
      <c r="A392" s="525" t="s">
        <v>14</v>
      </c>
      <c r="B392" s="0" t="s">
        <v>5783</v>
      </c>
      <c r="C392" s="0" t="s">
        <v>5784</v>
      </c>
      <c r="D392" s="0" t="s">
        <v>5812</v>
      </c>
      <c r="E392" s="0" t="s">
        <v>5813</v>
      </c>
      <c r="F392" s="0" t="s">
        <v>4740</v>
      </c>
      <c r="G392" s="0" t="s">
        <v>5814</v>
      </c>
    </row>
    <row customHeight="1" ht="11.25">
      <c r="A393" s="525" t="s">
        <v>14</v>
      </c>
      <c r="B393" s="0" t="s">
        <v>5815</v>
      </c>
      <c r="C393" s="0" t="s">
        <v>5816</v>
      </c>
      <c r="D393" s="0" t="s">
        <v>5481</v>
      </c>
      <c r="E393" s="0" t="s">
        <v>5817</v>
      </c>
      <c r="F393" s="0" t="s">
        <v>4740</v>
      </c>
      <c r="G393" s="0" t="s">
        <v>5818</v>
      </c>
    </row>
    <row customHeight="1" ht="11.25">
      <c r="A394" s="525" t="s">
        <v>14</v>
      </c>
      <c r="B394" s="0" t="s">
        <v>5815</v>
      </c>
      <c r="C394" s="0" t="s">
        <v>5816</v>
      </c>
      <c r="D394" s="0" t="s">
        <v>5819</v>
      </c>
      <c r="E394" s="0" t="s">
        <v>5820</v>
      </c>
      <c r="F394" s="0" t="s">
        <v>4740</v>
      </c>
      <c r="G394" s="0" t="s">
        <v>5821</v>
      </c>
    </row>
    <row customHeight="1" ht="11.25">
      <c r="A395" s="525" t="s">
        <v>14</v>
      </c>
      <c r="B395" s="0" t="s">
        <v>5815</v>
      </c>
      <c r="C395" s="0" t="s">
        <v>5816</v>
      </c>
      <c r="D395" s="0" t="s">
        <v>5822</v>
      </c>
      <c r="E395" s="0" t="s">
        <v>5823</v>
      </c>
      <c r="F395" s="0" t="s">
        <v>4740</v>
      </c>
      <c r="G395" s="0" t="s">
        <v>5824</v>
      </c>
    </row>
    <row customHeight="1" ht="11.25">
      <c r="A396" s="525" t="s">
        <v>14</v>
      </c>
      <c r="B396" s="0" t="s">
        <v>5815</v>
      </c>
      <c r="C396" s="0" t="s">
        <v>5816</v>
      </c>
      <c r="D396" s="0" t="s">
        <v>5825</v>
      </c>
      <c r="E396" s="0" t="s">
        <v>5826</v>
      </c>
      <c r="F396" s="0" t="s">
        <v>4740</v>
      </c>
      <c r="G396" s="0" t="s">
        <v>5827</v>
      </c>
    </row>
    <row customHeight="1" ht="11.25">
      <c r="A397" s="525" t="s">
        <v>14</v>
      </c>
      <c r="B397" s="0" t="s">
        <v>5815</v>
      </c>
      <c r="C397" s="0" t="s">
        <v>5816</v>
      </c>
      <c r="D397" s="0" t="s">
        <v>5828</v>
      </c>
      <c r="E397" s="0" t="s">
        <v>5829</v>
      </c>
      <c r="F397" s="0" t="s">
        <v>4740</v>
      </c>
      <c r="G397" s="0" t="s">
        <v>5830</v>
      </c>
    </row>
    <row customHeight="1" ht="11.25">
      <c r="A398" s="525" t="s">
        <v>14</v>
      </c>
      <c r="B398" s="0" t="s">
        <v>5815</v>
      </c>
      <c r="C398" s="0" t="s">
        <v>5816</v>
      </c>
      <c r="D398" s="0" t="s">
        <v>5831</v>
      </c>
      <c r="E398" s="0" t="s">
        <v>5832</v>
      </c>
      <c r="F398" s="0" t="s">
        <v>4740</v>
      </c>
      <c r="G398" s="0" t="s">
        <v>5833</v>
      </c>
    </row>
    <row customHeight="1" ht="11.25">
      <c r="A399" s="525" t="s">
        <v>14</v>
      </c>
      <c r="B399" s="0" t="s">
        <v>5815</v>
      </c>
      <c r="C399" s="0" t="s">
        <v>5816</v>
      </c>
      <c r="D399" s="0" t="s">
        <v>5834</v>
      </c>
      <c r="E399" s="0" t="s">
        <v>5835</v>
      </c>
      <c r="F399" s="0" t="s">
        <v>4740</v>
      </c>
      <c r="G399" s="0" t="s">
        <v>5836</v>
      </c>
    </row>
    <row customHeight="1" ht="11.25">
      <c r="A400" s="525" t="s">
        <v>14</v>
      </c>
      <c r="B400" s="0" t="s">
        <v>5815</v>
      </c>
      <c r="C400" s="0" t="s">
        <v>5816</v>
      </c>
      <c r="D400" s="0" t="s">
        <v>5837</v>
      </c>
      <c r="E400" s="0" t="s">
        <v>5838</v>
      </c>
      <c r="F400" s="0" t="s">
        <v>4740</v>
      </c>
      <c r="G400" s="0" t="s">
        <v>5839</v>
      </c>
    </row>
    <row customHeight="1" ht="11.25">
      <c r="A401" s="525" t="s">
        <v>14</v>
      </c>
      <c r="B401" s="0" t="s">
        <v>5815</v>
      </c>
      <c r="C401" s="0" t="s">
        <v>5816</v>
      </c>
      <c r="D401" s="0" t="s">
        <v>5840</v>
      </c>
      <c r="E401" s="0" t="s">
        <v>5841</v>
      </c>
      <c r="F401" s="0" t="s">
        <v>4740</v>
      </c>
      <c r="G401" s="0" t="s">
        <v>5842</v>
      </c>
    </row>
    <row customHeight="1" ht="11.25">
      <c r="A402" s="525" t="s">
        <v>14</v>
      </c>
      <c r="B402" s="0" t="s">
        <v>5815</v>
      </c>
      <c r="C402" s="0" t="s">
        <v>5816</v>
      </c>
      <c r="D402" s="0" t="s">
        <v>5815</v>
      </c>
      <c r="E402" s="0" t="s">
        <v>5816</v>
      </c>
      <c r="F402" s="0" t="s">
        <v>4731</v>
      </c>
      <c r="G402" s="0" t="s">
        <v>5843</v>
      </c>
    </row>
    <row customHeight="1" ht="11.25">
      <c r="A403" s="525" t="s">
        <v>14</v>
      </c>
      <c r="B403" s="0" t="s">
        <v>5815</v>
      </c>
      <c r="C403" s="0" t="s">
        <v>5816</v>
      </c>
      <c r="D403" s="0" t="s">
        <v>4783</v>
      </c>
      <c r="E403" s="0" t="s">
        <v>5844</v>
      </c>
      <c r="F403" s="0" t="s">
        <v>4740</v>
      </c>
      <c r="G403" s="0" t="s">
        <v>5845</v>
      </c>
    </row>
    <row customHeight="1" ht="11.25">
      <c r="A404" s="525" t="s">
        <v>14</v>
      </c>
      <c r="B404" s="0" t="s">
        <v>5846</v>
      </c>
      <c r="C404" s="0" t="s">
        <v>5847</v>
      </c>
      <c r="D404" s="0" t="s">
        <v>4948</v>
      </c>
      <c r="E404" s="0" t="s">
        <v>5848</v>
      </c>
      <c r="F404" s="0" t="s">
        <v>4740</v>
      </c>
      <c r="G404" s="0" t="s">
        <v>5849</v>
      </c>
    </row>
    <row customHeight="1" ht="11.25">
      <c r="A405" s="525" t="s">
        <v>14</v>
      </c>
      <c r="B405" s="0" t="s">
        <v>5846</v>
      </c>
      <c r="C405" s="0" t="s">
        <v>5847</v>
      </c>
      <c r="D405" s="0" t="s">
        <v>5750</v>
      </c>
      <c r="E405" s="0" t="s">
        <v>5850</v>
      </c>
      <c r="F405" s="0" t="s">
        <v>4740</v>
      </c>
      <c r="G405" s="0" t="s">
        <v>5851</v>
      </c>
    </row>
    <row customHeight="1" ht="11.25">
      <c r="A406" s="525" t="s">
        <v>14</v>
      </c>
      <c r="B406" s="0" t="s">
        <v>5846</v>
      </c>
      <c r="C406" s="0" t="s">
        <v>5847</v>
      </c>
      <c r="D406" s="0" t="s">
        <v>5852</v>
      </c>
      <c r="E406" s="0" t="s">
        <v>5853</v>
      </c>
      <c r="F406" s="0" t="s">
        <v>4740</v>
      </c>
      <c r="G406" s="0" t="s">
        <v>5854</v>
      </c>
    </row>
    <row customHeight="1" ht="11.25">
      <c r="A407" s="525" t="s">
        <v>14</v>
      </c>
      <c r="B407" s="0" t="s">
        <v>5846</v>
      </c>
      <c r="C407" s="0" t="s">
        <v>5847</v>
      </c>
      <c r="D407" s="0" t="s">
        <v>5855</v>
      </c>
      <c r="E407" s="0" t="s">
        <v>5856</v>
      </c>
      <c r="F407" s="0" t="s">
        <v>4740</v>
      </c>
      <c r="G407" s="0" t="s">
        <v>5857</v>
      </c>
    </row>
    <row customHeight="1" ht="11.25">
      <c r="A408" s="525" t="s">
        <v>14</v>
      </c>
      <c r="B408" s="0" t="s">
        <v>5846</v>
      </c>
      <c r="C408" s="0" t="s">
        <v>5847</v>
      </c>
      <c r="D408" s="0" t="s">
        <v>5301</v>
      </c>
      <c r="E408" s="0" t="s">
        <v>5858</v>
      </c>
      <c r="F408" s="0" t="s">
        <v>4740</v>
      </c>
      <c r="G408" s="0" t="s">
        <v>5859</v>
      </c>
    </row>
    <row customHeight="1" ht="11.25">
      <c r="A409" s="525" t="s">
        <v>14</v>
      </c>
      <c r="B409" s="0" t="s">
        <v>5846</v>
      </c>
      <c r="C409" s="0" t="s">
        <v>5847</v>
      </c>
      <c r="D409" s="0" t="s">
        <v>5860</v>
      </c>
      <c r="E409" s="0" t="s">
        <v>5861</v>
      </c>
      <c r="F409" s="0" t="s">
        <v>4740</v>
      </c>
      <c r="G409" s="0" t="s">
        <v>5862</v>
      </c>
    </row>
    <row customHeight="1" ht="11.25">
      <c r="A410" s="525" t="s">
        <v>14</v>
      </c>
      <c r="B410" s="0" t="s">
        <v>5846</v>
      </c>
      <c r="C410" s="0" t="s">
        <v>5847</v>
      </c>
      <c r="D410" s="0" t="s">
        <v>5863</v>
      </c>
      <c r="E410" s="0" t="s">
        <v>5864</v>
      </c>
      <c r="F410" s="0" t="s">
        <v>4740</v>
      </c>
      <c r="G410" s="0" t="s">
        <v>5865</v>
      </c>
    </row>
    <row customHeight="1" ht="11.25">
      <c r="A411" s="525" t="s">
        <v>14</v>
      </c>
      <c r="B411" s="0" t="s">
        <v>5846</v>
      </c>
      <c r="C411" s="0" t="s">
        <v>5847</v>
      </c>
      <c r="D411" s="0" t="s">
        <v>5866</v>
      </c>
      <c r="E411" s="0" t="s">
        <v>5867</v>
      </c>
      <c r="F411" s="0" t="s">
        <v>4740</v>
      </c>
      <c r="G411" s="0" t="s">
        <v>5868</v>
      </c>
    </row>
    <row customHeight="1" ht="11.25">
      <c r="A412" s="525" t="s">
        <v>14</v>
      </c>
      <c r="B412" s="0" t="s">
        <v>5846</v>
      </c>
      <c r="C412" s="0" t="s">
        <v>5847</v>
      </c>
      <c r="D412" s="0" t="s">
        <v>5869</v>
      </c>
      <c r="E412" s="0" t="s">
        <v>5870</v>
      </c>
      <c r="F412" s="0" t="s">
        <v>4740</v>
      </c>
      <c r="G412" s="0" t="s">
        <v>5871</v>
      </c>
    </row>
    <row customHeight="1" ht="11.25">
      <c r="A413" s="525" t="s">
        <v>14</v>
      </c>
      <c r="B413" s="0" t="s">
        <v>5846</v>
      </c>
      <c r="C413" s="0" t="s">
        <v>5847</v>
      </c>
      <c r="D413" s="0" t="s">
        <v>5872</v>
      </c>
      <c r="E413" s="0" t="s">
        <v>5873</v>
      </c>
      <c r="F413" s="0" t="s">
        <v>4740</v>
      </c>
      <c r="G413" s="0" t="s">
        <v>5874</v>
      </c>
    </row>
    <row customHeight="1" ht="11.25">
      <c r="A414" s="525" t="s">
        <v>14</v>
      </c>
      <c r="B414" s="0" t="s">
        <v>5846</v>
      </c>
      <c r="C414" s="0" t="s">
        <v>5847</v>
      </c>
      <c r="D414" s="0" t="s">
        <v>5875</v>
      </c>
      <c r="E414" s="0" t="s">
        <v>5876</v>
      </c>
      <c r="F414" s="0" t="s">
        <v>4740</v>
      </c>
      <c r="G414" s="0" t="s">
        <v>5877</v>
      </c>
    </row>
    <row customHeight="1" ht="11.25">
      <c r="A415" s="525" t="s">
        <v>14</v>
      </c>
      <c r="B415" s="0" t="s">
        <v>5846</v>
      </c>
      <c r="C415" s="0" t="s">
        <v>5847</v>
      </c>
      <c r="D415" s="0" t="s">
        <v>5878</v>
      </c>
      <c r="E415" s="0" t="s">
        <v>5879</v>
      </c>
      <c r="F415" s="0" t="s">
        <v>4740</v>
      </c>
      <c r="G415" s="0" t="s">
        <v>5880</v>
      </c>
    </row>
    <row customHeight="1" ht="11.25">
      <c r="A416" s="525" t="s">
        <v>14</v>
      </c>
      <c r="B416" s="0" t="s">
        <v>5846</v>
      </c>
      <c r="C416" s="0" t="s">
        <v>5847</v>
      </c>
      <c r="D416" s="0" t="s">
        <v>5881</v>
      </c>
      <c r="E416" s="0" t="s">
        <v>5882</v>
      </c>
      <c r="F416" s="0" t="s">
        <v>4740</v>
      </c>
      <c r="G416" s="0" t="s">
        <v>5883</v>
      </c>
    </row>
    <row customHeight="1" ht="11.25">
      <c r="A417" s="525" t="s">
        <v>14</v>
      </c>
      <c r="B417" s="0" t="s">
        <v>5846</v>
      </c>
      <c r="C417" s="0" t="s">
        <v>5847</v>
      </c>
      <c r="D417" s="0" t="s">
        <v>5802</v>
      </c>
      <c r="E417" s="0" t="s">
        <v>5884</v>
      </c>
      <c r="F417" s="0" t="s">
        <v>4740</v>
      </c>
      <c r="G417" s="0" t="s">
        <v>5885</v>
      </c>
    </row>
    <row customHeight="1" ht="11.25">
      <c r="A418" s="525" t="s">
        <v>14</v>
      </c>
      <c r="B418" s="0" t="s">
        <v>5846</v>
      </c>
      <c r="C418" s="0" t="s">
        <v>5847</v>
      </c>
      <c r="D418" s="0" t="s">
        <v>5846</v>
      </c>
      <c r="E418" s="0" t="s">
        <v>5847</v>
      </c>
      <c r="F418" s="0" t="s">
        <v>4731</v>
      </c>
      <c r="G418" s="0" t="s">
        <v>5886</v>
      </c>
    </row>
    <row customHeight="1" ht="11.25">
      <c r="A419" s="525" t="s">
        <v>14</v>
      </c>
      <c r="B419" s="0" t="s">
        <v>5846</v>
      </c>
      <c r="C419" s="0" t="s">
        <v>5847</v>
      </c>
      <c r="D419" s="0" t="s">
        <v>5887</v>
      </c>
      <c r="E419" s="0" t="s">
        <v>5888</v>
      </c>
      <c r="F419" s="0" t="s">
        <v>4734</v>
      </c>
      <c r="G419" s="0" t="s">
        <v>5889</v>
      </c>
    </row>
    <row customHeight="1" ht="11.25">
      <c r="A420" s="525" t="s">
        <v>14</v>
      </c>
      <c r="B420" s="0" t="s">
        <v>5890</v>
      </c>
      <c r="C420" s="0" t="s">
        <v>5891</v>
      </c>
      <c r="D420" s="0" t="s">
        <v>5892</v>
      </c>
      <c r="E420" s="0" t="s">
        <v>5893</v>
      </c>
      <c r="F420" s="0" t="s">
        <v>4740</v>
      </c>
      <c r="G420" s="0" t="s">
        <v>5894</v>
      </c>
    </row>
    <row customHeight="1" ht="11.25">
      <c r="A421" s="525" t="s">
        <v>14</v>
      </c>
      <c r="B421" s="0" t="s">
        <v>5890</v>
      </c>
      <c r="C421" s="0" t="s">
        <v>5891</v>
      </c>
      <c r="D421" s="0" t="s">
        <v>5895</v>
      </c>
      <c r="E421" s="0" t="s">
        <v>5896</v>
      </c>
      <c r="F421" s="0" t="s">
        <v>4740</v>
      </c>
      <c r="G421" s="0" t="s">
        <v>5897</v>
      </c>
    </row>
    <row customHeight="1" ht="11.25">
      <c r="A422" s="525" t="s">
        <v>14</v>
      </c>
      <c r="B422" s="0" t="s">
        <v>5890</v>
      </c>
      <c r="C422" s="0" t="s">
        <v>5891</v>
      </c>
      <c r="D422" s="0" t="s">
        <v>5898</v>
      </c>
      <c r="E422" s="0" t="s">
        <v>5899</v>
      </c>
      <c r="F422" s="0" t="s">
        <v>4740</v>
      </c>
      <c r="G422" s="0" t="s">
        <v>5900</v>
      </c>
    </row>
    <row customHeight="1" ht="11.25">
      <c r="A423" s="525" t="s">
        <v>14</v>
      </c>
      <c r="B423" s="0" t="s">
        <v>5890</v>
      </c>
      <c r="C423" s="0" t="s">
        <v>5891</v>
      </c>
      <c r="D423" s="0" t="s">
        <v>5831</v>
      </c>
      <c r="E423" s="0" t="s">
        <v>5901</v>
      </c>
      <c r="F423" s="0" t="s">
        <v>4740</v>
      </c>
      <c r="G423" s="0" t="s">
        <v>5902</v>
      </c>
    </row>
    <row customHeight="1" ht="11.25">
      <c r="A424" s="525" t="s">
        <v>14</v>
      </c>
      <c r="B424" s="0" t="s">
        <v>5890</v>
      </c>
      <c r="C424" s="0" t="s">
        <v>5891</v>
      </c>
      <c r="D424" s="0" t="s">
        <v>5903</v>
      </c>
      <c r="E424" s="0" t="s">
        <v>5904</v>
      </c>
      <c r="F424" s="0" t="s">
        <v>4740</v>
      </c>
      <c r="G424" s="0" t="s">
        <v>5905</v>
      </c>
    </row>
    <row customHeight="1" ht="11.25">
      <c r="A425" s="525" t="s">
        <v>14</v>
      </c>
      <c r="B425" s="0" t="s">
        <v>5890</v>
      </c>
      <c r="C425" s="0" t="s">
        <v>5891</v>
      </c>
      <c r="D425" s="0" t="s">
        <v>5906</v>
      </c>
      <c r="E425" s="0" t="s">
        <v>5907</v>
      </c>
      <c r="F425" s="0" t="s">
        <v>4740</v>
      </c>
      <c r="G425" s="0" t="s">
        <v>5908</v>
      </c>
    </row>
    <row customHeight="1" ht="11.25">
      <c r="A426" s="525" t="s">
        <v>14</v>
      </c>
      <c r="B426" s="0" t="s">
        <v>5890</v>
      </c>
      <c r="C426" s="0" t="s">
        <v>5891</v>
      </c>
      <c r="D426" s="0" t="s">
        <v>5909</v>
      </c>
      <c r="E426" s="0" t="s">
        <v>5910</v>
      </c>
      <c r="F426" s="0" t="s">
        <v>4740</v>
      </c>
      <c r="G426" s="0" t="s">
        <v>5911</v>
      </c>
    </row>
    <row customHeight="1" ht="11.25">
      <c r="A427" s="525" t="s">
        <v>14</v>
      </c>
      <c r="B427" s="0" t="s">
        <v>5890</v>
      </c>
      <c r="C427" s="0" t="s">
        <v>5891</v>
      </c>
      <c r="D427" s="0" t="s">
        <v>5890</v>
      </c>
      <c r="E427" s="0" t="s">
        <v>5891</v>
      </c>
      <c r="F427" s="0" t="s">
        <v>4731</v>
      </c>
      <c r="G427" s="0" t="s">
        <v>5912</v>
      </c>
    </row>
    <row customHeight="1" ht="11.25">
      <c r="A428" s="525" t="s">
        <v>14</v>
      </c>
      <c r="B428" s="0" t="s">
        <v>5890</v>
      </c>
      <c r="C428" s="0" t="s">
        <v>5891</v>
      </c>
      <c r="D428" s="0" t="s">
        <v>5913</v>
      </c>
      <c r="E428" s="0" t="s">
        <v>5914</v>
      </c>
      <c r="F428" s="0" t="s">
        <v>4740</v>
      </c>
      <c r="G428" s="0" t="s">
        <v>5915</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CA13C3-2574-EF07-BE92-1BA3B5C0304C}" mc:Ignorable="x14ac xr xr2 xr3">
  <sheetPr>
    <tabColor rgb="FFFFCC99"/>
  </sheetPr>
  <dimension ref="A1:D28"/>
  <sheetViews>
    <sheetView topLeftCell="A1" showGridLines="0" workbookViewId="0">
      <selection activeCell="A1" sqref="A1"/>
    </sheetView>
  </sheetViews>
  <sheetFormatPr defaultColWidth="9.140625" customHeight="1" defaultRowHeight="11.25"/>
  <cols>
    <col min="1" max="4" style="7661" width="9.140625"/>
  </cols>
  <sheetData>
    <row customHeight="1" ht="11.25">
      <c r="A1" s="1007" t="s">
        <v>5916</v>
      </c>
      <c r="B1" s="1007" t="s">
        <v>5917</v>
      </c>
      <c r="C1" s="1007" t="s">
        <v>5918</v>
      </c>
      <c r="D1" s="1007" t="s">
        <v>5919</v>
      </c>
    </row>
    <row customHeight="1" ht="11.25">
      <c r="A2" s="7660" t="s">
        <v>118</v>
      </c>
      <c r="B2" s="7660" t="s">
        <v>5920</v>
      </c>
      <c r="C2" s="7660" t="s">
        <v>5921</v>
      </c>
      <c r="D2" s="7660" t="s">
        <v>5922</v>
      </c>
    </row>
    <row customHeight="1" ht="11.25">
      <c r="A3" s="7660" t="s">
        <v>102</v>
      </c>
      <c r="B3" s="7660" t="s">
        <v>5923</v>
      </c>
      <c r="C3" s="7660" t="s">
        <v>5924</v>
      </c>
      <c r="D3" s="7660" t="s">
        <v>5925</v>
      </c>
    </row>
    <row customHeight="1" ht="11.25">
      <c r="A4" s="7660" t="s">
        <v>89</v>
      </c>
      <c r="B4" s="7660" t="s">
        <v>5926</v>
      </c>
      <c r="C4" s="7660" t="s">
        <v>5924</v>
      </c>
      <c r="D4" s="7660" t="s">
        <v>5922</v>
      </c>
    </row>
    <row customHeight="1" ht="11.25">
      <c r="A5" s="7660" t="s">
        <v>90</v>
      </c>
      <c r="B5" s="7660" t="s">
        <v>5927</v>
      </c>
      <c r="C5" s="7660" t="s">
        <v>5928</v>
      </c>
      <c r="D5" s="7660" t="s">
        <v>5929</v>
      </c>
    </row>
    <row customHeight="1" ht="11.25">
      <c r="A6" s="7660" t="s">
        <v>119</v>
      </c>
      <c r="B6" s="7660" t="s">
        <v>5930</v>
      </c>
      <c r="C6" s="7660" t="s">
        <v>5931</v>
      </c>
      <c r="D6" s="7660" t="s">
        <v>5922</v>
      </c>
    </row>
    <row customHeight="1" ht="11.25">
      <c r="A7" s="7660" t="s">
        <v>91</v>
      </c>
      <c r="B7" s="7660" t="s">
        <v>5930</v>
      </c>
      <c r="C7" s="7660" t="s">
        <v>5931</v>
      </c>
      <c r="D7" s="7660" t="s">
        <v>5925</v>
      </c>
    </row>
    <row customHeight="1" ht="11.25">
      <c r="A8" s="7660" t="s">
        <v>92</v>
      </c>
      <c r="B8" s="7660" t="s">
        <v>5932</v>
      </c>
      <c r="C8" s="7660" t="s">
        <v>5921</v>
      </c>
      <c r="D8" s="7660" t="s">
        <v>5922</v>
      </c>
    </row>
    <row customHeight="1" ht="11.25">
      <c r="A9" s="7660" t="s">
        <v>120</v>
      </c>
      <c r="B9" s="7660" t="s">
        <v>5933</v>
      </c>
      <c r="C9" s="7660" t="s">
        <v>5921</v>
      </c>
      <c r="D9" s="7660" t="s">
        <v>5922</v>
      </c>
    </row>
    <row customHeight="1" ht="11.25">
      <c r="A10" s="7660" t="s">
        <v>157</v>
      </c>
      <c r="B10" s="7660" t="s">
        <v>5934</v>
      </c>
      <c r="C10" s="7660" t="s">
        <v>5924</v>
      </c>
      <c r="D10" s="7660" t="s">
        <v>5922</v>
      </c>
    </row>
    <row customHeight="1" ht="11.25">
      <c r="A11" s="7660" t="s">
        <v>158</v>
      </c>
      <c r="B11" s="7660" t="s">
        <v>5935</v>
      </c>
      <c r="C11" s="7660" t="s">
        <v>5936</v>
      </c>
      <c r="D11" s="7660" t="s">
        <v>5937</v>
      </c>
    </row>
    <row customHeight="1" ht="11.25">
      <c r="A12" s="7660" t="s">
        <v>159</v>
      </c>
      <c r="B12" s="7660" t="s">
        <v>5938</v>
      </c>
      <c r="C12" s="7660" t="s">
        <v>5921</v>
      </c>
      <c r="D12" s="7660" t="s">
        <v>5922</v>
      </c>
    </row>
    <row customHeight="1" ht="11.25">
      <c r="A13" s="7660" t="s">
        <v>160</v>
      </c>
      <c r="B13" s="7660" t="s">
        <v>5939</v>
      </c>
      <c r="C13" s="7660" t="s">
        <v>5924</v>
      </c>
      <c r="D13" s="7660" t="s">
        <v>5929</v>
      </c>
    </row>
    <row customHeight="1" ht="11.25">
      <c r="A14" s="7660" t="s">
        <v>161</v>
      </c>
      <c r="B14" s="7660" t="s">
        <v>5940</v>
      </c>
      <c r="C14" s="7660" t="s">
        <v>5928</v>
      </c>
      <c r="D14" s="7660" t="s">
        <v>5922</v>
      </c>
    </row>
    <row customHeight="1" ht="11.25">
      <c r="A15" s="7660" t="s">
        <v>162</v>
      </c>
      <c r="B15" s="7660" t="s">
        <v>5941</v>
      </c>
      <c r="C15" s="7660" t="s">
        <v>5942</v>
      </c>
      <c r="D15" s="7660" t="s">
        <v>5943</v>
      </c>
    </row>
    <row customHeight="1" ht="11.25">
      <c r="A16" s="7660" t="s">
        <v>703</v>
      </c>
      <c r="B16" s="7660" t="s">
        <v>5944</v>
      </c>
      <c r="C16" s="7660" t="s">
        <v>5945</v>
      </c>
      <c r="D16" s="7660" t="s">
        <v>5946</v>
      </c>
    </row>
    <row customHeight="1" ht="11.25">
      <c r="A17" s="7660" t="s">
        <v>406</v>
      </c>
      <c r="B17" s="7660" t="s">
        <v>5947</v>
      </c>
      <c r="C17" s="7660" t="s">
        <v>5924</v>
      </c>
      <c r="D17" s="7660" t="s">
        <v>5925</v>
      </c>
    </row>
    <row customHeight="1" ht="11.25">
      <c r="A18" s="7660" t="s">
        <v>712</v>
      </c>
      <c r="B18" s="7660" t="s">
        <v>5948</v>
      </c>
      <c r="C18" s="7660" t="s">
        <v>5949</v>
      </c>
      <c r="D18" s="7660" t="s">
        <v>5950</v>
      </c>
    </row>
    <row customHeight="1" ht="11.25">
      <c r="A19" s="7660" t="s">
        <v>716</v>
      </c>
      <c r="B19" s="7660" t="s">
        <v>5948</v>
      </c>
      <c r="C19" s="7660" t="s">
        <v>5949</v>
      </c>
      <c r="D19" s="7660" t="s">
        <v>5950</v>
      </c>
    </row>
    <row customHeight="1" ht="11.25">
      <c r="A20" s="7660" t="s">
        <v>468</v>
      </c>
      <c r="B20" s="7660" t="s">
        <v>5951</v>
      </c>
      <c r="C20" s="7660" t="s">
        <v>5949</v>
      </c>
      <c r="D20" s="7660" t="s">
        <v>5952</v>
      </c>
    </row>
    <row customHeight="1" ht="11.25">
      <c r="A21" s="7660" t="s">
        <v>1081</v>
      </c>
      <c r="B21" s="7660" t="s">
        <v>5951</v>
      </c>
      <c r="C21" s="7660" t="s">
        <v>5949</v>
      </c>
      <c r="D21" s="7660" t="s">
        <v>5952</v>
      </c>
    </row>
    <row customHeight="1" ht="11.25">
      <c r="A22" s="7660" t="s">
        <v>1096</v>
      </c>
      <c r="B22" s="7660" t="s">
        <v>5953</v>
      </c>
      <c r="C22" s="7660" t="s">
        <v>5954</v>
      </c>
      <c r="D22" s="7660" t="s">
        <v>5943</v>
      </c>
    </row>
    <row customHeight="1" ht="11.25">
      <c r="A23" s="7660" t="s">
        <v>1102</v>
      </c>
      <c r="B23" s="7660" t="s">
        <v>5953</v>
      </c>
      <c r="C23" s="7660" t="s">
        <v>5954</v>
      </c>
      <c r="D23" s="7660" t="s">
        <v>5943</v>
      </c>
    </row>
    <row customHeight="1" ht="11.25">
      <c r="A24" s="7660" t="s">
        <v>1108</v>
      </c>
      <c r="B24" s="7660" t="s">
        <v>5955</v>
      </c>
      <c r="C24" s="7660" t="s">
        <v>5956</v>
      </c>
      <c r="D24" s="7660" t="s">
        <v>5929</v>
      </c>
    </row>
    <row customHeight="1" ht="11.25">
      <c r="A25" s="7660" t="s">
        <v>481</v>
      </c>
      <c r="B25" s="7660" t="s">
        <v>5957</v>
      </c>
      <c r="C25" s="7660" t="s">
        <v>5931</v>
      </c>
      <c r="D25" s="7660" t="s">
        <v>5925</v>
      </c>
    </row>
    <row customHeight="1" ht="11.25">
      <c r="A26" s="7660" t="s">
        <v>480</v>
      </c>
      <c r="B26" s="7660" t="s">
        <v>5958</v>
      </c>
      <c r="C26" s="7660" t="s">
        <v>5924</v>
      </c>
      <c r="D26" s="7660" t="s">
        <v>5925</v>
      </c>
    </row>
    <row customHeight="1" ht="11.25">
      <c r="A27" s="7660" t="s">
        <v>727</v>
      </c>
      <c r="B27" s="7660" t="s">
        <v>5959</v>
      </c>
      <c r="C27" s="7660" t="s">
        <v>5954</v>
      </c>
      <c r="D27" s="7660" t="s">
        <v>5943</v>
      </c>
    </row>
    <row customHeight="1" ht="11.25">
      <c r="A28" s="7660" t="s">
        <v>463</v>
      </c>
      <c r="B28" s="7660" t="s">
        <v>5960</v>
      </c>
      <c r="C28" s="7660" t="s">
        <v>5961</v>
      </c>
      <c r="D28" s="7660" t="s">
        <v>5943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81B764-0114-F5A4-78CE-A3AC6187D755}"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39220E-51D4-0B56-419D-F7D32EDCA463}"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89" width="9.140625"/>
  </cols>
  <sheetData>
    <row customHeight="1" ht="11.25">
      <c r="A1" s="89" t="s">
        <v>139</v>
      </c>
      <c r="B1" s="89" t="s">
        <v>5962</v>
      </c>
    </row>
    <row customHeight="1" ht="11.25">
      <c r="A2" s="89" t="s">
        <v>97</v>
      </c>
      <c r="B2" s="89" t="s">
        <v>5963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DB12BB-7C46-B21A-C1D7-45CAF14F3793}"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7661" width="9.140625"/>
    <col min="2" max="2" style="7661" width="65.28125" customWidth="1"/>
  </cols>
  <sheetData>
    <row customHeight="1" ht="11.25">
      <c r="A1" s="1007" t="s">
        <v>5964</v>
      </c>
      <c r="B1" s="1007" t="s">
        <v>5965</v>
      </c>
    </row>
    <row customHeight="1" ht="11.25">
      <c r="A2" s="1007">
        <v>4213775</v>
      </c>
      <c r="B2" s="1007" t="s">
        <v>789</v>
      </c>
    </row>
    <row customHeight="1" ht="11.25">
      <c r="A3" s="1007">
        <v>4213784</v>
      </c>
      <c r="B3" s="1007" t="s">
        <v>825</v>
      </c>
    </row>
    <row customHeight="1" ht="11.25">
      <c r="A4" s="1007">
        <v>4213781</v>
      </c>
      <c r="B4" s="1007" t="s">
        <v>818</v>
      </c>
    </row>
    <row customHeight="1" ht="11.25">
      <c r="A5" s="1007">
        <v>4213776</v>
      </c>
      <c r="B5" s="1007" t="s">
        <v>177</v>
      </c>
    </row>
    <row customHeight="1" ht="11.25">
      <c r="A6" s="1007">
        <v>4213777</v>
      </c>
      <c r="B6" s="1007" t="s">
        <v>183</v>
      </c>
    </row>
    <row customHeight="1" ht="11.25">
      <c r="A7" s="1007">
        <v>4213778</v>
      </c>
      <c r="B7" s="1007" t="s">
        <v>189</v>
      </c>
    </row>
    <row customHeight="1" ht="11.25">
      <c r="A8" s="1007">
        <v>4213780</v>
      </c>
      <c r="B8" s="1007" t="s">
        <v>195</v>
      </c>
    </row>
    <row customHeight="1" ht="11.25">
      <c r="A9" s="1007">
        <v>4213779</v>
      </c>
      <c r="B9" s="1007" t="s">
        <v>957</v>
      </c>
    </row>
    <row customHeight="1" ht="11.25">
      <c r="A10" s="1007">
        <v>4213783</v>
      </c>
      <c r="B10" s="1007" t="s">
        <v>972</v>
      </c>
    </row>
    <row customHeight="1" ht="11.25">
      <c r="A11" s="1007">
        <v>4213782</v>
      </c>
      <c r="B11" s="1007" t="s">
        <v>204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6AF72F-5EAA-51B1-FEA3-DCC88FDA90E9}"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7661" width="9.140625"/>
    <col min="2" max="2" style="7661" width="65.28125" customWidth="1"/>
  </cols>
  <sheetData>
    <row customHeight="1" ht="11.25">
      <c r="A1" s="1007" t="s">
        <v>5964</v>
      </c>
      <c r="B1" s="1007" t="s">
        <v>5966</v>
      </c>
    </row>
    <row customHeight="1" ht="11.25">
      <c r="A2" s="1007" t="s">
        <v>126</v>
      </c>
      <c r="B2" s="1007" t="s">
        <v>1397</v>
      </c>
    </row>
    <row customHeight="1" ht="11.25">
      <c r="A3" s="1007" t="s">
        <v>5967</v>
      </c>
      <c r="B3" s="1007" t="s">
        <v>1077</v>
      </c>
    </row>
    <row customHeight="1" ht="11.25">
      <c r="A4" s="1007" t="s">
        <v>5968</v>
      </c>
      <c r="B4" s="1007" t="s">
        <v>1088</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09259D-C2FE-50F3-5C4E-D4E7AC8AE56C}" mc:Ignorable="x14ac xr xr2 xr3">
  <sheetPr>
    <tabColor rgb="FFFFCC99"/>
  </sheetPr>
  <dimension ref="A1:G426"/>
  <sheetViews>
    <sheetView topLeftCell="A1" showGridLines="0" workbookViewId="0">
      <selection activeCell="A1" sqref="A1"/>
    </sheetView>
  </sheetViews>
  <sheetFormatPr customHeight="1" defaultRowHeight="11.25"/>
  <sheetData>
    <row customHeight="1" ht="11.25">
      <c r="A1" s="525" t="s">
        <v>4722</v>
      </c>
      <c r="B1" s="525" t="s">
        <v>4723</v>
      </c>
      <c r="C1" s="525" t="s">
        <v>4724</v>
      </c>
      <c r="D1" s="525" t="s">
        <v>4725</v>
      </c>
      <c r="E1" s="0" t="s">
        <v>4726</v>
      </c>
      <c r="F1" s="0" t="s">
        <v>4727</v>
      </c>
      <c r="G1" s="0" t="s">
        <v>4728</v>
      </c>
    </row>
    <row customHeight="1" ht="11.25">
      <c r="A2" s="0" t="s">
        <v>14</v>
      </c>
      <c r="B2" s="0" t="s">
        <v>4729</v>
      </c>
      <c r="C2" s="0" t="s">
        <v>4730</v>
      </c>
      <c r="D2" s="0" t="s">
        <v>4729</v>
      </c>
      <c r="E2" s="0" t="s">
        <v>4730</v>
      </c>
      <c r="F2" s="0" t="s">
        <v>4731</v>
      </c>
      <c r="G2" s="0" t="s">
        <v>118</v>
      </c>
    </row>
    <row customHeight="1" ht="11.25">
      <c r="A3" s="0" t="s">
        <v>14</v>
      </c>
      <c r="B3" s="0" t="s">
        <v>4729</v>
      </c>
      <c r="C3" s="0" t="s">
        <v>4730</v>
      </c>
      <c r="D3" s="0" t="s">
        <v>4732</v>
      </c>
      <c r="E3" s="0" t="s">
        <v>4733</v>
      </c>
      <c r="F3" s="0" t="s">
        <v>4734</v>
      </c>
      <c r="G3" s="0" t="s">
        <v>102</v>
      </c>
    </row>
    <row customHeight="1" ht="11.25">
      <c r="A4" s="0" t="s">
        <v>14</v>
      </c>
      <c r="B4" s="0" t="s">
        <v>4729</v>
      </c>
      <c r="C4" s="0" t="s">
        <v>4730</v>
      </c>
      <c r="D4" s="0" t="s">
        <v>4735</v>
      </c>
      <c r="E4" s="0" t="s">
        <v>4736</v>
      </c>
      <c r="F4" s="0" t="s">
        <v>4737</v>
      </c>
      <c r="G4" s="0" t="s">
        <v>89</v>
      </c>
    </row>
    <row customHeight="1" ht="11.25">
      <c r="A5" s="0" t="s">
        <v>14</v>
      </c>
      <c r="B5" s="0" t="s">
        <v>4729</v>
      </c>
      <c r="C5" s="0" t="s">
        <v>4730</v>
      </c>
      <c r="D5" s="0" t="s">
        <v>4738</v>
      </c>
      <c r="E5" s="0" t="s">
        <v>4739</v>
      </c>
      <c r="F5" s="0" t="s">
        <v>4740</v>
      </c>
      <c r="G5" s="0" t="s">
        <v>90</v>
      </c>
    </row>
    <row customHeight="1" ht="11.25">
      <c r="A6" s="0" t="s">
        <v>14</v>
      </c>
      <c r="B6" s="0" t="s">
        <v>4729</v>
      </c>
      <c r="C6" s="0" t="s">
        <v>4730</v>
      </c>
      <c r="D6" s="0" t="s">
        <v>4741</v>
      </c>
      <c r="E6" s="0" t="s">
        <v>4742</v>
      </c>
      <c r="F6" s="0" t="s">
        <v>4740</v>
      </c>
      <c r="G6" s="0" t="s">
        <v>119</v>
      </c>
    </row>
    <row customHeight="1" ht="11.25">
      <c r="A7" s="0" t="s">
        <v>14</v>
      </c>
      <c r="B7" s="0" t="s">
        <v>4729</v>
      </c>
      <c r="C7" s="0" t="s">
        <v>4730</v>
      </c>
      <c r="D7" s="0" t="s">
        <v>4743</v>
      </c>
      <c r="E7" s="0" t="s">
        <v>4744</v>
      </c>
      <c r="F7" s="0" t="s">
        <v>4740</v>
      </c>
      <c r="G7" s="0" t="s">
        <v>91</v>
      </c>
    </row>
    <row customHeight="1" ht="11.25">
      <c r="A8" s="0" t="s">
        <v>14</v>
      </c>
      <c r="B8" s="0" t="s">
        <v>4729</v>
      </c>
      <c r="C8" s="0" t="s">
        <v>4730</v>
      </c>
      <c r="D8" s="0" t="s">
        <v>4745</v>
      </c>
      <c r="E8" s="0" t="s">
        <v>4746</v>
      </c>
      <c r="F8" s="0" t="s">
        <v>4740</v>
      </c>
      <c r="G8" s="0" t="s">
        <v>92</v>
      </c>
    </row>
    <row customHeight="1" ht="11.25">
      <c r="A9" s="0" t="s">
        <v>14</v>
      </c>
      <c r="B9" s="0" t="s">
        <v>4729</v>
      </c>
      <c r="C9" s="0" t="s">
        <v>4730</v>
      </c>
      <c r="D9" s="0" t="s">
        <v>4747</v>
      </c>
      <c r="E9" s="0" t="s">
        <v>4748</v>
      </c>
      <c r="F9" s="0" t="s">
        <v>4740</v>
      </c>
      <c r="G9" s="0" t="s">
        <v>120</v>
      </c>
    </row>
    <row customHeight="1" ht="11.25">
      <c r="A10" s="0" t="s">
        <v>14</v>
      </c>
      <c r="B10" s="0" t="s">
        <v>4729</v>
      </c>
      <c r="C10" s="0" t="s">
        <v>4730</v>
      </c>
      <c r="D10" s="0" t="s">
        <v>4749</v>
      </c>
      <c r="E10" s="0" t="s">
        <v>4750</v>
      </c>
      <c r="F10" s="0" t="s">
        <v>4740</v>
      </c>
      <c r="G10" s="0" t="s">
        <v>157</v>
      </c>
    </row>
    <row customHeight="1" ht="11.25">
      <c r="A11" s="0" t="s">
        <v>14</v>
      </c>
      <c r="B11" s="0" t="s">
        <v>4751</v>
      </c>
      <c r="C11" s="0" t="s">
        <v>4752</v>
      </c>
      <c r="D11" s="0" t="s">
        <v>4751</v>
      </c>
      <c r="E11" s="0" t="s">
        <v>4752</v>
      </c>
      <c r="F11" s="0" t="s">
        <v>4731</v>
      </c>
      <c r="G11" s="0" t="s">
        <v>158</v>
      </c>
    </row>
    <row customHeight="1" ht="11.25">
      <c r="A12" s="0" t="s">
        <v>14</v>
      </c>
      <c r="B12" s="0" t="s">
        <v>4751</v>
      </c>
      <c r="C12" s="0" t="s">
        <v>4752</v>
      </c>
      <c r="D12" s="0" t="s">
        <v>4753</v>
      </c>
      <c r="E12" s="0" t="s">
        <v>4754</v>
      </c>
      <c r="F12" s="0" t="s">
        <v>4734</v>
      </c>
      <c r="G12" s="0" t="s">
        <v>159</v>
      </c>
    </row>
    <row customHeight="1" ht="11.25">
      <c r="A13" s="0" t="s">
        <v>14</v>
      </c>
      <c r="B13" s="0" t="s">
        <v>4751</v>
      </c>
      <c r="C13" s="0" t="s">
        <v>4752</v>
      </c>
      <c r="D13" s="0" t="s">
        <v>4755</v>
      </c>
      <c r="E13" s="0" t="s">
        <v>4756</v>
      </c>
      <c r="F13" s="0" t="s">
        <v>4740</v>
      </c>
      <c r="G13" s="0" t="s">
        <v>160</v>
      </c>
    </row>
    <row customHeight="1" ht="11.25">
      <c r="A14" s="0" t="s">
        <v>14</v>
      </c>
      <c r="B14" s="0" t="s">
        <v>4751</v>
      </c>
      <c r="C14" s="0" t="s">
        <v>4752</v>
      </c>
      <c r="D14" s="0" t="s">
        <v>4757</v>
      </c>
      <c r="E14" s="0" t="s">
        <v>4758</v>
      </c>
      <c r="F14" s="0" t="s">
        <v>4740</v>
      </c>
      <c r="G14" s="0" t="s">
        <v>161</v>
      </c>
    </row>
    <row customHeight="1" ht="11.25">
      <c r="A15" s="0" t="s">
        <v>14</v>
      </c>
      <c r="B15" s="0" t="s">
        <v>4751</v>
      </c>
      <c r="C15" s="0" t="s">
        <v>4752</v>
      </c>
      <c r="D15" s="0" t="s">
        <v>4759</v>
      </c>
      <c r="E15" s="0" t="s">
        <v>4760</v>
      </c>
      <c r="F15" s="0" t="s">
        <v>4740</v>
      </c>
      <c r="G15" s="0" t="s">
        <v>162</v>
      </c>
    </row>
    <row customHeight="1" ht="11.25">
      <c r="A16" s="0" t="s">
        <v>14</v>
      </c>
      <c r="B16" s="0" t="s">
        <v>4751</v>
      </c>
      <c r="C16" s="0" t="s">
        <v>4752</v>
      </c>
      <c r="D16" s="0" t="s">
        <v>4761</v>
      </c>
      <c r="E16" s="0" t="s">
        <v>4762</v>
      </c>
      <c r="F16" s="0" t="s">
        <v>4740</v>
      </c>
      <c r="G16" s="0" t="s">
        <v>703</v>
      </c>
    </row>
    <row customHeight="1" ht="11.25">
      <c r="A17" s="0" t="s">
        <v>14</v>
      </c>
      <c r="B17" s="0" t="s">
        <v>4751</v>
      </c>
      <c r="C17" s="0" t="s">
        <v>4752</v>
      </c>
      <c r="D17" s="0" t="s">
        <v>4763</v>
      </c>
      <c r="E17" s="0" t="s">
        <v>4764</v>
      </c>
      <c r="F17" s="0" t="s">
        <v>4737</v>
      </c>
      <c r="G17" s="0" t="s">
        <v>406</v>
      </c>
    </row>
    <row customHeight="1" ht="11.25">
      <c r="A18" s="0" t="s">
        <v>14</v>
      </c>
      <c r="B18" s="0" t="s">
        <v>4751</v>
      </c>
      <c r="C18" s="0" t="s">
        <v>4752</v>
      </c>
      <c r="D18" s="0" t="s">
        <v>4765</v>
      </c>
      <c r="E18" s="0" t="s">
        <v>4766</v>
      </c>
      <c r="F18" s="0" t="s">
        <v>4740</v>
      </c>
      <c r="G18" s="0" t="s">
        <v>712</v>
      </c>
    </row>
    <row customHeight="1" ht="11.25">
      <c r="A19" s="0" t="s">
        <v>14</v>
      </c>
      <c r="B19" s="0" t="s">
        <v>4751</v>
      </c>
      <c r="C19" s="0" t="s">
        <v>4752</v>
      </c>
      <c r="D19" s="0" t="s">
        <v>4767</v>
      </c>
      <c r="E19" s="0" t="s">
        <v>4768</v>
      </c>
      <c r="F19" s="0" t="s">
        <v>4740</v>
      </c>
      <c r="G19" s="0" t="s">
        <v>716</v>
      </c>
    </row>
    <row customHeight="1" ht="11.25">
      <c r="A20" s="0" t="s">
        <v>14</v>
      </c>
      <c r="B20" s="0" t="s">
        <v>4751</v>
      </c>
      <c r="C20" s="0" t="s">
        <v>4752</v>
      </c>
      <c r="D20" s="0" t="s">
        <v>4769</v>
      </c>
      <c r="E20" s="0" t="s">
        <v>4770</v>
      </c>
      <c r="F20" s="0" t="s">
        <v>4740</v>
      </c>
      <c r="G20" s="0" t="s">
        <v>468</v>
      </c>
    </row>
    <row customHeight="1" ht="11.25">
      <c r="A21" s="0" t="s">
        <v>14</v>
      </c>
      <c r="B21" s="0" t="s">
        <v>4751</v>
      </c>
      <c r="C21" s="0" t="s">
        <v>4752</v>
      </c>
      <c r="D21" s="0" t="s">
        <v>4771</v>
      </c>
      <c r="E21" s="0" t="s">
        <v>4772</v>
      </c>
      <c r="F21" s="0" t="s">
        <v>4740</v>
      </c>
      <c r="G21" s="0" t="s">
        <v>1081</v>
      </c>
    </row>
    <row customHeight="1" ht="11.25">
      <c r="A22" s="0" t="s">
        <v>14</v>
      </c>
      <c r="B22" s="0" t="s">
        <v>4751</v>
      </c>
      <c r="C22" s="0" t="s">
        <v>4752</v>
      </c>
      <c r="D22" s="0" t="s">
        <v>4773</v>
      </c>
      <c r="E22" s="0" t="s">
        <v>4774</v>
      </c>
      <c r="F22" s="0" t="s">
        <v>4734</v>
      </c>
      <c r="G22" s="0" t="s">
        <v>1096</v>
      </c>
    </row>
    <row customHeight="1" ht="11.25">
      <c r="A23" s="0" t="s">
        <v>14</v>
      </c>
      <c r="B23" s="0" t="s">
        <v>4751</v>
      </c>
      <c r="C23" s="0" t="s">
        <v>4752</v>
      </c>
      <c r="D23" s="0" t="s">
        <v>4775</v>
      </c>
      <c r="E23" s="0" t="s">
        <v>4776</v>
      </c>
      <c r="F23" s="0" t="s">
        <v>4740</v>
      </c>
      <c r="G23" s="0" t="s">
        <v>1102</v>
      </c>
    </row>
    <row customHeight="1" ht="11.25">
      <c r="A24" s="0" t="s">
        <v>14</v>
      </c>
      <c r="B24" s="0" t="s">
        <v>4777</v>
      </c>
      <c r="C24" s="0" t="s">
        <v>4778</v>
      </c>
      <c r="D24" s="0" t="s">
        <v>4777</v>
      </c>
      <c r="E24" s="0" t="s">
        <v>4778</v>
      </c>
      <c r="F24" s="0" t="s">
        <v>4731</v>
      </c>
      <c r="G24" s="0" t="s">
        <v>1108</v>
      </c>
    </row>
    <row customHeight="1" ht="11.25">
      <c r="A25" s="0" t="s">
        <v>14</v>
      </c>
      <c r="B25" s="0" t="s">
        <v>4777</v>
      </c>
      <c r="C25" s="0" t="s">
        <v>4778</v>
      </c>
      <c r="D25" s="0" t="s">
        <v>4779</v>
      </c>
      <c r="E25" s="0" t="s">
        <v>4780</v>
      </c>
      <c r="F25" s="0" t="s">
        <v>4740</v>
      </c>
      <c r="G25" s="0" t="s">
        <v>481</v>
      </c>
    </row>
    <row customHeight="1" ht="11.25">
      <c r="A26" s="0" t="s">
        <v>14</v>
      </c>
      <c r="B26" s="0" t="s">
        <v>4777</v>
      </c>
      <c r="C26" s="0" t="s">
        <v>4778</v>
      </c>
      <c r="D26" s="0" t="s">
        <v>4781</v>
      </c>
      <c r="E26" s="0" t="s">
        <v>4782</v>
      </c>
      <c r="F26" s="0" t="s">
        <v>4740</v>
      </c>
      <c r="G26" s="0" t="s">
        <v>480</v>
      </c>
    </row>
    <row customHeight="1" ht="11.25">
      <c r="A27" s="0" t="s">
        <v>14</v>
      </c>
      <c r="B27" s="0" t="s">
        <v>4777</v>
      </c>
      <c r="C27" s="0" t="s">
        <v>4778</v>
      </c>
      <c r="D27" s="0" t="s">
        <v>4783</v>
      </c>
      <c r="E27" s="0" t="s">
        <v>4784</v>
      </c>
      <c r="F27" s="0" t="s">
        <v>4740</v>
      </c>
      <c r="G27" s="0" t="s">
        <v>727</v>
      </c>
    </row>
    <row customHeight="1" ht="11.25">
      <c r="A28" s="0" t="s">
        <v>14</v>
      </c>
      <c r="B28" s="0" t="s">
        <v>4777</v>
      </c>
      <c r="C28" s="0" t="s">
        <v>4778</v>
      </c>
      <c r="D28" s="0" t="s">
        <v>4785</v>
      </c>
      <c r="E28" s="0" t="s">
        <v>4786</v>
      </c>
      <c r="F28" s="0" t="s">
        <v>4740</v>
      </c>
      <c r="G28" s="0" t="s">
        <v>463</v>
      </c>
    </row>
    <row customHeight="1" ht="11.25">
      <c r="A29" s="0" t="s">
        <v>14</v>
      </c>
      <c r="B29" s="0" t="s">
        <v>4787</v>
      </c>
      <c r="C29" s="0" t="s">
        <v>4788</v>
      </c>
      <c r="D29" s="0" t="s">
        <v>4787</v>
      </c>
      <c r="E29" s="0" t="s">
        <v>4788</v>
      </c>
      <c r="F29" s="0" t="s">
        <v>4731</v>
      </c>
      <c r="G29" s="0" t="s">
        <v>1128</v>
      </c>
    </row>
    <row customHeight="1" ht="11.25">
      <c r="A30" s="0" t="s">
        <v>14</v>
      </c>
      <c r="B30" s="0" t="s">
        <v>4787</v>
      </c>
      <c r="C30" s="0" t="s">
        <v>4788</v>
      </c>
      <c r="D30" s="0" t="s">
        <v>4789</v>
      </c>
      <c r="E30" s="0" t="s">
        <v>4790</v>
      </c>
      <c r="F30" s="0" t="s">
        <v>4734</v>
      </c>
      <c r="G30" s="0" t="s">
        <v>1131</v>
      </c>
    </row>
    <row customHeight="1" ht="11.25">
      <c r="A31" s="0" t="s">
        <v>14</v>
      </c>
      <c r="B31" s="0" t="s">
        <v>4787</v>
      </c>
      <c r="C31" s="0" t="s">
        <v>4788</v>
      </c>
      <c r="D31" s="0" t="s">
        <v>4791</v>
      </c>
      <c r="E31" s="0" t="s">
        <v>4792</v>
      </c>
      <c r="F31" s="0" t="s">
        <v>4740</v>
      </c>
      <c r="G31" s="0" t="s">
        <v>1137</v>
      </c>
    </row>
    <row customHeight="1" ht="11.25">
      <c r="A32" s="0" t="s">
        <v>14</v>
      </c>
      <c r="B32" s="0" t="s">
        <v>4787</v>
      </c>
      <c r="C32" s="0" t="s">
        <v>4788</v>
      </c>
      <c r="D32" s="0" t="s">
        <v>4793</v>
      </c>
      <c r="E32" s="0" t="s">
        <v>4794</v>
      </c>
      <c r="F32" s="0" t="s">
        <v>4740</v>
      </c>
      <c r="G32" s="0" t="s">
        <v>1139</v>
      </c>
    </row>
    <row customHeight="1" ht="11.25">
      <c r="A33" s="0" t="s">
        <v>14</v>
      </c>
      <c r="B33" s="0" t="s">
        <v>4787</v>
      </c>
      <c r="C33" s="0" t="s">
        <v>4788</v>
      </c>
      <c r="D33" s="0" t="s">
        <v>4795</v>
      </c>
      <c r="E33" s="0" t="s">
        <v>4796</v>
      </c>
      <c r="F33" s="0" t="s">
        <v>4740</v>
      </c>
      <c r="G33" s="0" t="s">
        <v>1141</v>
      </c>
    </row>
    <row customHeight="1" ht="11.25">
      <c r="A34" s="0" t="s">
        <v>14</v>
      </c>
      <c r="B34" s="0" t="s">
        <v>4787</v>
      </c>
      <c r="C34" s="0" t="s">
        <v>4788</v>
      </c>
      <c r="D34" s="0" t="s">
        <v>4797</v>
      </c>
      <c r="E34" s="0" t="s">
        <v>4798</v>
      </c>
      <c r="F34" s="0" t="s">
        <v>4740</v>
      </c>
      <c r="G34" s="0" t="s">
        <v>1143</v>
      </c>
    </row>
    <row customHeight="1" ht="11.25">
      <c r="A35" s="0" t="s">
        <v>14</v>
      </c>
      <c r="B35" s="0" t="s">
        <v>4787</v>
      </c>
      <c r="C35" s="0" t="s">
        <v>4788</v>
      </c>
      <c r="D35" s="0" t="s">
        <v>4799</v>
      </c>
      <c r="E35" s="0" t="s">
        <v>4800</v>
      </c>
      <c r="F35" s="0" t="s">
        <v>4740</v>
      </c>
      <c r="G35" s="0" t="s">
        <v>1148</v>
      </c>
    </row>
    <row customHeight="1" ht="11.25">
      <c r="A36" s="0" t="s">
        <v>14</v>
      </c>
      <c r="B36" s="0" t="s">
        <v>4787</v>
      </c>
      <c r="C36" s="0" t="s">
        <v>4788</v>
      </c>
      <c r="D36" s="0" t="s">
        <v>4801</v>
      </c>
      <c r="E36" s="0" t="s">
        <v>4802</v>
      </c>
      <c r="F36" s="0" t="s">
        <v>4740</v>
      </c>
      <c r="G36" s="0" t="s">
        <v>1153</v>
      </c>
    </row>
    <row customHeight="1" ht="11.25">
      <c r="A37" s="0" t="s">
        <v>14</v>
      </c>
      <c r="B37" s="0" t="s">
        <v>4787</v>
      </c>
      <c r="C37" s="0" t="s">
        <v>4788</v>
      </c>
      <c r="D37" s="0" t="s">
        <v>4803</v>
      </c>
      <c r="E37" s="0" t="s">
        <v>4804</v>
      </c>
      <c r="F37" s="0" t="s">
        <v>4740</v>
      </c>
      <c r="G37" s="0" t="s">
        <v>1157</v>
      </c>
    </row>
    <row customHeight="1" ht="11.25">
      <c r="A38" s="0" t="s">
        <v>14</v>
      </c>
      <c r="B38" s="0" t="s">
        <v>4787</v>
      </c>
      <c r="C38" s="0" t="s">
        <v>4788</v>
      </c>
      <c r="D38" s="0" t="s">
        <v>4775</v>
      </c>
      <c r="E38" s="0" t="s">
        <v>4805</v>
      </c>
      <c r="F38" s="0" t="s">
        <v>4740</v>
      </c>
      <c r="G38" s="0" t="s">
        <v>1165</v>
      </c>
    </row>
    <row customHeight="1" ht="11.25">
      <c r="A39" s="0" t="s">
        <v>14</v>
      </c>
      <c r="B39" s="0" t="s">
        <v>4787</v>
      </c>
      <c r="C39" s="0" t="s">
        <v>4788</v>
      </c>
      <c r="D39" s="0" t="s">
        <v>4806</v>
      </c>
      <c r="E39" s="0" t="s">
        <v>4807</v>
      </c>
      <c r="F39" s="0" t="s">
        <v>4740</v>
      </c>
      <c r="G39" s="0" t="s">
        <v>1171</v>
      </c>
    </row>
    <row customHeight="1" ht="11.25">
      <c r="A40" s="0" t="s">
        <v>14</v>
      </c>
      <c r="B40" s="0" t="s">
        <v>4787</v>
      </c>
      <c r="C40" s="0" t="s">
        <v>4788</v>
      </c>
      <c r="D40" s="0" t="s">
        <v>4808</v>
      </c>
      <c r="E40" s="0" t="s">
        <v>4809</v>
      </c>
      <c r="F40" s="0" t="s">
        <v>4740</v>
      </c>
      <c r="G40" s="0" t="s">
        <v>1177</v>
      </c>
    </row>
    <row customHeight="1" ht="11.25">
      <c r="A41" s="0" t="s">
        <v>14</v>
      </c>
      <c r="B41" s="0" t="s">
        <v>4810</v>
      </c>
      <c r="C41" s="0" t="s">
        <v>4811</v>
      </c>
      <c r="D41" s="0" t="s">
        <v>4812</v>
      </c>
      <c r="E41" s="0" t="s">
        <v>4813</v>
      </c>
      <c r="F41" s="0" t="s">
        <v>4740</v>
      </c>
      <c r="G41" s="0" t="s">
        <v>1183</v>
      </c>
    </row>
    <row customHeight="1" ht="11.25">
      <c r="A42" s="0" t="s">
        <v>14</v>
      </c>
      <c r="B42" s="0" t="s">
        <v>4810</v>
      </c>
      <c r="C42" s="0" t="s">
        <v>4811</v>
      </c>
      <c r="D42" s="0" t="s">
        <v>4814</v>
      </c>
      <c r="E42" s="0" t="s">
        <v>4815</v>
      </c>
      <c r="F42" s="0" t="s">
        <v>4740</v>
      </c>
      <c r="G42" s="0" t="s">
        <v>1188</v>
      </c>
    </row>
    <row customHeight="1" ht="11.25">
      <c r="A43" s="0" t="s">
        <v>14</v>
      </c>
      <c r="B43" s="0" t="s">
        <v>4810</v>
      </c>
      <c r="C43" s="0" t="s">
        <v>4811</v>
      </c>
      <c r="D43" s="0" t="s">
        <v>4810</v>
      </c>
      <c r="E43" s="0" t="s">
        <v>4811</v>
      </c>
      <c r="F43" s="0" t="s">
        <v>4731</v>
      </c>
      <c r="G43" s="0" t="s">
        <v>1195</v>
      </c>
    </row>
    <row customHeight="1" ht="11.25">
      <c r="A44" s="0" t="s">
        <v>14</v>
      </c>
      <c r="B44" s="0" t="s">
        <v>4810</v>
      </c>
      <c r="C44" s="0" t="s">
        <v>4811</v>
      </c>
      <c r="D44" s="0" t="s">
        <v>4816</v>
      </c>
      <c r="E44" s="0" t="s">
        <v>4817</v>
      </c>
      <c r="F44" s="0" t="s">
        <v>4740</v>
      </c>
      <c r="G44" s="0" t="s">
        <v>1204</v>
      </c>
    </row>
    <row customHeight="1" ht="11.25">
      <c r="A45" s="0" t="s">
        <v>14</v>
      </c>
      <c r="B45" s="0" t="s">
        <v>4810</v>
      </c>
      <c r="C45" s="0" t="s">
        <v>4811</v>
      </c>
      <c r="D45" s="0" t="s">
        <v>4818</v>
      </c>
      <c r="E45" s="0" t="s">
        <v>4819</v>
      </c>
      <c r="F45" s="0" t="s">
        <v>4740</v>
      </c>
      <c r="G45" s="0" t="s">
        <v>1210</v>
      </c>
    </row>
    <row customHeight="1" ht="11.25">
      <c r="A46" s="0" t="s">
        <v>14</v>
      </c>
      <c r="B46" s="0" t="s">
        <v>4810</v>
      </c>
      <c r="C46" s="0" t="s">
        <v>4811</v>
      </c>
      <c r="D46" s="0" t="s">
        <v>4820</v>
      </c>
      <c r="E46" s="0" t="s">
        <v>4821</v>
      </c>
      <c r="F46" s="0" t="s">
        <v>4740</v>
      </c>
      <c r="G46" s="0" t="s">
        <v>482</v>
      </c>
    </row>
    <row customHeight="1" ht="11.25">
      <c r="A47" s="0" t="s">
        <v>14</v>
      </c>
      <c r="B47" s="0" t="s">
        <v>4810</v>
      </c>
      <c r="C47" s="0" t="s">
        <v>4811</v>
      </c>
      <c r="D47" s="0" t="s">
        <v>4822</v>
      </c>
      <c r="E47" s="0" t="s">
        <v>4823</v>
      </c>
      <c r="F47" s="0" t="s">
        <v>4740</v>
      </c>
      <c r="G47" s="0" t="s">
        <v>1219</v>
      </c>
    </row>
    <row customHeight="1" ht="11.25">
      <c r="A48" s="0" t="s">
        <v>14</v>
      </c>
      <c r="B48" s="0" t="s">
        <v>4810</v>
      </c>
      <c r="C48" s="0" t="s">
        <v>4811</v>
      </c>
      <c r="D48" s="0" t="s">
        <v>4824</v>
      </c>
      <c r="E48" s="0" t="s">
        <v>4825</v>
      </c>
      <c r="F48" s="0" t="s">
        <v>4740</v>
      </c>
      <c r="G48" s="0" t="s">
        <v>728</v>
      </c>
    </row>
    <row customHeight="1" ht="11.25">
      <c r="A49" s="0" t="s">
        <v>14</v>
      </c>
      <c r="B49" s="0" t="s">
        <v>4810</v>
      </c>
      <c r="C49" s="0" t="s">
        <v>4811</v>
      </c>
      <c r="D49" s="0" t="s">
        <v>4826</v>
      </c>
      <c r="E49" s="0" t="s">
        <v>4827</v>
      </c>
      <c r="F49" s="0" t="s">
        <v>4740</v>
      </c>
      <c r="G49" s="0" t="s">
        <v>1228</v>
      </c>
    </row>
    <row customHeight="1" ht="11.25">
      <c r="A50" s="0" t="s">
        <v>14</v>
      </c>
      <c r="B50" s="0" t="s">
        <v>4828</v>
      </c>
      <c r="C50" s="0" t="s">
        <v>4829</v>
      </c>
      <c r="D50" s="0" t="s">
        <v>4830</v>
      </c>
      <c r="E50" s="0" t="s">
        <v>4831</v>
      </c>
      <c r="F50" s="0" t="s">
        <v>4740</v>
      </c>
      <c r="G50" s="0" t="s">
        <v>1232</v>
      </c>
    </row>
    <row customHeight="1" ht="11.25">
      <c r="A51" s="0" t="s">
        <v>14</v>
      </c>
      <c r="B51" s="0" t="s">
        <v>4828</v>
      </c>
      <c r="C51" s="0" t="s">
        <v>4829</v>
      </c>
      <c r="D51" s="0" t="s">
        <v>4832</v>
      </c>
      <c r="E51" s="0" t="s">
        <v>4833</v>
      </c>
      <c r="F51" s="0" t="s">
        <v>4740</v>
      </c>
      <c r="G51" s="0" t="s">
        <v>1236</v>
      </c>
    </row>
    <row customHeight="1" ht="11.25">
      <c r="A52" s="0" t="s">
        <v>14</v>
      </c>
      <c r="B52" s="0" t="s">
        <v>4828</v>
      </c>
      <c r="C52" s="0" t="s">
        <v>4829</v>
      </c>
      <c r="D52" s="0" t="s">
        <v>4834</v>
      </c>
      <c r="E52" s="0" t="s">
        <v>4835</v>
      </c>
      <c r="F52" s="0" t="s">
        <v>4740</v>
      </c>
      <c r="G52" s="0" t="s">
        <v>1240</v>
      </c>
    </row>
    <row customHeight="1" ht="11.25">
      <c r="A53" s="0" t="s">
        <v>14</v>
      </c>
      <c r="B53" s="0" t="s">
        <v>4828</v>
      </c>
      <c r="C53" s="0" t="s">
        <v>4829</v>
      </c>
      <c r="D53" s="0" t="s">
        <v>4836</v>
      </c>
      <c r="E53" s="0" t="s">
        <v>4837</v>
      </c>
      <c r="F53" s="0" t="s">
        <v>4740</v>
      </c>
      <c r="G53" s="0" t="s">
        <v>1242</v>
      </c>
    </row>
    <row customHeight="1" ht="11.25">
      <c r="A54" s="0" t="s">
        <v>14</v>
      </c>
      <c r="B54" s="0" t="s">
        <v>4828</v>
      </c>
      <c r="C54" s="0" t="s">
        <v>4829</v>
      </c>
      <c r="D54" s="0" t="s">
        <v>4828</v>
      </c>
      <c r="E54" s="0" t="s">
        <v>4829</v>
      </c>
      <c r="F54" s="0" t="s">
        <v>4731</v>
      </c>
      <c r="G54" s="0" t="s">
        <v>1245</v>
      </c>
    </row>
    <row customHeight="1" ht="11.25">
      <c r="A55" s="0" t="s">
        <v>14</v>
      </c>
      <c r="B55" s="0" t="s">
        <v>4828</v>
      </c>
      <c r="C55" s="0" t="s">
        <v>4829</v>
      </c>
      <c r="D55" s="0" t="s">
        <v>4838</v>
      </c>
      <c r="E55" s="0" t="s">
        <v>4839</v>
      </c>
      <c r="F55" s="0" t="s">
        <v>4740</v>
      </c>
      <c r="G55" s="0" t="s">
        <v>1249</v>
      </c>
    </row>
    <row customHeight="1" ht="11.25">
      <c r="A56" s="0" t="s">
        <v>14</v>
      </c>
      <c r="B56" s="0" t="s">
        <v>4828</v>
      </c>
      <c r="C56" s="0" t="s">
        <v>4829</v>
      </c>
      <c r="D56" s="0" t="s">
        <v>4840</v>
      </c>
      <c r="E56" s="0" t="s">
        <v>4841</v>
      </c>
      <c r="F56" s="0" t="s">
        <v>4740</v>
      </c>
      <c r="G56" s="0" t="s">
        <v>1252</v>
      </c>
    </row>
    <row customHeight="1" ht="11.25">
      <c r="A57" s="0" t="s">
        <v>14</v>
      </c>
      <c r="B57" s="0" t="s">
        <v>4828</v>
      </c>
      <c r="C57" s="0" t="s">
        <v>4829</v>
      </c>
      <c r="D57" s="0" t="s">
        <v>4842</v>
      </c>
      <c r="E57" s="0" t="s">
        <v>4843</v>
      </c>
      <c r="F57" s="0" t="s">
        <v>4740</v>
      </c>
      <c r="G57" s="0" t="s">
        <v>1255</v>
      </c>
    </row>
    <row customHeight="1" ht="11.25">
      <c r="A58" s="0" t="s">
        <v>14</v>
      </c>
      <c r="B58" s="0" t="s">
        <v>4828</v>
      </c>
      <c r="C58" s="0" t="s">
        <v>4829</v>
      </c>
      <c r="D58" s="0" t="s">
        <v>4844</v>
      </c>
      <c r="E58" s="0" t="s">
        <v>4845</v>
      </c>
      <c r="F58" s="0" t="s">
        <v>4740</v>
      </c>
      <c r="G58" s="0" t="s">
        <v>1258</v>
      </c>
    </row>
    <row customHeight="1" ht="11.25">
      <c r="A59" s="0" t="s">
        <v>14</v>
      </c>
      <c r="B59" s="0" t="s">
        <v>4828</v>
      </c>
      <c r="C59" s="0" t="s">
        <v>4829</v>
      </c>
      <c r="D59" s="0" t="s">
        <v>4846</v>
      </c>
      <c r="E59" s="0" t="s">
        <v>4847</v>
      </c>
      <c r="F59" s="0" t="s">
        <v>4740</v>
      </c>
      <c r="G59" s="0" t="s">
        <v>1262</v>
      </c>
    </row>
    <row customHeight="1" ht="11.25">
      <c r="A60" s="0" t="s">
        <v>14</v>
      </c>
      <c r="B60" s="0" t="s">
        <v>4828</v>
      </c>
      <c r="C60" s="0" t="s">
        <v>4829</v>
      </c>
      <c r="D60" s="0" t="s">
        <v>4848</v>
      </c>
      <c r="E60" s="0" t="s">
        <v>4849</v>
      </c>
      <c r="F60" s="0" t="s">
        <v>4740</v>
      </c>
      <c r="G60" s="0" t="s">
        <v>1265</v>
      </c>
    </row>
    <row customHeight="1" ht="11.25">
      <c r="A61" s="0" t="s">
        <v>14</v>
      </c>
      <c r="B61" s="0" t="s">
        <v>4850</v>
      </c>
      <c r="C61" s="0" t="s">
        <v>4851</v>
      </c>
      <c r="D61" s="0" t="s">
        <v>4850</v>
      </c>
      <c r="E61" s="0" t="s">
        <v>4851</v>
      </c>
      <c r="F61" s="0" t="s">
        <v>4852</v>
      </c>
      <c r="G61" s="0" t="s">
        <v>4853</v>
      </c>
    </row>
    <row customHeight="1" ht="11.25">
      <c r="A62" s="0" t="s">
        <v>14</v>
      </c>
      <c r="B62" s="0" t="s">
        <v>4854</v>
      </c>
      <c r="C62" s="0" t="s">
        <v>4855</v>
      </c>
      <c r="D62" s="0" t="s">
        <v>4854</v>
      </c>
      <c r="E62" s="0" t="s">
        <v>4855</v>
      </c>
      <c r="F62" s="0" t="s">
        <v>4852</v>
      </c>
      <c r="G62" s="0" t="s">
        <v>4856</v>
      </c>
    </row>
    <row customHeight="1" ht="11.25">
      <c r="A63" s="0" t="s">
        <v>14</v>
      </c>
      <c r="B63" s="0" t="s">
        <v>4857</v>
      </c>
      <c r="C63" s="0" t="s">
        <v>4858</v>
      </c>
      <c r="D63" s="0" t="s">
        <v>4857</v>
      </c>
      <c r="E63" s="0" t="s">
        <v>4858</v>
      </c>
      <c r="F63" s="0" t="s">
        <v>4852</v>
      </c>
      <c r="G63" s="0" t="s">
        <v>4859</v>
      </c>
    </row>
    <row customHeight="1" ht="11.25">
      <c r="A64" s="0" t="s">
        <v>14</v>
      </c>
      <c r="B64" s="0" t="s">
        <v>4860</v>
      </c>
      <c r="C64" s="0" t="s">
        <v>4861</v>
      </c>
      <c r="D64" s="0" t="s">
        <v>4860</v>
      </c>
      <c r="E64" s="0" t="s">
        <v>4861</v>
      </c>
      <c r="F64" s="0" t="s">
        <v>4852</v>
      </c>
      <c r="G64" s="0" t="s">
        <v>4862</v>
      </c>
    </row>
    <row customHeight="1" ht="11.25">
      <c r="A65" s="0" t="s">
        <v>14</v>
      </c>
      <c r="B65" s="0" t="s">
        <v>4863</v>
      </c>
      <c r="C65" s="0" t="s">
        <v>4864</v>
      </c>
      <c r="D65" s="0" t="s">
        <v>4863</v>
      </c>
      <c r="E65" s="0" t="s">
        <v>4864</v>
      </c>
      <c r="F65" s="0" t="s">
        <v>4852</v>
      </c>
      <c r="G65" s="0" t="s">
        <v>4865</v>
      </c>
    </row>
    <row customHeight="1" ht="11.25">
      <c r="A66" s="0" t="s">
        <v>14</v>
      </c>
      <c r="B66" s="0" t="s">
        <v>4866</v>
      </c>
      <c r="C66" s="0" t="s">
        <v>4867</v>
      </c>
      <c r="D66" s="0" t="s">
        <v>4868</v>
      </c>
      <c r="E66" s="0" t="s">
        <v>4869</v>
      </c>
      <c r="F66" s="0" t="s">
        <v>4740</v>
      </c>
      <c r="G66" s="0" t="s">
        <v>4870</v>
      </c>
    </row>
    <row customHeight="1" ht="11.25">
      <c r="A67" s="0" t="s">
        <v>14</v>
      </c>
      <c r="B67" s="0" t="s">
        <v>4866</v>
      </c>
      <c r="C67" s="0" t="s">
        <v>4867</v>
      </c>
      <c r="D67" s="0" t="s">
        <v>4871</v>
      </c>
      <c r="E67" s="0" t="s">
        <v>4872</v>
      </c>
      <c r="F67" s="0" t="s">
        <v>4737</v>
      </c>
      <c r="G67" s="0" t="s">
        <v>729</v>
      </c>
    </row>
    <row customHeight="1" ht="11.25">
      <c r="A68" s="0" t="s">
        <v>14</v>
      </c>
      <c r="B68" s="0" t="s">
        <v>4866</v>
      </c>
      <c r="C68" s="0" t="s">
        <v>4867</v>
      </c>
      <c r="D68" s="0" t="s">
        <v>4866</v>
      </c>
      <c r="E68" s="0" t="s">
        <v>4867</v>
      </c>
      <c r="F68" s="0" t="s">
        <v>4731</v>
      </c>
      <c r="G68" s="0" t="s">
        <v>4873</v>
      </c>
    </row>
    <row customHeight="1" ht="11.25">
      <c r="A69" s="0" t="s">
        <v>14</v>
      </c>
      <c r="B69" s="0" t="s">
        <v>4866</v>
      </c>
      <c r="C69" s="0" t="s">
        <v>4867</v>
      </c>
      <c r="D69" s="0" t="s">
        <v>4874</v>
      </c>
      <c r="E69" s="0" t="s">
        <v>4875</v>
      </c>
      <c r="F69" s="0" t="s">
        <v>4734</v>
      </c>
      <c r="G69" s="0" t="s">
        <v>4876</v>
      </c>
    </row>
    <row customHeight="1" ht="11.25">
      <c r="A70" s="0" t="s">
        <v>14</v>
      </c>
      <c r="B70" s="0" t="s">
        <v>4866</v>
      </c>
      <c r="C70" s="0" t="s">
        <v>4867</v>
      </c>
      <c r="D70" s="0" t="s">
        <v>4877</v>
      </c>
      <c r="E70" s="0" t="s">
        <v>4878</v>
      </c>
      <c r="F70" s="0" t="s">
        <v>4740</v>
      </c>
      <c r="G70" s="0" t="s">
        <v>4879</v>
      </c>
    </row>
    <row customHeight="1" ht="11.25">
      <c r="A71" s="0" t="s">
        <v>14</v>
      </c>
      <c r="B71" s="0" t="s">
        <v>4866</v>
      </c>
      <c r="C71" s="0" t="s">
        <v>4867</v>
      </c>
      <c r="D71" s="0" t="s">
        <v>4880</v>
      </c>
      <c r="E71" s="0" t="s">
        <v>4881</v>
      </c>
      <c r="F71" s="0" t="s">
        <v>4737</v>
      </c>
      <c r="G71" s="0" t="s">
        <v>4882</v>
      </c>
    </row>
    <row customHeight="1" ht="11.25">
      <c r="A72" s="0" t="s">
        <v>14</v>
      </c>
      <c r="B72" s="0" t="s">
        <v>4866</v>
      </c>
      <c r="C72" s="0" t="s">
        <v>4867</v>
      </c>
      <c r="D72" s="0" t="s">
        <v>4883</v>
      </c>
      <c r="E72" s="0" t="s">
        <v>4884</v>
      </c>
      <c r="F72" s="0" t="s">
        <v>4740</v>
      </c>
      <c r="G72" s="0" t="s">
        <v>4885</v>
      </c>
    </row>
    <row customHeight="1" ht="11.25">
      <c r="A73" s="0" t="s">
        <v>14</v>
      </c>
      <c r="B73" s="0" t="s">
        <v>4866</v>
      </c>
      <c r="C73" s="0" t="s">
        <v>4867</v>
      </c>
      <c r="D73" s="0" t="s">
        <v>4886</v>
      </c>
      <c r="E73" s="0" t="s">
        <v>4887</v>
      </c>
      <c r="F73" s="0" t="s">
        <v>4740</v>
      </c>
      <c r="G73" s="0" t="s">
        <v>4888</v>
      </c>
    </row>
    <row customHeight="1" ht="11.25">
      <c r="A74" s="0" t="s">
        <v>14</v>
      </c>
      <c r="B74" s="0" t="s">
        <v>4866</v>
      </c>
      <c r="C74" s="0" t="s">
        <v>4867</v>
      </c>
      <c r="D74" s="0" t="s">
        <v>4889</v>
      </c>
      <c r="E74" s="0" t="s">
        <v>4890</v>
      </c>
      <c r="F74" s="0" t="s">
        <v>4740</v>
      </c>
      <c r="G74" s="0" t="s">
        <v>4891</v>
      </c>
    </row>
    <row customHeight="1" ht="11.25">
      <c r="A75" s="0" t="s">
        <v>14</v>
      </c>
      <c r="B75" s="0" t="s">
        <v>4866</v>
      </c>
      <c r="C75" s="0" t="s">
        <v>4867</v>
      </c>
      <c r="D75" s="0" t="s">
        <v>4892</v>
      </c>
      <c r="E75" s="0" t="s">
        <v>4893</v>
      </c>
      <c r="F75" s="0" t="s">
        <v>4740</v>
      </c>
      <c r="G75" s="0" t="s">
        <v>4894</v>
      </c>
    </row>
    <row customHeight="1" ht="11.25">
      <c r="A76" s="0" t="s">
        <v>14</v>
      </c>
      <c r="B76" s="0" t="s">
        <v>4866</v>
      </c>
      <c r="C76" s="0" t="s">
        <v>4867</v>
      </c>
      <c r="D76" s="0" t="s">
        <v>4895</v>
      </c>
      <c r="E76" s="0" t="s">
        <v>4896</v>
      </c>
      <c r="F76" s="0" t="s">
        <v>4740</v>
      </c>
      <c r="G76" s="0" t="s">
        <v>4897</v>
      </c>
    </row>
    <row customHeight="1" ht="11.25">
      <c r="A77" s="0" t="s">
        <v>14</v>
      </c>
      <c r="B77" s="0" t="s">
        <v>4866</v>
      </c>
      <c r="C77" s="0" t="s">
        <v>4867</v>
      </c>
      <c r="D77" s="0" t="s">
        <v>4898</v>
      </c>
      <c r="E77" s="0" t="s">
        <v>4899</v>
      </c>
      <c r="F77" s="0" t="s">
        <v>4740</v>
      </c>
      <c r="G77" s="0" t="s">
        <v>4900</v>
      </c>
    </row>
    <row customHeight="1" ht="11.25">
      <c r="A78" s="0" t="s">
        <v>14</v>
      </c>
      <c r="B78" s="0" t="s">
        <v>4866</v>
      </c>
      <c r="C78" s="0" t="s">
        <v>4867</v>
      </c>
      <c r="D78" s="0" t="s">
        <v>4901</v>
      </c>
      <c r="E78" s="0" t="s">
        <v>4902</v>
      </c>
      <c r="F78" s="0" t="s">
        <v>4740</v>
      </c>
      <c r="G78" s="0" t="s">
        <v>4903</v>
      </c>
    </row>
    <row customHeight="1" ht="11.25">
      <c r="A79" s="0" t="s">
        <v>14</v>
      </c>
      <c r="B79" s="0" t="s">
        <v>4866</v>
      </c>
      <c r="C79" s="0" t="s">
        <v>4867</v>
      </c>
      <c r="D79" s="0" t="s">
        <v>4904</v>
      </c>
      <c r="E79" s="0" t="s">
        <v>4905</v>
      </c>
      <c r="F79" s="0" t="s">
        <v>4740</v>
      </c>
      <c r="G79" s="0" t="s">
        <v>4906</v>
      </c>
    </row>
    <row customHeight="1" ht="11.25">
      <c r="A80" s="0" t="s">
        <v>14</v>
      </c>
      <c r="B80" s="0" t="s">
        <v>4866</v>
      </c>
      <c r="C80" s="0" t="s">
        <v>4867</v>
      </c>
      <c r="D80" s="0" t="s">
        <v>4907</v>
      </c>
      <c r="E80" s="0" t="s">
        <v>4908</v>
      </c>
      <c r="F80" s="0" t="s">
        <v>4740</v>
      </c>
      <c r="G80" s="0" t="s">
        <v>4909</v>
      </c>
    </row>
    <row customHeight="1" ht="11.25">
      <c r="A81" s="0" t="s">
        <v>14</v>
      </c>
      <c r="B81" s="0" t="s">
        <v>4866</v>
      </c>
      <c r="C81" s="0" t="s">
        <v>4867</v>
      </c>
      <c r="D81" s="0" t="s">
        <v>4910</v>
      </c>
      <c r="E81" s="0" t="s">
        <v>4911</v>
      </c>
      <c r="F81" s="0" t="s">
        <v>4740</v>
      </c>
      <c r="G81" s="0" t="s">
        <v>4912</v>
      </c>
    </row>
    <row customHeight="1" ht="11.25">
      <c r="A82" s="0" t="s">
        <v>14</v>
      </c>
      <c r="B82" s="0" t="s">
        <v>4913</v>
      </c>
      <c r="C82" s="0" t="s">
        <v>4914</v>
      </c>
      <c r="D82" s="0" t="s">
        <v>4915</v>
      </c>
      <c r="E82" s="0" t="s">
        <v>4916</v>
      </c>
      <c r="F82" s="0" t="s">
        <v>4740</v>
      </c>
      <c r="G82" s="0" t="s">
        <v>4917</v>
      </c>
    </row>
    <row customHeight="1" ht="11.25">
      <c r="A83" s="0" t="s">
        <v>14</v>
      </c>
      <c r="B83" s="0" t="s">
        <v>4913</v>
      </c>
      <c r="C83" s="0" t="s">
        <v>4914</v>
      </c>
      <c r="D83" s="0" t="s">
        <v>4918</v>
      </c>
      <c r="E83" s="0" t="s">
        <v>4919</v>
      </c>
      <c r="F83" s="0" t="s">
        <v>4740</v>
      </c>
      <c r="G83" s="0" t="s">
        <v>4920</v>
      </c>
    </row>
    <row customHeight="1" ht="11.25">
      <c r="A84" s="0" t="s">
        <v>14</v>
      </c>
      <c r="B84" s="0" t="s">
        <v>4913</v>
      </c>
      <c r="C84" s="0" t="s">
        <v>4914</v>
      </c>
      <c r="D84" s="0" t="s">
        <v>4913</v>
      </c>
      <c r="E84" s="0" t="s">
        <v>4914</v>
      </c>
      <c r="F84" s="0" t="s">
        <v>4731</v>
      </c>
      <c r="G84" s="0" t="s">
        <v>4921</v>
      </c>
    </row>
    <row customHeight="1" ht="11.25">
      <c r="A85" s="0" t="s">
        <v>14</v>
      </c>
      <c r="B85" s="0" t="s">
        <v>4913</v>
      </c>
      <c r="C85" s="0" t="s">
        <v>4914</v>
      </c>
      <c r="D85" s="0" t="s">
        <v>4922</v>
      </c>
      <c r="E85" s="0" t="s">
        <v>4923</v>
      </c>
      <c r="F85" s="0" t="s">
        <v>4740</v>
      </c>
      <c r="G85" s="0" t="s">
        <v>4924</v>
      </c>
    </row>
    <row customHeight="1" ht="11.25">
      <c r="A86" s="0" t="s">
        <v>14</v>
      </c>
      <c r="B86" s="0" t="s">
        <v>4913</v>
      </c>
      <c r="C86" s="0" t="s">
        <v>4914</v>
      </c>
      <c r="D86" s="0" t="s">
        <v>4925</v>
      </c>
      <c r="E86" s="0" t="s">
        <v>4926</v>
      </c>
      <c r="F86" s="0" t="s">
        <v>4740</v>
      </c>
      <c r="G86" s="0" t="s">
        <v>4927</v>
      </c>
    </row>
    <row customHeight="1" ht="11.25">
      <c r="A87" s="0" t="s">
        <v>14</v>
      </c>
      <c r="B87" s="0" t="s">
        <v>4913</v>
      </c>
      <c r="C87" s="0" t="s">
        <v>4914</v>
      </c>
      <c r="D87" s="0" t="s">
        <v>4928</v>
      </c>
      <c r="E87" s="0" t="s">
        <v>4929</v>
      </c>
      <c r="F87" s="0" t="s">
        <v>4740</v>
      </c>
      <c r="G87" s="0" t="s">
        <v>4930</v>
      </c>
    </row>
    <row customHeight="1" ht="11.25">
      <c r="A88" s="0" t="s">
        <v>14</v>
      </c>
      <c r="B88" s="0" t="s">
        <v>4913</v>
      </c>
      <c r="C88" s="0" t="s">
        <v>4914</v>
      </c>
      <c r="D88" s="0" t="s">
        <v>4931</v>
      </c>
      <c r="E88" s="0" t="s">
        <v>4932</v>
      </c>
      <c r="F88" s="0" t="s">
        <v>4740</v>
      </c>
      <c r="G88" s="0" t="s">
        <v>4933</v>
      </c>
    </row>
    <row customHeight="1" ht="11.25">
      <c r="A89" s="0" t="s">
        <v>14</v>
      </c>
      <c r="B89" s="0" t="s">
        <v>4913</v>
      </c>
      <c r="C89" s="0" t="s">
        <v>4914</v>
      </c>
      <c r="D89" s="0" t="s">
        <v>4934</v>
      </c>
      <c r="E89" s="0" t="s">
        <v>4935</v>
      </c>
      <c r="F89" s="0" t="s">
        <v>4740</v>
      </c>
      <c r="G89" s="0" t="s">
        <v>4936</v>
      </c>
    </row>
    <row customHeight="1" ht="11.25">
      <c r="A90" s="0" t="s">
        <v>14</v>
      </c>
      <c r="B90" s="0" t="s">
        <v>4913</v>
      </c>
      <c r="C90" s="0" t="s">
        <v>4914</v>
      </c>
      <c r="D90" s="0" t="s">
        <v>4937</v>
      </c>
      <c r="E90" s="0" t="s">
        <v>4938</v>
      </c>
      <c r="F90" s="0" t="s">
        <v>4740</v>
      </c>
      <c r="G90" s="0" t="s">
        <v>4939</v>
      </c>
    </row>
    <row customHeight="1" ht="11.25">
      <c r="A91" s="0" t="s">
        <v>14</v>
      </c>
      <c r="B91" s="0" t="s">
        <v>4913</v>
      </c>
      <c r="C91" s="0" t="s">
        <v>4914</v>
      </c>
      <c r="D91" s="0" t="s">
        <v>4940</v>
      </c>
      <c r="E91" s="0" t="s">
        <v>4941</v>
      </c>
      <c r="F91" s="0" t="s">
        <v>4740</v>
      </c>
      <c r="G91" s="0" t="s">
        <v>4942</v>
      </c>
    </row>
    <row customHeight="1" ht="11.25">
      <c r="A92" s="0" t="s">
        <v>14</v>
      </c>
      <c r="B92" s="0" t="s">
        <v>4913</v>
      </c>
      <c r="C92" s="0" t="s">
        <v>4914</v>
      </c>
      <c r="D92" s="0" t="s">
        <v>4943</v>
      </c>
      <c r="E92" s="0" t="s">
        <v>4944</v>
      </c>
      <c r="F92" s="0" t="s">
        <v>4740</v>
      </c>
      <c r="G92" s="0" t="s">
        <v>4945</v>
      </c>
    </row>
    <row customHeight="1" ht="11.25">
      <c r="A93" s="0" t="s">
        <v>14</v>
      </c>
      <c r="B93" s="0" t="s">
        <v>4946</v>
      </c>
      <c r="C93" s="0" t="s">
        <v>4947</v>
      </c>
      <c r="D93" s="0" t="s">
        <v>4948</v>
      </c>
      <c r="E93" s="0" t="s">
        <v>4949</v>
      </c>
      <c r="F93" s="0" t="s">
        <v>4740</v>
      </c>
      <c r="G93" s="0" t="s">
        <v>4950</v>
      </c>
    </row>
    <row customHeight="1" ht="11.25">
      <c r="A94" s="0" t="s">
        <v>14</v>
      </c>
      <c r="B94" s="0" t="s">
        <v>4946</v>
      </c>
      <c r="C94" s="0" t="s">
        <v>4947</v>
      </c>
      <c r="D94" s="0" t="s">
        <v>4951</v>
      </c>
      <c r="E94" s="0" t="s">
        <v>4952</v>
      </c>
      <c r="F94" s="0" t="s">
        <v>4740</v>
      </c>
      <c r="G94" s="0" t="s">
        <v>4953</v>
      </c>
    </row>
    <row customHeight="1" ht="11.25">
      <c r="A95" s="0" t="s">
        <v>14</v>
      </c>
      <c r="B95" s="0" t="s">
        <v>4946</v>
      </c>
      <c r="C95" s="0" t="s">
        <v>4947</v>
      </c>
      <c r="D95" s="0" t="s">
        <v>4946</v>
      </c>
      <c r="E95" s="0" t="s">
        <v>4947</v>
      </c>
      <c r="F95" s="0" t="s">
        <v>4731</v>
      </c>
      <c r="G95" s="0" t="s">
        <v>4954</v>
      </c>
    </row>
    <row customHeight="1" ht="11.25">
      <c r="A96" s="0" t="s">
        <v>14</v>
      </c>
      <c r="B96" s="0" t="s">
        <v>4946</v>
      </c>
      <c r="C96" s="0" t="s">
        <v>4947</v>
      </c>
      <c r="D96" s="0" t="s">
        <v>4955</v>
      </c>
      <c r="E96" s="0" t="s">
        <v>4956</v>
      </c>
      <c r="F96" s="0" t="s">
        <v>4740</v>
      </c>
      <c r="G96" s="0" t="s">
        <v>4957</v>
      </c>
    </row>
    <row customHeight="1" ht="11.25">
      <c r="A97" s="0" t="s">
        <v>14</v>
      </c>
      <c r="B97" s="0" t="s">
        <v>4946</v>
      </c>
      <c r="C97" s="0" t="s">
        <v>4947</v>
      </c>
      <c r="D97" s="0" t="s">
        <v>4958</v>
      </c>
      <c r="E97" s="0" t="s">
        <v>4959</v>
      </c>
      <c r="F97" s="0" t="s">
        <v>4734</v>
      </c>
      <c r="G97" s="0" t="s">
        <v>4960</v>
      </c>
    </row>
    <row customHeight="1" ht="11.25">
      <c r="A98" s="0" t="s">
        <v>14</v>
      </c>
      <c r="B98" s="0" t="s">
        <v>4946</v>
      </c>
      <c r="C98" s="0" t="s">
        <v>4947</v>
      </c>
      <c r="D98" s="0" t="s">
        <v>4961</v>
      </c>
      <c r="E98" s="0" t="s">
        <v>4962</v>
      </c>
      <c r="F98" s="0" t="s">
        <v>4740</v>
      </c>
      <c r="G98" s="0" t="s">
        <v>4963</v>
      </c>
    </row>
    <row customHeight="1" ht="11.25">
      <c r="A99" s="0" t="s">
        <v>14</v>
      </c>
      <c r="B99" s="0" t="s">
        <v>4946</v>
      </c>
      <c r="C99" s="0" t="s">
        <v>4947</v>
      </c>
      <c r="D99" s="0" t="s">
        <v>4964</v>
      </c>
      <c r="E99" s="0" t="s">
        <v>4965</v>
      </c>
      <c r="F99" s="0" t="s">
        <v>4740</v>
      </c>
      <c r="G99" s="0" t="s">
        <v>4966</v>
      </c>
    </row>
    <row customHeight="1" ht="11.25">
      <c r="A100" s="0" t="s">
        <v>14</v>
      </c>
      <c r="B100" s="0" t="s">
        <v>4946</v>
      </c>
      <c r="C100" s="0" t="s">
        <v>4947</v>
      </c>
      <c r="D100" s="0" t="s">
        <v>4967</v>
      </c>
      <c r="E100" s="0" t="s">
        <v>4968</v>
      </c>
      <c r="F100" s="0" t="s">
        <v>4740</v>
      </c>
      <c r="G100" s="0" t="s">
        <v>4969</v>
      </c>
    </row>
    <row customHeight="1" ht="11.25">
      <c r="A101" s="0" t="s">
        <v>14</v>
      </c>
      <c r="B101" s="0" t="s">
        <v>4946</v>
      </c>
      <c r="C101" s="0" t="s">
        <v>4947</v>
      </c>
      <c r="D101" s="0" t="s">
        <v>4970</v>
      </c>
      <c r="E101" s="0" t="s">
        <v>4971</v>
      </c>
      <c r="F101" s="0" t="s">
        <v>4740</v>
      </c>
      <c r="G101" s="0" t="s">
        <v>4972</v>
      </c>
    </row>
    <row customHeight="1" ht="11.25">
      <c r="A102" s="0" t="s">
        <v>14</v>
      </c>
      <c r="B102" s="0" t="s">
        <v>4946</v>
      </c>
      <c r="C102" s="0" t="s">
        <v>4947</v>
      </c>
      <c r="D102" s="0" t="s">
        <v>4973</v>
      </c>
      <c r="E102" s="0" t="s">
        <v>4974</v>
      </c>
      <c r="F102" s="0" t="s">
        <v>4740</v>
      </c>
      <c r="G102" s="0" t="s">
        <v>4975</v>
      </c>
    </row>
    <row customHeight="1" ht="11.25">
      <c r="A103" s="0" t="s">
        <v>14</v>
      </c>
      <c r="B103" s="0" t="s">
        <v>4946</v>
      </c>
      <c r="C103" s="0" t="s">
        <v>4947</v>
      </c>
      <c r="D103" s="0" t="s">
        <v>4976</v>
      </c>
      <c r="E103" s="0" t="s">
        <v>4977</v>
      </c>
      <c r="F103" s="0" t="s">
        <v>4740</v>
      </c>
      <c r="G103" s="0" t="s">
        <v>4978</v>
      </c>
    </row>
    <row customHeight="1" ht="11.25">
      <c r="A104" s="0" t="s">
        <v>14</v>
      </c>
      <c r="B104" s="0" t="s">
        <v>4946</v>
      </c>
      <c r="C104" s="0" t="s">
        <v>4947</v>
      </c>
      <c r="D104" s="0" t="s">
        <v>4979</v>
      </c>
      <c r="E104" s="0" t="s">
        <v>4980</v>
      </c>
      <c r="F104" s="0" t="s">
        <v>4740</v>
      </c>
      <c r="G104" s="0" t="s">
        <v>4981</v>
      </c>
    </row>
    <row customHeight="1" ht="11.25">
      <c r="A105" s="0" t="s">
        <v>14</v>
      </c>
      <c r="B105" s="0" t="s">
        <v>108</v>
      </c>
      <c r="C105" s="0" t="s">
        <v>4982</v>
      </c>
      <c r="D105" s="0" t="s">
        <v>4983</v>
      </c>
      <c r="E105" s="0" t="s">
        <v>4984</v>
      </c>
      <c r="F105" s="0" t="s">
        <v>4740</v>
      </c>
      <c r="G105" s="0" t="s">
        <v>4985</v>
      </c>
    </row>
    <row customHeight="1" ht="11.25">
      <c r="A106" s="0" t="s">
        <v>14</v>
      </c>
      <c r="B106" s="0" t="s">
        <v>108</v>
      </c>
      <c r="C106" s="0" t="s">
        <v>4982</v>
      </c>
      <c r="D106" s="0" t="s">
        <v>108</v>
      </c>
      <c r="E106" s="0" t="s">
        <v>4982</v>
      </c>
      <c r="F106" s="0" t="s">
        <v>4731</v>
      </c>
      <c r="G106" s="0" t="s">
        <v>4986</v>
      </c>
    </row>
    <row customHeight="1" ht="11.25">
      <c r="A107" s="0" t="s">
        <v>14</v>
      </c>
      <c r="B107" s="0" t="s">
        <v>108</v>
      </c>
      <c r="C107" s="0" t="s">
        <v>4982</v>
      </c>
      <c r="D107" s="0" t="s">
        <v>4987</v>
      </c>
      <c r="E107" s="0" t="s">
        <v>4988</v>
      </c>
      <c r="F107" s="0" t="s">
        <v>4740</v>
      </c>
      <c r="G107" s="0" t="s">
        <v>4989</v>
      </c>
    </row>
    <row customHeight="1" ht="11.25">
      <c r="A108" s="0" t="s">
        <v>14</v>
      </c>
      <c r="B108" s="0" t="s">
        <v>108</v>
      </c>
      <c r="C108" s="0" t="s">
        <v>4982</v>
      </c>
      <c r="D108" s="0" t="s">
        <v>4990</v>
      </c>
      <c r="E108" s="0" t="s">
        <v>4991</v>
      </c>
      <c r="F108" s="0" t="s">
        <v>4740</v>
      </c>
      <c r="G108" s="0" t="s">
        <v>4992</v>
      </c>
    </row>
    <row customHeight="1" ht="11.25">
      <c r="A109" s="0" t="s">
        <v>14</v>
      </c>
      <c r="B109" s="0" t="s">
        <v>108</v>
      </c>
      <c r="C109" s="0" t="s">
        <v>4982</v>
      </c>
      <c r="D109" s="0" t="s">
        <v>109</v>
      </c>
      <c r="E109" s="0" t="s">
        <v>110</v>
      </c>
      <c r="F109" s="0" t="s">
        <v>4734</v>
      </c>
      <c r="G109" s="0" t="s">
        <v>107</v>
      </c>
    </row>
    <row customHeight="1" ht="11.25">
      <c r="A110" s="0" t="s">
        <v>14</v>
      </c>
      <c r="B110" s="0" t="s">
        <v>108</v>
      </c>
      <c r="C110" s="0" t="s">
        <v>4982</v>
      </c>
      <c r="D110" s="0" t="s">
        <v>4993</v>
      </c>
      <c r="E110" s="0" t="s">
        <v>4994</v>
      </c>
      <c r="F110" s="0" t="s">
        <v>4740</v>
      </c>
      <c r="G110" s="0" t="s">
        <v>4995</v>
      </c>
    </row>
    <row customHeight="1" ht="11.25">
      <c r="A111" s="0" t="s">
        <v>14</v>
      </c>
      <c r="B111" s="0" t="s">
        <v>108</v>
      </c>
      <c r="C111" s="0" t="s">
        <v>4982</v>
      </c>
      <c r="D111" s="0" t="s">
        <v>4996</v>
      </c>
      <c r="E111" s="0" t="s">
        <v>4997</v>
      </c>
      <c r="F111" s="0" t="s">
        <v>4740</v>
      </c>
      <c r="G111" s="0" t="s">
        <v>4998</v>
      </c>
    </row>
    <row customHeight="1" ht="11.25">
      <c r="A112" s="0" t="s">
        <v>14</v>
      </c>
      <c r="B112" s="0" t="s">
        <v>108</v>
      </c>
      <c r="C112" s="0" t="s">
        <v>4982</v>
      </c>
      <c r="D112" s="0" t="s">
        <v>4999</v>
      </c>
      <c r="E112" s="0" t="s">
        <v>5000</v>
      </c>
      <c r="F112" s="0" t="s">
        <v>4740</v>
      </c>
      <c r="G112" s="0" t="s">
        <v>5001</v>
      </c>
    </row>
    <row customHeight="1" ht="11.25">
      <c r="A113" s="0" t="s">
        <v>14</v>
      </c>
      <c r="B113" s="0" t="s">
        <v>108</v>
      </c>
      <c r="C113" s="0" t="s">
        <v>4982</v>
      </c>
      <c r="D113" s="0" t="s">
        <v>5002</v>
      </c>
      <c r="E113" s="0" t="s">
        <v>5003</v>
      </c>
      <c r="F113" s="0" t="s">
        <v>4740</v>
      </c>
      <c r="G113" s="0" t="s">
        <v>5004</v>
      </c>
    </row>
    <row customHeight="1" ht="11.25">
      <c r="A114" s="0" t="s">
        <v>14</v>
      </c>
      <c r="B114" s="0" t="s">
        <v>108</v>
      </c>
      <c r="C114" s="0" t="s">
        <v>4982</v>
      </c>
      <c r="D114" s="0" t="s">
        <v>5005</v>
      </c>
      <c r="E114" s="0" t="s">
        <v>5006</v>
      </c>
      <c r="F114" s="0" t="s">
        <v>4740</v>
      </c>
      <c r="G114" s="0" t="s">
        <v>5007</v>
      </c>
    </row>
    <row customHeight="1" ht="11.25">
      <c r="A115" s="0" t="s">
        <v>14</v>
      </c>
      <c r="B115" s="0" t="s">
        <v>5008</v>
      </c>
      <c r="C115" s="0" t="s">
        <v>5009</v>
      </c>
      <c r="D115" s="0" t="s">
        <v>5010</v>
      </c>
      <c r="E115" s="0" t="s">
        <v>5011</v>
      </c>
      <c r="F115" s="0" t="s">
        <v>4740</v>
      </c>
      <c r="G115" s="0" t="s">
        <v>5012</v>
      </c>
    </row>
    <row customHeight="1" ht="11.25">
      <c r="A116" s="0" t="s">
        <v>14</v>
      </c>
      <c r="B116" s="0" t="s">
        <v>5008</v>
      </c>
      <c r="C116" s="0" t="s">
        <v>5009</v>
      </c>
      <c r="D116" s="0" t="s">
        <v>5013</v>
      </c>
      <c r="E116" s="0" t="s">
        <v>5014</v>
      </c>
      <c r="F116" s="0" t="s">
        <v>4740</v>
      </c>
      <c r="G116" s="0" t="s">
        <v>5015</v>
      </c>
    </row>
    <row customHeight="1" ht="11.25">
      <c r="A117" s="0" t="s">
        <v>14</v>
      </c>
      <c r="B117" s="0" t="s">
        <v>5008</v>
      </c>
      <c r="C117" s="0" t="s">
        <v>5009</v>
      </c>
      <c r="D117" s="0" t="s">
        <v>5016</v>
      </c>
      <c r="E117" s="0" t="s">
        <v>5017</v>
      </c>
      <c r="F117" s="0" t="s">
        <v>4740</v>
      </c>
      <c r="G117" s="0" t="s">
        <v>5018</v>
      </c>
    </row>
    <row customHeight="1" ht="11.25">
      <c r="A118" s="0" t="s">
        <v>14</v>
      </c>
      <c r="B118" s="0" t="s">
        <v>5008</v>
      </c>
      <c r="C118" s="0" t="s">
        <v>5009</v>
      </c>
      <c r="D118" s="0" t="s">
        <v>5019</v>
      </c>
      <c r="E118" s="0" t="s">
        <v>5020</v>
      </c>
      <c r="F118" s="0" t="s">
        <v>4740</v>
      </c>
      <c r="G118" s="0" t="s">
        <v>5021</v>
      </c>
    </row>
    <row customHeight="1" ht="11.25">
      <c r="A119" s="0" t="s">
        <v>14</v>
      </c>
      <c r="B119" s="0" t="s">
        <v>5008</v>
      </c>
      <c r="C119" s="0" t="s">
        <v>5009</v>
      </c>
      <c r="D119" s="0" t="s">
        <v>5008</v>
      </c>
      <c r="E119" s="0" t="s">
        <v>5009</v>
      </c>
      <c r="F119" s="0" t="s">
        <v>4731</v>
      </c>
      <c r="G119" s="0" t="s">
        <v>5022</v>
      </c>
    </row>
    <row customHeight="1" ht="11.25">
      <c r="A120" s="0" t="s">
        <v>14</v>
      </c>
      <c r="B120" s="0" t="s">
        <v>5008</v>
      </c>
      <c r="C120" s="0" t="s">
        <v>5009</v>
      </c>
      <c r="D120" s="0" t="s">
        <v>5023</v>
      </c>
      <c r="E120" s="0" t="s">
        <v>5024</v>
      </c>
      <c r="F120" s="0" t="s">
        <v>4740</v>
      </c>
      <c r="G120" s="0" t="s">
        <v>5025</v>
      </c>
    </row>
    <row customHeight="1" ht="11.25">
      <c r="A121" s="0" t="s">
        <v>14</v>
      </c>
      <c r="B121" s="0" t="s">
        <v>5008</v>
      </c>
      <c r="C121" s="0" t="s">
        <v>5009</v>
      </c>
      <c r="D121" s="0" t="s">
        <v>5026</v>
      </c>
      <c r="E121" s="0" t="s">
        <v>5027</v>
      </c>
      <c r="F121" s="0" t="s">
        <v>4740</v>
      </c>
      <c r="G121" s="0" t="s">
        <v>5028</v>
      </c>
    </row>
    <row customHeight="1" ht="11.25">
      <c r="A122" s="0" t="s">
        <v>14</v>
      </c>
      <c r="B122" s="0" t="s">
        <v>5008</v>
      </c>
      <c r="C122" s="0" t="s">
        <v>5009</v>
      </c>
      <c r="D122" s="0" t="s">
        <v>5029</v>
      </c>
      <c r="E122" s="0" t="s">
        <v>5030</v>
      </c>
      <c r="F122" s="0" t="s">
        <v>4740</v>
      </c>
      <c r="G122" s="0" t="s">
        <v>5031</v>
      </c>
    </row>
    <row customHeight="1" ht="11.25">
      <c r="A123" s="0" t="s">
        <v>14</v>
      </c>
      <c r="B123" s="0" t="s">
        <v>5008</v>
      </c>
      <c r="C123" s="0" t="s">
        <v>5009</v>
      </c>
      <c r="D123" s="0" t="s">
        <v>5032</v>
      </c>
      <c r="E123" s="0" t="s">
        <v>5033</v>
      </c>
      <c r="F123" s="0" t="s">
        <v>4740</v>
      </c>
      <c r="G123" s="0" t="s">
        <v>5034</v>
      </c>
    </row>
    <row customHeight="1" ht="11.25">
      <c r="A124" s="0" t="s">
        <v>14</v>
      </c>
      <c r="B124" s="0" t="s">
        <v>5035</v>
      </c>
      <c r="C124" s="0" t="s">
        <v>5036</v>
      </c>
      <c r="D124" s="0" t="s">
        <v>5037</v>
      </c>
      <c r="E124" s="0" t="s">
        <v>5038</v>
      </c>
      <c r="F124" s="0" t="s">
        <v>4740</v>
      </c>
      <c r="G124" s="0" t="s">
        <v>5039</v>
      </c>
    </row>
    <row customHeight="1" ht="11.25">
      <c r="A125" s="0" t="s">
        <v>14</v>
      </c>
      <c r="B125" s="0" t="s">
        <v>5035</v>
      </c>
      <c r="C125" s="0" t="s">
        <v>5036</v>
      </c>
      <c r="D125" s="0" t="s">
        <v>5035</v>
      </c>
      <c r="E125" s="0" t="s">
        <v>5036</v>
      </c>
      <c r="F125" s="0" t="s">
        <v>4731</v>
      </c>
      <c r="G125" s="0" t="s">
        <v>5040</v>
      </c>
    </row>
    <row customHeight="1" ht="11.25">
      <c r="A126" s="0" t="s">
        <v>14</v>
      </c>
      <c r="B126" s="0" t="s">
        <v>5035</v>
      </c>
      <c r="C126" s="0" t="s">
        <v>5036</v>
      </c>
      <c r="D126" s="0" t="s">
        <v>5041</v>
      </c>
      <c r="E126" s="0" t="s">
        <v>5042</v>
      </c>
      <c r="F126" s="0" t="s">
        <v>4740</v>
      </c>
      <c r="G126" s="0" t="s">
        <v>5043</v>
      </c>
    </row>
    <row customHeight="1" ht="11.25">
      <c r="A127" s="0" t="s">
        <v>14</v>
      </c>
      <c r="B127" s="0" t="s">
        <v>5035</v>
      </c>
      <c r="C127" s="0" t="s">
        <v>5036</v>
      </c>
      <c r="D127" s="0" t="s">
        <v>5044</v>
      </c>
      <c r="E127" s="0" t="s">
        <v>5045</v>
      </c>
      <c r="F127" s="0" t="s">
        <v>4740</v>
      </c>
      <c r="G127" s="0" t="s">
        <v>5046</v>
      </c>
    </row>
    <row customHeight="1" ht="11.25">
      <c r="A128" s="0" t="s">
        <v>14</v>
      </c>
      <c r="B128" s="0" t="s">
        <v>5035</v>
      </c>
      <c r="C128" s="0" t="s">
        <v>5036</v>
      </c>
      <c r="D128" s="0" t="s">
        <v>5047</v>
      </c>
      <c r="E128" s="0" t="s">
        <v>5048</v>
      </c>
      <c r="F128" s="0" t="s">
        <v>4740</v>
      </c>
      <c r="G128" s="0" t="s">
        <v>5049</v>
      </c>
    </row>
    <row customHeight="1" ht="11.25">
      <c r="A129" s="0" t="s">
        <v>14</v>
      </c>
      <c r="B129" s="0" t="s">
        <v>5035</v>
      </c>
      <c r="C129" s="0" t="s">
        <v>5036</v>
      </c>
      <c r="D129" s="0" t="s">
        <v>5050</v>
      </c>
      <c r="E129" s="0" t="s">
        <v>5051</v>
      </c>
      <c r="F129" s="0" t="s">
        <v>4740</v>
      </c>
      <c r="G129" s="0" t="s">
        <v>5052</v>
      </c>
    </row>
    <row customHeight="1" ht="11.25">
      <c r="A130" s="0" t="s">
        <v>14</v>
      </c>
      <c r="B130" s="0" t="s">
        <v>5035</v>
      </c>
      <c r="C130" s="0" t="s">
        <v>5036</v>
      </c>
      <c r="D130" s="0" t="s">
        <v>5053</v>
      </c>
      <c r="E130" s="0" t="s">
        <v>5054</v>
      </c>
      <c r="F130" s="0" t="s">
        <v>4740</v>
      </c>
      <c r="G130" s="0" t="s">
        <v>5055</v>
      </c>
    </row>
    <row customHeight="1" ht="11.25">
      <c r="A131" s="0" t="s">
        <v>14</v>
      </c>
      <c r="B131" s="0" t="s">
        <v>5035</v>
      </c>
      <c r="C131" s="0" t="s">
        <v>5036</v>
      </c>
      <c r="D131" s="0" t="s">
        <v>5056</v>
      </c>
      <c r="E131" s="0" t="s">
        <v>5057</v>
      </c>
      <c r="F131" s="0" t="s">
        <v>4740</v>
      </c>
      <c r="G131" s="0" t="s">
        <v>5058</v>
      </c>
    </row>
    <row customHeight="1" ht="11.25">
      <c r="A132" s="0" t="s">
        <v>14</v>
      </c>
      <c r="B132" s="0" t="s">
        <v>5035</v>
      </c>
      <c r="C132" s="0" t="s">
        <v>5036</v>
      </c>
      <c r="D132" s="0" t="s">
        <v>5059</v>
      </c>
      <c r="E132" s="0" t="s">
        <v>5060</v>
      </c>
      <c r="F132" s="0" t="s">
        <v>4740</v>
      </c>
      <c r="G132" s="0" t="s">
        <v>5061</v>
      </c>
    </row>
    <row customHeight="1" ht="11.25">
      <c r="A133" s="0" t="s">
        <v>14</v>
      </c>
      <c r="B133" s="0" t="s">
        <v>5035</v>
      </c>
      <c r="C133" s="0" t="s">
        <v>5036</v>
      </c>
      <c r="D133" s="0" t="s">
        <v>5062</v>
      </c>
      <c r="E133" s="0" t="s">
        <v>5063</v>
      </c>
      <c r="F133" s="0" t="s">
        <v>4740</v>
      </c>
      <c r="G133" s="0" t="s">
        <v>5064</v>
      </c>
    </row>
    <row customHeight="1" ht="11.25">
      <c r="A134" s="0" t="s">
        <v>14</v>
      </c>
      <c r="B134" s="0" t="s">
        <v>5065</v>
      </c>
      <c r="C134" s="0" t="s">
        <v>5066</v>
      </c>
      <c r="D134" s="0" t="s">
        <v>5067</v>
      </c>
      <c r="E134" s="0" t="s">
        <v>5068</v>
      </c>
      <c r="F134" s="0" t="s">
        <v>4740</v>
      </c>
      <c r="G134" s="0" t="s">
        <v>5069</v>
      </c>
    </row>
    <row customHeight="1" ht="11.25">
      <c r="A135" s="0" t="s">
        <v>14</v>
      </c>
      <c r="B135" s="0" t="s">
        <v>5065</v>
      </c>
      <c r="C135" s="0" t="s">
        <v>5066</v>
      </c>
      <c r="D135" s="0" t="s">
        <v>5070</v>
      </c>
      <c r="E135" s="0" t="s">
        <v>5071</v>
      </c>
      <c r="F135" s="0" t="s">
        <v>4740</v>
      </c>
      <c r="G135" s="0" t="s">
        <v>5072</v>
      </c>
    </row>
    <row customHeight="1" ht="11.25">
      <c r="A136" s="0" t="s">
        <v>14</v>
      </c>
      <c r="B136" s="0" t="s">
        <v>5065</v>
      </c>
      <c r="C136" s="0" t="s">
        <v>5066</v>
      </c>
      <c r="D136" s="0" t="s">
        <v>5073</v>
      </c>
      <c r="E136" s="0" t="s">
        <v>5074</v>
      </c>
      <c r="F136" s="0" t="s">
        <v>4740</v>
      </c>
      <c r="G136" s="0" t="s">
        <v>5075</v>
      </c>
    </row>
    <row customHeight="1" ht="11.25">
      <c r="A137" s="0" t="s">
        <v>14</v>
      </c>
      <c r="B137" s="0" t="s">
        <v>5065</v>
      </c>
      <c r="C137" s="0" t="s">
        <v>5066</v>
      </c>
      <c r="D137" s="0" t="s">
        <v>5076</v>
      </c>
      <c r="E137" s="0" t="s">
        <v>5077</v>
      </c>
      <c r="F137" s="0" t="s">
        <v>4740</v>
      </c>
      <c r="G137" s="0" t="s">
        <v>5078</v>
      </c>
    </row>
    <row customHeight="1" ht="11.25">
      <c r="A138" s="0" t="s">
        <v>14</v>
      </c>
      <c r="B138" s="0" t="s">
        <v>5065</v>
      </c>
      <c r="C138" s="0" t="s">
        <v>5066</v>
      </c>
      <c r="D138" s="0" t="s">
        <v>5065</v>
      </c>
      <c r="E138" s="0" t="s">
        <v>5066</v>
      </c>
      <c r="F138" s="0" t="s">
        <v>4731</v>
      </c>
      <c r="G138" s="0" t="s">
        <v>5079</v>
      </c>
    </row>
    <row customHeight="1" ht="11.25">
      <c r="A139" s="0" t="s">
        <v>14</v>
      </c>
      <c r="B139" s="0" t="s">
        <v>5065</v>
      </c>
      <c r="C139" s="0" t="s">
        <v>5066</v>
      </c>
      <c r="D139" s="0" t="s">
        <v>5080</v>
      </c>
      <c r="E139" s="0" t="s">
        <v>5081</v>
      </c>
      <c r="F139" s="0" t="s">
        <v>4734</v>
      </c>
      <c r="G139" s="0" t="s">
        <v>5082</v>
      </c>
    </row>
    <row customHeight="1" ht="11.25">
      <c r="A140" s="0" t="s">
        <v>14</v>
      </c>
      <c r="B140" s="0" t="s">
        <v>5065</v>
      </c>
      <c r="C140" s="0" t="s">
        <v>5066</v>
      </c>
      <c r="D140" s="0" t="s">
        <v>5083</v>
      </c>
      <c r="E140" s="0" t="s">
        <v>5084</v>
      </c>
      <c r="F140" s="0" t="s">
        <v>4740</v>
      </c>
      <c r="G140" s="0" t="s">
        <v>5085</v>
      </c>
    </row>
    <row customHeight="1" ht="11.25">
      <c r="A141" s="0" t="s">
        <v>14</v>
      </c>
      <c r="B141" s="0" t="s">
        <v>5065</v>
      </c>
      <c r="C141" s="0" t="s">
        <v>5066</v>
      </c>
      <c r="D141" s="0" t="s">
        <v>5086</v>
      </c>
      <c r="E141" s="0" t="s">
        <v>5087</v>
      </c>
      <c r="F141" s="0" t="s">
        <v>4740</v>
      </c>
      <c r="G141" s="0" t="s">
        <v>5088</v>
      </c>
    </row>
    <row customHeight="1" ht="11.25">
      <c r="A142" s="0" t="s">
        <v>14</v>
      </c>
      <c r="B142" s="0" t="s">
        <v>5065</v>
      </c>
      <c r="C142" s="0" t="s">
        <v>5066</v>
      </c>
      <c r="D142" s="0" t="s">
        <v>5089</v>
      </c>
      <c r="E142" s="0" t="s">
        <v>5090</v>
      </c>
      <c r="F142" s="0" t="s">
        <v>4740</v>
      </c>
      <c r="G142" s="0" t="s">
        <v>5091</v>
      </c>
    </row>
    <row customHeight="1" ht="11.25">
      <c r="A143" s="0" t="s">
        <v>14</v>
      </c>
      <c r="B143" s="0" t="s">
        <v>5065</v>
      </c>
      <c r="C143" s="0" t="s">
        <v>5066</v>
      </c>
      <c r="D143" s="0" t="s">
        <v>5092</v>
      </c>
      <c r="E143" s="0" t="s">
        <v>5093</v>
      </c>
      <c r="F143" s="0" t="s">
        <v>4740</v>
      </c>
      <c r="G143" s="0" t="s">
        <v>5094</v>
      </c>
    </row>
    <row customHeight="1" ht="11.25">
      <c r="A144" s="0" t="s">
        <v>14</v>
      </c>
      <c r="B144" s="0" t="s">
        <v>5065</v>
      </c>
      <c r="C144" s="0" t="s">
        <v>5066</v>
      </c>
      <c r="D144" s="0" t="s">
        <v>5095</v>
      </c>
      <c r="E144" s="0" t="s">
        <v>5096</v>
      </c>
      <c r="F144" s="0" t="s">
        <v>4740</v>
      </c>
      <c r="G144" s="0" t="s">
        <v>5097</v>
      </c>
    </row>
    <row customHeight="1" ht="11.25">
      <c r="A145" s="0" t="s">
        <v>14</v>
      </c>
      <c r="B145" s="0" t="s">
        <v>5098</v>
      </c>
      <c r="C145" s="0" t="s">
        <v>5099</v>
      </c>
      <c r="D145" s="0" t="s">
        <v>5100</v>
      </c>
      <c r="E145" s="0" t="s">
        <v>5101</v>
      </c>
      <c r="F145" s="0" t="s">
        <v>4740</v>
      </c>
      <c r="G145" s="0" t="s">
        <v>5102</v>
      </c>
    </row>
    <row customHeight="1" ht="11.25">
      <c r="A146" s="0" t="s">
        <v>14</v>
      </c>
      <c r="B146" s="0" t="s">
        <v>5098</v>
      </c>
      <c r="C146" s="0" t="s">
        <v>5099</v>
      </c>
      <c r="D146" s="0" t="s">
        <v>5098</v>
      </c>
      <c r="E146" s="0" t="s">
        <v>5099</v>
      </c>
      <c r="F146" s="0" t="s">
        <v>4731</v>
      </c>
      <c r="G146" s="0" t="s">
        <v>5103</v>
      </c>
    </row>
    <row customHeight="1" ht="11.25">
      <c r="A147" s="0" t="s">
        <v>14</v>
      </c>
      <c r="B147" s="0" t="s">
        <v>5098</v>
      </c>
      <c r="C147" s="0" t="s">
        <v>5099</v>
      </c>
      <c r="D147" s="0" t="s">
        <v>5104</v>
      </c>
      <c r="E147" s="0" t="s">
        <v>5105</v>
      </c>
      <c r="F147" s="0" t="s">
        <v>4740</v>
      </c>
      <c r="G147" s="0" t="s">
        <v>5106</v>
      </c>
    </row>
    <row customHeight="1" ht="11.25">
      <c r="A148" s="0" t="s">
        <v>14</v>
      </c>
      <c r="B148" s="0" t="s">
        <v>5098</v>
      </c>
      <c r="C148" s="0" t="s">
        <v>5099</v>
      </c>
      <c r="D148" s="0" t="s">
        <v>5107</v>
      </c>
      <c r="E148" s="0" t="s">
        <v>5108</v>
      </c>
      <c r="F148" s="0" t="s">
        <v>4740</v>
      </c>
      <c r="G148" s="0" t="s">
        <v>5109</v>
      </c>
    </row>
    <row customHeight="1" ht="11.25">
      <c r="A149" s="0" t="s">
        <v>14</v>
      </c>
      <c r="B149" s="0" t="s">
        <v>5098</v>
      </c>
      <c r="C149" s="0" t="s">
        <v>5099</v>
      </c>
      <c r="D149" s="0" t="s">
        <v>5110</v>
      </c>
      <c r="E149" s="0" t="s">
        <v>5111</v>
      </c>
      <c r="F149" s="0" t="s">
        <v>4740</v>
      </c>
      <c r="G149" s="0" t="s">
        <v>5112</v>
      </c>
    </row>
    <row customHeight="1" ht="11.25">
      <c r="A150" s="0" t="s">
        <v>14</v>
      </c>
      <c r="B150" s="0" t="s">
        <v>5098</v>
      </c>
      <c r="C150" s="0" t="s">
        <v>5099</v>
      </c>
      <c r="D150" s="0" t="s">
        <v>5113</v>
      </c>
      <c r="E150" s="0" t="s">
        <v>5114</v>
      </c>
      <c r="F150" s="0" t="s">
        <v>4740</v>
      </c>
      <c r="G150" s="0" t="s">
        <v>5115</v>
      </c>
    </row>
    <row customHeight="1" ht="11.25">
      <c r="A151" s="0" t="s">
        <v>14</v>
      </c>
      <c r="B151" s="0" t="s">
        <v>5098</v>
      </c>
      <c r="C151" s="0" t="s">
        <v>5099</v>
      </c>
      <c r="D151" s="0" t="s">
        <v>5116</v>
      </c>
      <c r="E151" s="0" t="s">
        <v>5117</v>
      </c>
      <c r="F151" s="0" t="s">
        <v>4740</v>
      </c>
      <c r="G151" s="0" t="s">
        <v>5118</v>
      </c>
    </row>
    <row customHeight="1" ht="11.25">
      <c r="A152" s="0" t="s">
        <v>14</v>
      </c>
      <c r="B152" s="0" t="s">
        <v>5098</v>
      </c>
      <c r="C152" s="0" t="s">
        <v>5099</v>
      </c>
      <c r="D152" s="0" t="s">
        <v>5119</v>
      </c>
      <c r="E152" s="0" t="s">
        <v>5120</v>
      </c>
      <c r="F152" s="0" t="s">
        <v>4740</v>
      </c>
      <c r="G152" s="0" t="s">
        <v>5121</v>
      </c>
    </row>
    <row customHeight="1" ht="11.25">
      <c r="A153" s="0" t="s">
        <v>14</v>
      </c>
      <c r="B153" s="0" t="s">
        <v>5098</v>
      </c>
      <c r="C153" s="0" t="s">
        <v>5099</v>
      </c>
      <c r="D153" s="0" t="s">
        <v>5122</v>
      </c>
      <c r="E153" s="0" t="s">
        <v>5123</v>
      </c>
      <c r="F153" s="0" t="s">
        <v>4740</v>
      </c>
      <c r="G153" s="0" t="s">
        <v>5124</v>
      </c>
    </row>
    <row customHeight="1" ht="11.25">
      <c r="A154" s="0" t="s">
        <v>14</v>
      </c>
      <c r="B154" s="0" t="s">
        <v>5098</v>
      </c>
      <c r="C154" s="0" t="s">
        <v>5099</v>
      </c>
      <c r="D154" s="0" t="s">
        <v>5125</v>
      </c>
      <c r="E154" s="0" t="s">
        <v>5126</v>
      </c>
      <c r="F154" s="0" t="s">
        <v>4740</v>
      </c>
      <c r="G154" s="0" t="s">
        <v>5127</v>
      </c>
    </row>
    <row customHeight="1" ht="11.25">
      <c r="A155" s="0" t="s">
        <v>14</v>
      </c>
      <c r="B155" s="0" t="s">
        <v>5098</v>
      </c>
      <c r="C155" s="0" t="s">
        <v>5099</v>
      </c>
      <c r="D155" s="0" t="s">
        <v>5128</v>
      </c>
      <c r="E155" s="0" t="s">
        <v>5129</v>
      </c>
      <c r="F155" s="0" t="s">
        <v>4740</v>
      </c>
      <c r="G155" s="0" t="s">
        <v>5130</v>
      </c>
    </row>
    <row customHeight="1" ht="11.25">
      <c r="A156" s="0" t="s">
        <v>14</v>
      </c>
      <c r="B156" s="0" t="s">
        <v>5131</v>
      </c>
      <c r="C156" s="0" t="s">
        <v>5132</v>
      </c>
      <c r="D156" s="0" t="s">
        <v>5131</v>
      </c>
      <c r="E156" s="0" t="s">
        <v>5132</v>
      </c>
      <c r="F156" s="0" t="s">
        <v>4731</v>
      </c>
      <c r="G156" s="0" t="s">
        <v>5133</v>
      </c>
    </row>
    <row customHeight="1" ht="11.25">
      <c r="A157" s="0" t="s">
        <v>14</v>
      </c>
      <c r="B157" s="0" t="s">
        <v>5131</v>
      </c>
      <c r="C157" s="0" t="s">
        <v>5132</v>
      </c>
      <c r="D157" s="0" t="s">
        <v>5134</v>
      </c>
      <c r="E157" s="0" t="s">
        <v>5135</v>
      </c>
      <c r="F157" s="0" t="s">
        <v>4740</v>
      </c>
      <c r="G157" s="0" t="s">
        <v>5136</v>
      </c>
    </row>
    <row customHeight="1" ht="11.25">
      <c r="A158" s="0" t="s">
        <v>14</v>
      </c>
      <c r="B158" s="0" t="s">
        <v>5131</v>
      </c>
      <c r="C158" s="0" t="s">
        <v>5132</v>
      </c>
      <c r="D158" s="0" t="s">
        <v>5137</v>
      </c>
      <c r="E158" s="0" t="s">
        <v>5138</v>
      </c>
      <c r="F158" s="0" t="s">
        <v>4740</v>
      </c>
      <c r="G158" s="0" t="s">
        <v>5139</v>
      </c>
    </row>
    <row customHeight="1" ht="11.25">
      <c r="A159" s="0" t="s">
        <v>14</v>
      </c>
      <c r="B159" s="0" t="s">
        <v>5131</v>
      </c>
      <c r="C159" s="0" t="s">
        <v>5132</v>
      </c>
      <c r="D159" s="0" t="s">
        <v>5140</v>
      </c>
      <c r="E159" s="0" t="s">
        <v>5141</v>
      </c>
      <c r="F159" s="0" t="s">
        <v>4740</v>
      </c>
      <c r="G159" s="0" t="s">
        <v>5142</v>
      </c>
    </row>
    <row customHeight="1" ht="11.25">
      <c r="A160" s="0" t="s">
        <v>14</v>
      </c>
      <c r="B160" s="0" t="s">
        <v>5131</v>
      </c>
      <c r="C160" s="0" t="s">
        <v>5132</v>
      </c>
      <c r="D160" s="0" t="s">
        <v>5143</v>
      </c>
      <c r="E160" s="0" t="s">
        <v>5144</v>
      </c>
      <c r="F160" s="0" t="s">
        <v>4740</v>
      </c>
      <c r="G160" s="0" t="s">
        <v>5145</v>
      </c>
    </row>
    <row customHeight="1" ht="11.25">
      <c r="A161" s="0" t="s">
        <v>14</v>
      </c>
      <c r="B161" s="0" t="s">
        <v>5131</v>
      </c>
      <c r="C161" s="0" t="s">
        <v>5132</v>
      </c>
      <c r="D161" s="0" t="s">
        <v>5110</v>
      </c>
      <c r="E161" s="0" t="s">
        <v>5146</v>
      </c>
      <c r="F161" s="0" t="s">
        <v>4740</v>
      </c>
      <c r="G161" s="0" t="s">
        <v>5147</v>
      </c>
    </row>
    <row customHeight="1" ht="11.25">
      <c r="A162" s="0" t="s">
        <v>14</v>
      </c>
      <c r="B162" s="0" t="s">
        <v>5131</v>
      </c>
      <c r="C162" s="0" t="s">
        <v>5132</v>
      </c>
      <c r="D162" s="0" t="s">
        <v>5148</v>
      </c>
      <c r="E162" s="0" t="s">
        <v>5149</v>
      </c>
      <c r="F162" s="0" t="s">
        <v>4740</v>
      </c>
      <c r="G162" s="0" t="s">
        <v>5150</v>
      </c>
    </row>
    <row customHeight="1" ht="11.25">
      <c r="A163" s="0" t="s">
        <v>14</v>
      </c>
      <c r="B163" s="0" t="s">
        <v>5151</v>
      </c>
      <c r="C163" s="0" t="s">
        <v>5152</v>
      </c>
      <c r="D163" s="0" t="s">
        <v>5153</v>
      </c>
      <c r="E163" s="0" t="s">
        <v>5154</v>
      </c>
      <c r="F163" s="0" t="s">
        <v>4740</v>
      </c>
      <c r="G163" s="0" t="s">
        <v>5155</v>
      </c>
    </row>
    <row customHeight="1" ht="11.25">
      <c r="A164" s="0" t="s">
        <v>14</v>
      </c>
      <c r="B164" s="0" t="s">
        <v>5151</v>
      </c>
      <c r="C164" s="0" t="s">
        <v>5152</v>
      </c>
      <c r="D164" s="0" t="s">
        <v>5156</v>
      </c>
      <c r="E164" s="0" t="s">
        <v>5157</v>
      </c>
      <c r="F164" s="0" t="s">
        <v>4740</v>
      </c>
      <c r="G164" s="0" t="s">
        <v>5158</v>
      </c>
    </row>
    <row customHeight="1" ht="11.25">
      <c r="A165" s="0" t="s">
        <v>14</v>
      </c>
      <c r="B165" s="0" t="s">
        <v>5151</v>
      </c>
      <c r="C165" s="0" t="s">
        <v>5152</v>
      </c>
      <c r="D165" s="0" t="s">
        <v>5159</v>
      </c>
      <c r="E165" s="0" t="s">
        <v>5160</v>
      </c>
      <c r="F165" s="0" t="s">
        <v>4740</v>
      </c>
      <c r="G165" s="0" t="s">
        <v>5161</v>
      </c>
    </row>
    <row customHeight="1" ht="11.25">
      <c r="A166" s="0" t="s">
        <v>14</v>
      </c>
      <c r="B166" s="0" t="s">
        <v>5151</v>
      </c>
      <c r="C166" s="0" t="s">
        <v>5152</v>
      </c>
      <c r="D166" s="0" t="s">
        <v>5162</v>
      </c>
      <c r="E166" s="0" t="s">
        <v>5163</v>
      </c>
      <c r="F166" s="0" t="s">
        <v>4740</v>
      </c>
      <c r="G166" s="0" t="s">
        <v>5164</v>
      </c>
    </row>
    <row customHeight="1" ht="11.25">
      <c r="A167" s="0" t="s">
        <v>14</v>
      </c>
      <c r="B167" s="0" t="s">
        <v>5151</v>
      </c>
      <c r="C167" s="0" t="s">
        <v>5152</v>
      </c>
      <c r="D167" s="0" t="s">
        <v>5151</v>
      </c>
      <c r="E167" s="0" t="s">
        <v>5152</v>
      </c>
      <c r="F167" s="0" t="s">
        <v>4731</v>
      </c>
      <c r="G167" s="0" t="s">
        <v>5165</v>
      </c>
    </row>
    <row customHeight="1" ht="11.25">
      <c r="A168" s="0" t="s">
        <v>14</v>
      </c>
      <c r="B168" s="0" t="s">
        <v>5151</v>
      </c>
      <c r="C168" s="0" t="s">
        <v>5152</v>
      </c>
      <c r="D168" s="0" t="s">
        <v>5166</v>
      </c>
      <c r="E168" s="0" t="s">
        <v>5167</v>
      </c>
      <c r="F168" s="0" t="s">
        <v>4734</v>
      </c>
      <c r="G168" s="0" t="s">
        <v>5168</v>
      </c>
    </row>
    <row customHeight="1" ht="11.25">
      <c r="A169" s="0" t="s">
        <v>14</v>
      </c>
      <c r="B169" s="0" t="s">
        <v>5151</v>
      </c>
      <c r="C169" s="0" t="s">
        <v>5152</v>
      </c>
      <c r="D169" s="0" t="s">
        <v>5169</v>
      </c>
      <c r="E169" s="0" t="s">
        <v>5170</v>
      </c>
      <c r="F169" s="0" t="s">
        <v>4740</v>
      </c>
      <c r="G169" s="0" t="s">
        <v>5171</v>
      </c>
    </row>
    <row customHeight="1" ht="11.25">
      <c r="A170" s="0" t="s">
        <v>14</v>
      </c>
      <c r="B170" s="0" t="s">
        <v>5151</v>
      </c>
      <c r="C170" s="0" t="s">
        <v>5152</v>
      </c>
      <c r="D170" s="0" t="s">
        <v>5172</v>
      </c>
      <c r="E170" s="0" t="s">
        <v>5173</v>
      </c>
      <c r="F170" s="0" t="s">
        <v>4740</v>
      </c>
      <c r="G170" s="0" t="s">
        <v>5174</v>
      </c>
    </row>
    <row customHeight="1" ht="11.25">
      <c r="A171" s="0" t="s">
        <v>14</v>
      </c>
      <c r="B171" s="0" t="s">
        <v>5151</v>
      </c>
      <c r="C171" s="0" t="s">
        <v>5152</v>
      </c>
      <c r="D171" s="0" t="s">
        <v>5175</v>
      </c>
      <c r="E171" s="0" t="s">
        <v>5176</v>
      </c>
      <c r="F171" s="0" t="s">
        <v>4740</v>
      </c>
      <c r="G171" s="0" t="s">
        <v>5177</v>
      </c>
    </row>
    <row customHeight="1" ht="11.25">
      <c r="A172" s="0" t="s">
        <v>14</v>
      </c>
      <c r="B172" s="0" t="s">
        <v>5151</v>
      </c>
      <c r="C172" s="0" t="s">
        <v>5152</v>
      </c>
      <c r="D172" s="0" t="s">
        <v>5178</v>
      </c>
      <c r="E172" s="0" t="s">
        <v>5179</v>
      </c>
      <c r="F172" s="0" t="s">
        <v>4740</v>
      </c>
      <c r="G172" s="0" t="s">
        <v>5180</v>
      </c>
    </row>
    <row customHeight="1" ht="11.25">
      <c r="A173" s="0" t="s">
        <v>14</v>
      </c>
      <c r="B173" s="0" t="s">
        <v>5151</v>
      </c>
      <c r="C173" s="0" t="s">
        <v>5152</v>
      </c>
      <c r="D173" s="0" t="s">
        <v>5181</v>
      </c>
      <c r="E173" s="0" t="s">
        <v>5182</v>
      </c>
      <c r="F173" s="0" t="s">
        <v>4740</v>
      </c>
      <c r="G173" s="0" t="s">
        <v>5183</v>
      </c>
    </row>
    <row customHeight="1" ht="11.25">
      <c r="A174" s="0" t="s">
        <v>14</v>
      </c>
      <c r="B174" s="0" t="s">
        <v>5151</v>
      </c>
      <c r="C174" s="0" t="s">
        <v>5152</v>
      </c>
      <c r="D174" s="0" t="s">
        <v>5184</v>
      </c>
      <c r="E174" s="0" t="s">
        <v>5185</v>
      </c>
      <c r="F174" s="0" t="s">
        <v>4740</v>
      </c>
      <c r="G174" s="0" t="s">
        <v>5186</v>
      </c>
    </row>
    <row customHeight="1" ht="11.25">
      <c r="A175" s="0" t="s">
        <v>14</v>
      </c>
      <c r="B175" s="0" t="s">
        <v>5187</v>
      </c>
      <c r="C175" s="0" t="s">
        <v>5188</v>
      </c>
      <c r="D175" s="0" t="s">
        <v>5189</v>
      </c>
      <c r="E175" s="0" t="s">
        <v>5190</v>
      </c>
      <c r="F175" s="0" t="s">
        <v>4740</v>
      </c>
      <c r="G175" s="0" t="s">
        <v>5191</v>
      </c>
    </row>
    <row customHeight="1" ht="11.25">
      <c r="A176" s="0" t="s">
        <v>14</v>
      </c>
      <c r="B176" s="0" t="s">
        <v>5187</v>
      </c>
      <c r="C176" s="0" t="s">
        <v>5188</v>
      </c>
      <c r="D176" s="0" t="s">
        <v>5192</v>
      </c>
      <c r="E176" s="0" t="s">
        <v>5193</v>
      </c>
      <c r="F176" s="0" t="s">
        <v>4740</v>
      </c>
      <c r="G176" s="0" t="s">
        <v>5194</v>
      </c>
    </row>
    <row customHeight="1" ht="11.25">
      <c r="A177" s="0" t="s">
        <v>14</v>
      </c>
      <c r="B177" s="0" t="s">
        <v>5187</v>
      </c>
      <c r="C177" s="0" t="s">
        <v>5188</v>
      </c>
      <c r="D177" s="0" t="s">
        <v>5195</v>
      </c>
      <c r="E177" s="0" t="s">
        <v>5196</v>
      </c>
      <c r="F177" s="0" t="s">
        <v>4740</v>
      </c>
      <c r="G177" s="0" t="s">
        <v>5197</v>
      </c>
    </row>
    <row customHeight="1" ht="11.25">
      <c r="A178" s="0" t="s">
        <v>14</v>
      </c>
      <c r="B178" s="0" t="s">
        <v>5187</v>
      </c>
      <c r="C178" s="0" t="s">
        <v>5188</v>
      </c>
      <c r="D178" s="0" t="s">
        <v>5187</v>
      </c>
      <c r="E178" s="0" t="s">
        <v>5188</v>
      </c>
      <c r="F178" s="0" t="s">
        <v>4731</v>
      </c>
      <c r="G178" s="0" t="s">
        <v>5198</v>
      </c>
    </row>
    <row customHeight="1" ht="11.25">
      <c r="A179" s="0" t="s">
        <v>14</v>
      </c>
      <c r="B179" s="0" t="s">
        <v>5187</v>
      </c>
      <c r="C179" s="0" t="s">
        <v>5188</v>
      </c>
      <c r="D179" s="0" t="s">
        <v>5199</v>
      </c>
      <c r="E179" s="0" t="s">
        <v>5200</v>
      </c>
      <c r="F179" s="0" t="s">
        <v>4734</v>
      </c>
      <c r="G179" s="0" t="s">
        <v>5201</v>
      </c>
    </row>
    <row customHeight="1" ht="11.25">
      <c r="A180" s="0" t="s">
        <v>14</v>
      </c>
      <c r="B180" s="0" t="s">
        <v>5187</v>
      </c>
      <c r="C180" s="0" t="s">
        <v>5188</v>
      </c>
      <c r="D180" s="0" t="s">
        <v>5202</v>
      </c>
      <c r="E180" s="0" t="s">
        <v>5203</v>
      </c>
      <c r="F180" s="0" t="s">
        <v>4740</v>
      </c>
      <c r="G180" s="0" t="s">
        <v>5204</v>
      </c>
    </row>
    <row customHeight="1" ht="11.25">
      <c r="A181" s="0" t="s">
        <v>14</v>
      </c>
      <c r="B181" s="0" t="s">
        <v>5187</v>
      </c>
      <c r="C181" s="0" t="s">
        <v>5188</v>
      </c>
      <c r="D181" s="0" t="s">
        <v>5205</v>
      </c>
      <c r="E181" s="0" t="s">
        <v>5206</v>
      </c>
      <c r="F181" s="0" t="s">
        <v>4740</v>
      </c>
      <c r="G181" s="0" t="s">
        <v>5207</v>
      </c>
    </row>
    <row customHeight="1" ht="11.25">
      <c r="A182" s="0" t="s">
        <v>14</v>
      </c>
      <c r="B182" s="0" t="s">
        <v>5187</v>
      </c>
      <c r="C182" s="0" t="s">
        <v>5188</v>
      </c>
      <c r="D182" s="0" t="s">
        <v>5110</v>
      </c>
      <c r="E182" s="0" t="s">
        <v>5208</v>
      </c>
      <c r="F182" s="0" t="s">
        <v>4740</v>
      </c>
      <c r="G182" s="0" t="s">
        <v>5209</v>
      </c>
    </row>
    <row customHeight="1" ht="11.25">
      <c r="A183" s="0" t="s">
        <v>14</v>
      </c>
      <c r="B183" s="0" t="s">
        <v>5187</v>
      </c>
      <c r="C183" s="0" t="s">
        <v>5188</v>
      </c>
      <c r="D183" s="0" t="s">
        <v>5210</v>
      </c>
      <c r="E183" s="0" t="s">
        <v>5211</v>
      </c>
      <c r="F183" s="0" t="s">
        <v>4740</v>
      </c>
      <c r="G183" s="0" t="s">
        <v>5212</v>
      </c>
    </row>
    <row customHeight="1" ht="11.25">
      <c r="A184" s="0" t="s">
        <v>14</v>
      </c>
      <c r="B184" s="0" t="s">
        <v>5187</v>
      </c>
      <c r="C184" s="0" t="s">
        <v>5188</v>
      </c>
      <c r="D184" s="0" t="s">
        <v>4801</v>
      </c>
      <c r="E184" s="0" t="s">
        <v>5213</v>
      </c>
      <c r="F184" s="0" t="s">
        <v>4740</v>
      </c>
      <c r="G184" s="0" t="s">
        <v>5214</v>
      </c>
    </row>
    <row customHeight="1" ht="11.25">
      <c r="A185" s="0" t="s">
        <v>14</v>
      </c>
      <c r="B185" s="0" t="s">
        <v>5187</v>
      </c>
      <c r="C185" s="0" t="s">
        <v>5188</v>
      </c>
      <c r="D185" s="0" t="s">
        <v>5215</v>
      </c>
      <c r="E185" s="0" t="s">
        <v>5216</v>
      </c>
      <c r="F185" s="0" t="s">
        <v>4740</v>
      </c>
      <c r="G185" s="0" t="s">
        <v>5217</v>
      </c>
    </row>
    <row customHeight="1" ht="11.25">
      <c r="A186" s="0" t="s">
        <v>14</v>
      </c>
      <c r="B186" s="0" t="s">
        <v>5218</v>
      </c>
      <c r="C186" s="0" t="s">
        <v>5219</v>
      </c>
      <c r="D186" s="0" t="s">
        <v>5220</v>
      </c>
      <c r="E186" s="0" t="s">
        <v>5221</v>
      </c>
      <c r="F186" s="0" t="s">
        <v>4740</v>
      </c>
      <c r="G186" s="0" t="s">
        <v>5222</v>
      </c>
    </row>
    <row customHeight="1" ht="11.25">
      <c r="A187" s="0" t="s">
        <v>14</v>
      </c>
      <c r="B187" s="0" t="s">
        <v>5218</v>
      </c>
      <c r="C187" s="0" t="s">
        <v>5219</v>
      </c>
      <c r="D187" s="0" t="s">
        <v>5223</v>
      </c>
      <c r="E187" s="0" t="s">
        <v>5224</v>
      </c>
      <c r="F187" s="0" t="s">
        <v>4740</v>
      </c>
      <c r="G187" s="0" t="s">
        <v>5225</v>
      </c>
    </row>
    <row customHeight="1" ht="11.25">
      <c r="A188" s="0" t="s">
        <v>14</v>
      </c>
      <c r="B188" s="0" t="s">
        <v>5218</v>
      </c>
      <c r="C188" s="0" t="s">
        <v>5219</v>
      </c>
      <c r="D188" s="0" t="s">
        <v>5226</v>
      </c>
      <c r="E188" s="0" t="s">
        <v>5227</v>
      </c>
      <c r="F188" s="0" t="s">
        <v>4740</v>
      </c>
      <c r="G188" s="0" t="s">
        <v>5228</v>
      </c>
    </row>
    <row customHeight="1" ht="11.25">
      <c r="A189" s="0" t="s">
        <v>14</v>
      </c>
      <c r="B189" s="0" t="s">
        <v>5218</v>
      </c>
      <c r="C189" s="0" t="s">
        <v>5219</v>
      </c>
      <c r="D189" s="0" t="s">
        <v>5229</v>
      </c>
      <c r="E189" s="0" t="s">
        <v>5230</v>
      </c>
      <c r="F189" s="0" t="s">
        <v>4740</v>
      </c>
      <c r="G189" s="0" t="s">
        <v>5231</v>
      </c>
    </row>
    <row customHeight="1" ht="11.25">
      <c r="A190" s="0" t="s">
        <v>14</v>
      </c>
      <c r="B190" s="0" t="s">
        <v>5218</v>
      </c>
      <c r="C190" s="0" t="s">
        <v>5219</v>
      </c>
      <c r="D190" s="0" t="s">
        <v>4922</v>
      </c>
      <c r="E190" s="0" t="s">
        <v>5232</v>
      </c>
      <c r="F190" s="0" t="s">
        <v>4740</v>
      </c>
      <c r="G190" s="0" t="s">
        <v>5233</v>
      </c>
    </row>
    <row customHeight="1" ht="11.25">
      <c r="A191" s="0" t="s">
        <v>14</v>
      </c>
      <c r="B191" s="0" t="s">
        <v>5218</v>
      </c>
      <c r="C191" s="0" t="s">
        <v>5219</v>
      </c>
      <c r="D191" s="0" t="s">
        <v>5218</v>
      </c>
      <c r="E191" s="0" t="s">
        <v>5219</v>
      </c>
      <c r="F191" s="0" t="s">
        <v>4731</v>
      </c>
      <c r="G191" s="0" t="s">
        <v>5234</v>
      </c>
    </row>
    <row customHeight="1" ht="11.25">
      <c r="A192" s="0" t="s">
        <v>14</v>
      </c>
      <c r="B192" s="0" t="s">
        <v>5218</v>
      </c>
      <c r="C192" s="0" t="s">
        <v>5219</v>
      </c>
      <c r="D192" s="0" t="s">
        <v>5235</v>
      </c>
      <c r="E192" s="0" t="s">
        <v>5236</v>
      </c>
      <c r="F192" s="0" t="s">
        <v>4740</v>
      </c>
      <c r="G192" s="0" t="s">
        <v>5237</v>
      </c>
    </row>
    <row customHeight="1" ht="11.25">
      <c r="A193" s="0" t="s">
        <v>14</v>
      </c>
      <c r="B193" s="0" t="s">
        <v>5218</v>
      </c>
      <c r="C193" s="0" t="s">
        <v>5219</v>
      </c>
      <c r="D193" s="0" t="s">
        <v>5238</v>
      </c>
      <c r="E193" s="0" t="s">
        <v>5239</v>
      </c>
      <c r="F193" s="0" t="s">
        <v>4740</v>
      </c>
      <c r="G193" s="0" t="s">
        <v>5240</v>
      </c>
    </row>
    <row customHeight="1" ht="11.25">
      <c r="A194" s="0" t="s">
        <v>14</v>
      </c>
      <c r="B194" s="0" t="s">
        <v>5218</v>
      </c>
      <c r="C194" s="0" t="s">
        <v>5219</v>
      </c>
      <c r="D194" s="0" t="s">
        <v>4797</v>
      </c>
      <c r="E194" s="0" t="s">
        <v>5241</v>
      </c>
      <c r="F194" s="0" t="s">
        <v>4740</v>
      </c>
      <c r="G194" s="0" t="s">
        <v>5242</v>
      </c>
    </row>
    <row customHeight="1" ht="11.25">
      <c r="A195" s="0" t="s">
        <v>14</v>
      </c>
      <c r="B195" s="0" t="s">
        <v>5218</v>
      </c>
      <c r="C195" s="0" t="s">
        <v>5219</v>
      </c>
      <c r="D195" s="0" t="s">
        <v>5243</v>
      </c>
      <c r="E195" s="0" t="s">
        <v>5244</v>
      </c>
      <c r="F195" s="0" t="s">
        <v>4740</v>
      </c>
      <c r="G195" s="0" t="s">
        <v>5245</v>
      </c>
    </row>
    <row customHeight="1" ht="11.25">
      <c r="A196" s="0" t="s">
        <v>14</v>
      </c>
      <c r="B196" s="0" t="s">
        <v>5218</v>
      </c>
      <c r="C196" s="0" t="s">
        <v>5219</v>
      </c>
      <c r="D196" s="0" t="s">
        <v>5092</v>
      </c>
      <c r="E196" s="0" t="s">
        <v>5246</v>
      </c>
      <c r="F196" s="0" t="s">
        <v>4740</v>
      </c>
      <c r="G196" s="0" t="s">
        <v>5247</v>
      </c>
    </row>
    <row customHeight="1" ht="11.25">
      <c r="A197" s="0" t="s">
        <v>14</v>
      </c>
      <c r="B197" s="0" t="s">
        <v>5218</v>
      </c>
      <c r="C197" s="0" t="s">
        <v>5219</v>
      </c>
      <c r="D197" s="0" t="s">
        <v>5248</v>
      </c>
      <c r="E197" s="0" t="s">
        <v>5249</v>
      </c>
      <c r="F197" s="0" t="s">
        <v>4740</v>
      </c>
      <c r="G197" s="0" t="s">
        <v>5250</v>
      </c>
    </row>
    <row customHeight="1" ht="11.25">
      <c r="A198" s="0" t="s">
        <v>14</v>
      </c>
      <c r="B198" s="0" t="s">
        <v>5218</v>
      </c>
      <c r="C198" s="0" t="s">
        <v>5219</v>
      </c>
      <c r="D198" s="0" t="s">
        <v>5251</v>
      </c>
      <c r="E198" s="0" t="s">
        <v>5252</v>
      </c>
      <c r="F198" s="0" t="s">
        <v>4740</v>
      </c>
      <c r="G198" s="0" t="s">
        <v>5253</v>
      </c>
    </row>
    <row customHeight="1" ht="11.25">
      <c r="A199" s="0" t="s">
        <v>14</v>
      </c>
      <c r="B199" s="0" t="s">
        <v>5254</v>
      </c>
      <c r="C199" s="0" t="s">
        <v>5255</v>
      </c>
      <c r="D199" s="0" t="s">
        <v>5256</v>
      </c>
      <c r="E199" s="0" t="s">
        <v>5257</v>
      </c>
      <c r="F199" s="0" t="s">
        <v>4740</v>
      </c>
      <c r="G199" s="0" t="s">
        <v>5258</v>
      </c>
    </row>
    <row customHeight="1" ht="11.25">
      <c r="A200" s="0" t="s">
        <v>14</v>
      </c>
      <c r="B200" s="0" t="s">
        <v>5254</v>
      </c>
      <c r="C200" s="0" t="s">
        <v>5255</v>
      </c>
      <c r="D200" s="0" t="s">
        <v>5259</v>
      </c>
      <c r="E200" s="0" t="s">
        <v>5260</v>
      </c>
      <c r="F200" s="0" t="s">
        <v>4740</v>
      </c>
      <c r="G200" s="0" t="s">
        <v>5261</v>
      </c>
    </row>
    <row customHeight="1" ht="11.25">
      <c r="A201" s="0" t="s">
        <v>14</v>
      </c>
      <c r="B201" s="0" t="s">
        <v>5254</v>
      </c>
      <c r="C201" s="0" t="s">
        <v>5255</v>
      </c>
      <c r="D201" s="0" t="s">
        <v>5262</v>
      </c>
      <c r="E201" s="0" t="s">
        <v>5263</v>
      </c>
      <c r="F201" s="0" t="s">
        <v>4740</v>
      </c>
      <c r="G201" s="0" t="s">
        <v>5264</v>
      </c>
    </row>
    <row customHeight="1" ht="11.25">
      <c r="A202" s="0" t="s">
        <v>14</v>
      </c>
      <c r="B202" s="0" t="s">
        <v>5254</v>
      </c>
      <c r="C202" s="0" t="s">
        <v>5255</v>
      </c>
      <c r="D202" s="0" t="s">
        <v>5265</v>
      </c>
      <c r="E202" s="0" t="s">
        <v>5266</v>
      </c>
      <c r="F202" s="0" t="s">
        <v>4740</v>
      </c>
      <c r="G202" s="0" t="s">
        <v>5267</v>
      </c>
    </row>
    <row customHeight="1" ht="11.25">
      <c r="A203" s="0" t="s">
        <v>14</v>
      </c>
      <c r="B203" s="0" t="s">
        <v>5254</v>
      </c>
      <c r="C203" s="0" t="s">
        <v>5255</v>
      </c>
      <c r="D203" s="0" t="s">
        <v>5268</v>
      </c>
      <c r="E203" s="0" t="s">
        <v>5269</v>
      </c>
      <c r="F203" s="0" t="s">
        <v>4740</v>
      </c>
      <c r="G203" s="0" t="s">
        <v>5270</v>
      </c>
    </row>
    <row customHeight="1" ht="11.25">
      <c r="A204" s="0" t="s">
        <v>14</v>
      </c>
      <c r="B204" s="0" t="s">
        <v>5254</v>
      </c>
      <c r="C204" s="0" t="s">
        <v>5255</v>
      </c>
      <c r="D204" s="0" t="s">
        <v>5254</v>
      </c>
      <c r="E204" s="0" t="s">
        <v>5255</v>
      </c>
      <c r="F204" s="0" t="s">
        <v>4731</v>
      </c>
      <c r="G204" s="0" t="s">
        <v>5271</v>
      </c>
    </row>
    <row customHeight="1" ht="11.25">
      <c r="A205" s="0" t="s">
        <v>14</v>
      </c>
      <c r="B205" s="0" t="s">
        <v>5254</v>
      </c>
      <c r="C205" s="0" t="s">
        <v>5255</v>
      </c>
      <c r="D205" s="0" t="s">
        <v>5272</v>
      </c>
      <c r="E205" s="0" t="s">
        <v>5273</v>
      </c>
      <c r="F205" s="0" t="s">
        <v>4734</v>
      </c>
      <c r="G205" s="0" t="s">
        <v>5274</v>
      </c>
    </row>
    <row customHeight="1" ht="11.25">
      <c r="A206" s="0" t="s">
        <v>14</v>
      </c>
      <c r="B206" s="0" t="s">
        <v>5254</v>
      </c>
      <c r="C206" s="0" t="s">
        <v>5255</v>
      </c>
      <c r="D206" s="0" t="s">
        <v>5275</v>
      </c>
      <c r="E206" s="0" t="s">
        <v>5276</v>
      </c>
      <c r="F206" s="0" t="s">
        <v>4740</v>
      </c>
      <c r="G206" s="0" t="s">
        <v>5277</v>
      </c>
    </row>
    <row customHeight="1" ht="11.25">
      <c r="A207" s="0" t="s">
        <v>14</v>
      </c>
      <c r="B207" s="0" t="s">
        <v>5254</v>
      </c>
      <c r="C207" s="0" t="s">
        <v>5255</v>
      </c>
      <c r="D207" s="0" t="s">
        <v>5278</v>
      </c>
      <c r="E207" s="0" t="s">
        <v>5279</v>
      </c>
      <c r="F207" s="0" t="s">
        <v>4740</v>
      </c>
      <c r="G207" s="0" t="s">
        <v>5280</v>
      </c>
    </row>
    <row customHeight="1" ht="11.25">
      <c r="A208" s="0" t="s">
        <v>14</v>
      </c>
      <c r="B208" s="0" t="s">
        <v>5254</v>
      </c>
      <c r="C208" s="0" t="s">
        <v>5255</v>
      </c>
      <c r="D208" s="0" t="s">
        <v>5281</v>
      </c>
      <c r="E208" s="0" t="s">
        <v>5282</v>
      </c>
      <c r="F208" s="0" t="s">
        <v>4740</v>
      </c>
      <c r="G208" s="0" t="s">
        <v>5283</v>
      </c>
    </row>
    <row customHeight="1" ht="11.25">
      <c r="A209" s="0" t="s">
        <v>14</v>
      </c>
      <c r="B209" s="0" t="s">
        <v>5254</v>
      </c>
      <c r="C209" s="0" t="s">
        <v>5255</v>
      </c>
      <c r="D209" s="0" t="s">
        <v>5284</v>
      </c>
      <c r="E209" s="0" t="s">
        <v>5285</v>
      </c>
      <c r="F209" s="0" t="s">
        <v>4740</v>
      </c>
      <c r="G209" s="0" t="s">
        <v>5286</v>
      </c>
    </row>
    <row customHeight="1" ht="11.25">
      <c r="A210" s="0" t="s">
        <v>14</v>
      </c>
      <c r="B210" s="0" t="s">
        <v>5254</v>
      </c>
      <c r="C210" s="0" t="s">
        <v>5255</v>
      </c>
      <c r="D210" s="0" t="s">
        <v>5287</v>
      </c>
      <c r="E210" s="0" t="s">
        <v>5288</v>
      </c>
      <c r="F210" s="0" t="s">
        <v>4740</v>
      </c>
      <c r="G210" s="0" t="s">
        <v>5289</v>
      </c>
    </row>
    <row customHeight="1" ht="11.25">
      <c r="A211" s="0" t="s">
        <v>14</v>
      </c>
      <c r="B211" s="0" t="s">
        <v>5254</v>
      </c>
      <c r="C211" s="0" t="s">
        <v>5255</v>
      </c>
      <c r="D211" s="0" t="s">
        <v>5290</v>
      </c>
      <c r="E211" s="0" t="s">
        <v>5291</v>
      </c>
      <c r="F211" s="0" t="s">
        <v>4740</v>
      </c>
      <c r="G211" s="0" t="s">
        <v>5292</v>
      </c>
    </row>
    <row customHeight="1" ht="11.25">
      <c r="A212" s="0" t="s">
        <v>14</v>
      </c>
      <c r="B212" s="0" t="s">
        <v>5254</v>
      </c>
      <c r="C212" s="0" t="s">
        <v>5255</v>
      </c>
      <c r="D212" s="0" t="s">
        <v>5293</v>
      </c>
      <c r="E212" s="0" t="s">
        <v>5294</v>
      </c>
      <c r="F212" s="0" t="s">
        <v>4740</v>
      </c>
      <c r="G212" s="0" t="s">
        <v>5295</v>
      </c>
    </row>
    <row customHeight="1" ht="11.25">
      <c r="A213" s="0" t="s">
        <v>14</v>
      </c>
      <c r="B213" s="0" t="s">
        <v>5296</v>
      </c>
      <c r="C213" s="0" t="s">
        <v>5297</v>
      </c>
      <c r="D213" s="0" t="s">
        <v>5298</v>
      </c>
      <c r="E213" s="0" t="s">
        <v>5299</v>
      </c>
      <c r="F213" s="0" t="s">
        <v>4740</v>
      </c>
      <c r="G213" s="0" t="s">
        <v>5300</v>
      </c>
    </row>
    <row customHeight="1" ht="11.25">
      <c r="A214" s="0" t="s">
        <v>14</v>
      </c>
      <c r="B214" s="0" t="s">
        <v>5296</v>
      </c>
      <c r="C214" s="0" t="s">
        <v>5297</v>
      </c>
      <c r="D214" s="0" t="s">
        <v>5301</v>
      </c>
      <c r="E214" s="0" t="s">
        <v>5302</v>
      </c>
      <c r="F214" s="0" t="s">
        <v>4740</v>
      </c>
      <c r="G214" s="0" t="s">
        <v>5303</v>
      </c>
    </row>
    <row customHeight="1" ht="11.25">
      <c r="A215" s="0" t="s">
        <v>14</v>
      </c>
      <c r="B215" s="0" t="s">
        <v>5296</v>
      </c>
      <c r="C215" s="0" t="s">
        <v>5297</v>
      </c>
      <c r="D215" s="0" t="s">
        <v>5304</v>
      </c>
      <c r="E215" s="0" t="s">
        <v>5305</v>
      </c>
      <c r="F215" s="0" t="s">
        <v>4740</v>
      </c>
      <c r="G215" s="0" t="s">
        <v>5306</v>
      </c>
    </row>
    <row customHeight="1" ht="11.25">
      <c r="A216" s="0" t="s">
        <v>14</v>
      </c>
      <c r="B216" s="0" t="s">
        <v>5296</v>
      </c>
      <c r="C216" s="0" t="s">
        <v>5297</v>
      </c>
      <c r="D216" s="0" t="s">
        <v>5307</v>
      </c>
      <c r="E216" s="0" t="s">
        <v>5308</v>
      </c>
      <c r="F216" s="0" t="s">
        <v>4740</v>
      </c>
      <c r="G216" s="0" t="s">
        <v>5309</v>
      </c>
    </row>
    <row customHeight="1" ht="11.25">
      <c r="A217" s="0" t="s">
        <v>14</v>
      </c>
      <c r="B217" s="0" t="s">
        <v>5296</v>
      </c>
      <c r="C217" s="0" t="s">
        <v>5297</v>
      </c>
      <c r="D217" s="0" t="s">
        <v>5134</v>
      </c>
      <c r="E217" s="0" t="s">
        <v>5310</v>
      </c>
      <c r="F217" s="0" t="s">
        <v>4740</v>
      </c>
      <c r="G217" s="0" t="s">
        <v>5311</v>
      </c>
    </row>
    <row customHeight="1" ht="11.25">
      <c r="A218" s="0" t="s">
        <v>14</v>
      </c>
      <c r="B218" s="0" t="s">
        <v>5296</v>
      </c>
      <c r="C218" s="0" t="s">
        <v>5297</v>
      </c>
      <c r="D218" s="0" t="s">
        <v>5312</v>
      </c>
      <c r="E218" s="0" t="s">
        <v>5313</v>
      </c>
      <c r="F218" s="0" t="s">
        <v>4740</v>
      </c>
      <c r="G218" s="0" t="s">
        <v>5314</v>
      </c>
    </row>
    <row customHeight="1" ht="11.25">
      <c r="A219" s="0" t="s">
        <v>14</v>
      </c>
      <c r="B219" s="0" t="s">
        <v>5296</v>
      </c>
      <c r="C219" s="0" t="s">
        <v>5297</v>
      </c>
      <c r="D219" s="0" t="s">
        <v>5296</v>
      </c>
      <c r="E219" s="0" t="s">
        <v>5297</v>
      </c>
      <c r="F219" s="0" t="s">
        <v>4731</v>
      </c>
      <c r="G219" s="0" t="s">
        <v>5315</v>
      </c>
    </row>
    <row customHeight="1" ht="11.25">
      <c r="A220" s="0" t="s">
        <v>14</v>
      </c>
      <c r="B220" s="0" t="s">
        <v>5296</v>
      </c>
      <c r="C220" s="0" t="s">
        <v>5297</v>
      </c>
      <c r="D220" s="0" t="s">
        <v>5316</v>
      </c>
      <c r="E220" s="0" t="s">
        <v>5317</v>
      </c>
      <c r="F220" s="0" t="s">
        <v>4740</v>
      </c>
      <c r="G220" s="0" t="s">
        <v>5318</v>
      </c>
    </row>
    <row customHeight="1" ht="11.25">
      <c r="A221" s="0" t="s">
        <v>14</v>
      </c>
      <c r="B221" s="0" t="s">
        <v>5296</v>
      </c>
      <c r="C221" s="0" t="s">
        <v>5297</v>
      </c>
      <c r="D221" s="0" t="s">
        <v>5319</v>
      </c>
      <c r="E221" s="0" t="s">
        <v>5320</v>
      </c>
      <c r="F221" s="0" t="s">
        <v>4740</v>
      </c>
      <c r="G221" s="0" t="s">
        <v>5321</v>
      </c>
    </row>
    <row customHeight="1" ht="11.25">
      <c r="A222" s="0" t="s">
        <v>14</v>
      </c>
      <c r="B222" s="0" t="s">
        <v>5296</v>
      </c>
      <c r="C222" s="0" t="s">
        <v>5297</v>
      </c>
      <c r="D222" s="0" t="s">
        <v>5322</v>
      </c>
      <c r="E222" s="0" t="s">
        <v>5323</v>
      </c>
      <c r="F222" s="0" t="s">
        <v>4740</v>
      </c>
      <c r="G222" s="0" t="s">
        <v>5324</v>
      </c>
    </row>
    <row customHeight="1" ht="11.25">
      <c r="A223" s="0" t="s">
        <v>14</v>
      </c>
      <c r="B223" s="0" t="s">
        <v>5296</v>
      </c>
      <c r="C223" s="0" t="s">
        <v>5297</v>
      </c>
      <c r="D223" s="0" t="s">
        <v>5325</v>
      </c>
      <c r="E223" s="0" t="s">
        <v>5326</v>
      </c>
      <c r="F223" s="0" t="s">
        <v>4740</v>
      </c>
      <c r="G223" s="0" t="s">
        <v>5327</v>
      </c>
    </row>
    <row customHeight="1" ht="11.25">
      <c r="A224" s="0" t="s">
        <v>14</v>
      </c>
      <c r="B224" s="0" t="s">
        <v>5296</v>
      </c>
      <c r="C224" s="0" t="s">
        <v>5297</v>
      </c>
      <c r="D224" s="0" t="s">
        <v>4797</v>
      </c>
      <c r="E224" s="0" t="s">
        <v>5328</v>
      </c>
      <c r="F224" s="0" t="s">
        <v>4740</v>
      </c>
      <c r="G224" s="0" t="s">
        <v>5329</v>
      </c>
    </row>
    <row customHeight="1" ht="11.25">
      <c r="A225" s="0" t="s">
        <v>14</v>
      </c>
      <c r="B225" s="0" t="s">
        <v>5296</v>
      </c>
      <c r="C225" s="0" t="s">
        <v>5297</v>
      </c>
      <c r="D225" s="0" t="s">
        <v>5330</v>
      </c>
      <c r="E225" s="0" t="s">
        <v>5331</v>
      </c>
      <c r="F225" s="0" t="s">
        <v>4740</v>
      </c>
      <c r="G225" s="0" t="s">
        <v>5332</v>
      </c>
    </row>
    <row customHeight="1" ht="11.25">
      <c r="A226" s="0" t="s">
        <v>14</v>
      </c>
      <c r="B226" s="0" t="s">
        <v>5333</v>
      </c>
      <c r="C226" s="0" t="s">
        <v>5334</v>
      </c>
      <c r="D226" s="0" t="s">
        <v>5335</v>
      </c>
      <c r="E226" s="0" t="s">
        <v>5336</v>
      </c>
      <c r="F226" s="0" t="s">
        <v>4740</v>
      </c>
      <c r="G226" s="0" t="s">
        <v>5337</v>
      </c>
    </row>
    <row customHeight="1" ht="11.25">
      <c r="A227" s="0" t="s">
        <v>14</v>
      </c>
      <c r="B227" s="0" t="s">
        <v>5333</v>
      </c>
      <c r="C227" s="0" t="s">
        <v>5334</v>
      </c>
      <c r="D227" s="0" t="s">
        <v>5338</v>
      </c>
      <c r="E227" s="0" t="s">
        <v>5339</v>
      </c>
      <c r="F227" s="0" t="s">
        <v>4740</v>
      </c>
      <c r="G227" s="0" t="s">
        <v>5340</v>
      </c>
    </row>
    <row customHeight="1" ht="11.25">
      <c r="A228" s="0" t="s">
        <v>14</v>
      </c>
      <c r="B228" s="0" t="s">
        <v>5333</v>
      </c>
      <c r="C228" s="0" t="s">
        <v>5334</v>
      </c>
      <c r="D228" s="0" t="s">
        <v>5341</v>
      </c>
      <c r="E228" s="0" t="s">
        <v>5342</v>
      </c>
      <c r="F228" s="0" t="s">
        <v>4740</v>
      </c>
      <c r="G228" s="0" t="s">
        <v>5343</v>
      </c>
    </row>
    <row customHeight="1" ht="11.25">
      <c r="A229" s="0" t="s">
        <v>14</v>
      </c>
      <c r="B229" s="0" t="s">
        <v>5333</v>
      </c>
      <c r="C229" s="0" t="s">
        <v>5334</v>
      </c>
      <c r="D229" s="0" t="s">
        <v>5344</v>
      </c>
      <c r="E229" s="0" t="s">
        <v>5345</v>
      </c>
      <c r="F229" s="0" t="s">
        <v>4740</v>
      </c>
      <c r="G229" s="0" t="s">
        <v>5346</v>
      </c>
    </row>
    <row customHeight="1" ht="11.25">
      <c r="A230" s="0" t="s">
        <v>14</v>
      </c>
      <c r="B230" s="0" t="s">
        <v>5333</v>
      </c>
      <c r="C230" s="0" t="s">
        <v>5334</v>
      </c>
      <c r="D230" s="0" t="s">
        <v>5347</v>
      </c>
      <c r="E230" s="0" t="s">
        <v>5348</v>
      </c>
      <c r="F230" s="0" t="s">
        <v>4740</v>
      </c>
      <c r="G230" s="0" t="s">
        <v>5349</v>
      </c>
    </row>
    <row customHeight="1" ht="11.25">
      <c r="A231" s="0" t="s">
        <v>14</v>
      </c>
      <c r="B231" s="0" t="s">
        <v>5333</v>
      </c>
      <c r="C231" s="0" t="s">
        <v>5334</v>
      </c>
      <c r="D231" s="0" t="s">
        <v>5350</v>
      </c>
      <c r="E231" s="0" t="s">
        <v>5351</v>
      </c>
      <c r="F231" s="0" t="s">
        <v>4740</v>
      </c>
      <c r="G231" s="0" t="s">
        <v>5352</v>
      </c>
    </row>
    <row customHeight="1" ht="11.25">
      <c r="A232" s="0" t="s">
        <v>14</v>
      </c>
      <c r="B232" s="0" t="s">
        <v>5333</v>
      </c>
      <c r="C232" s="0" t="s">
        <v>5334</v>
      </c>
      <c r="D232" s="0" t="s">
        <v>5353</v>
      </c>
      <c r="E232" s="0" t="s">
        <v>5354</v>
      </c>
      <c r="F232" s="0" t="s">
        <v>4740</v>
      </c>
      <c r="G232" s="0" t="s">
        <v>5355</v>
      </c>
    </row>
    <row customHeight="1" ht="11.25">
      <c r="A233" s="0" t="s">
        <v>14</v>
      </c>
      <c r="B233" s="0" t="s">
        <v>5333</v>
      </c>
      <c r="C233" s="0" t="s">
        <v>5334</v>
      </c>
      <c r="D233" s="0" t="s">
        <v>5356</v>
      </c>
      <c r="E233" s="0" t="s">
        <v>5357</v>
      </c>
      <c r="F233" s="0" t="s">
        <v>4740</v>
      </c>
      <c r="G233" s="0" t="s">
        <v>5358</v>
      </c>
    </row>
    <row customHeight="1" ht="11.25">
      <c r="A234" s="0" t="s">
        <v>14</v>
      </c>
      <c r="B234" s="0" t="s">
        <v>5333</v>
      </c>
      <c r="C234" s="0" t="s">
        <v>5334</v>
      </c>
      <c r="D234" s="0" t="s">
        <v>5333</v>
      </c>
      <c r="E234" s="0" t="s">
        <v>5334</v>
      </c>
      <c r="F234" s="0" t="s">
        <v>4731</v>
      </c>
      <c r="G234" s="0" t="s">
        <v>5359</v>
      </c>
    </row>
    <row customHeight="1" ht="11.25">
      <c r="A235" s="0" t="s">
        <v>14</v>
      </c>
      <c r="B235" s="0" t="s">
        <v>5333</v>
      </c>
      <c r="C235" s="0" t="s">
        <v>5334</v>
      </c>
      <c r="D235" s="0" t="s">
        <v>5360</v>
      </c>
      <c r="E235" s="0" t="s">
        <v>5361</v>
      </c>
      <c r="F235" s="0" t="s">
        <v>4737</v>
      </c>
      <c r="G235" s="0" t="s">
        <v>5362</v>
      </c>
    </row>
    <row customHeight="1" ht="11.25">
      <c r="A236" s="0" t="s">
        <v>14</v>
      </c>
      <c r="B236" s="0" t="s">
        <v>5333</v>
      </c>
      <c r="C236" s="0" t="s">
        <v>5334</v>
      </c>
      <c r="D236" s="0" t="s">
        <v>5363</v>
      </c>
      <c r="E236" s="0" t="s">
        <v>5364</v>
      </c>
      <c r="F236" s="0" t="s">
        <v>4740</v>
      </c>
      <c r="G236" s="0" t="s">
        <v>5365</v>
      </c>
    </row>
    <row customHeight="1" ht="11.25">
      <c r="A237" s="0" t="s">
        <v>14</v>
      </c>
      <c r="B237" s="0" t="s">
        <v>5333</v>
      </c>
      <c r="C237" s="0" t="s">
        <v>5334</v>
      </c>
      <c r="D237" s="0" t="s">
        <v>5366</v>
      </c>
      <c r="E237" s="0" t="s">
        <v>5367</v>
      </c>
      <c r="F237" s="0" t="s">
        <v>4737</v>
      </c>
      <c r="G237" s="0" t="s">
        <v>5368</v>
      </c>
    </row>
    <row customHeight="1" ht="11.25">
      <c r="A238" s="0" t="s">
        <v>14</v>
      </c>
      <c r="B238" s="0" t="s">
        <v>5333</v>
      </c>
      <c r="C238" s="0" t="s">
        <v>5334</v>
      </c>
      <c r="D238" s="0" t="s">
        <v>5369</v>
      </c>
      <c r="E238" s="0" t="s">
        <v>5370</v>
      </c>
      <c r="F238" s="0" t="s">
        <v>4740</v>
      </c>
      <c r="G238" s="0" t="s">
        <v>5371</v>
      </c>
    </row>
    <row customHeight="1" ht="11.25">
      <c r="A239" s="0" t="s">
        <v>14</v>
      </c>
      <c r="B239" s="0" t="s">
        <v>5333</v>
      </c>
      <c r="C239" s="0" t="s">
        <v>5334</v>
      </c>
      <c r="D239" s="0" t="s">
        <v>5372</v>
      </c>
      <c r="E239" s="0" t="s">
        <v>5373</v>
      </c>
      <c r="F239" s="0" t="s">
        <v>4740</v>
      </c>
      <c r="G239" s="0" t="s">
        <v>5374</v>
      </c>
    </row>
    <row customHeight="1" ht="11.25">
      <c r="A240" s="0" t="s">
        <v>14</v>
      </c>
      <c r="B240" s="0" t="s">
        <v>5333</v>
      </c>
      <c r="C240" s="0" t="s">
        <v>5334</v>
      </c>
      <c r="D240" s="0" t="s">
        <v>5375</v>
      </c>
      <c r="E240" s="0" t="s">
        <v>5376</v>
      </c>
      <c r="F240" s="0" t="s">
        <v>4740</v>
      </c>
      <c r="G240" s="0" t="s">
        <v>5377</v>
      </c>
    </row>
    <row customHeight="1" ht="11.25">
      <c r="A241" s="0" t="s">
        <v>14</v>
      </c>
      <c r="B241" s="0" t="s">
        <v>5378</v>
      </c>
      <c r="C241" s="0" t="s">
        <v>5379</v>
      </c>
      <c r="D241" s="0" t="s">
        <v>5380</v>
      </c>
      <c r="E241" s="0" t="s">
        <v>5381</v>
      </c>
      <c r="F241" s="0" t="s">
        <v>4740</v>
      </c>
      <c r="G241" s="0" t="s">
        <v>5382</v>
      </c>
    </row>
    <row customHeight="1" ht="11.25">
      <c r="A242" s="0" t="s">
        <v>14</v>
      </c>
      <c r="B242" s="0" t="s">
        <v>5378</v>
      </c>
      <c r="C242" s="0" t="s">
        <v>5379</v>
      </c>
      <c r="D242" s="0" t="s">
        <v>5383</v>
      </c>
      <c r="E242" s="0" t="s">
        <v>5384</v>
      </c>
      <c r="F242" s="0" t="s">
        <v>4740</v>
      </c>
      <c r="G242" s="0" t="s">
        <v>5385</v>
      </c>
    </row>
    <row customHeight="1" ht="11.25">
      <c r="A243" s="0" t="s">
        <v>14</v>
      </c>
      <c r="B243" s="0" t="s">
        <v>5378</v>
      </c>
      <c r="C243" s="0" t="s">
        <v>5379</v>
      </c>
      <c r="D243" s="0" t="s">
        <v>5386</v>
      </c>
      <c r="E243" s="0" t="s">
        <v>5387</v>
      </c>
      <c r="F243" s="0" t="s">
        <v>4740</v>
      </c>
      <c r="G243" s="0" t="s">
        <v>5388</v>
      </c>
    </row>
    <row customHeight="1" ht="11.25">
      <c r="A244" s="0" t="s">
        <v>14</v>
      </c>
      <c r="B244" s="0" t="s">
        <v>5378</v>
      </c>
      <c r="C244" s="0" t="s">
        <v>5379</v>
      </c>
      <c r="D244" s="0" t="s">
        <v>5389</v>
      </c>
      <c r="E244" s="0" t="s">
        <v>5390</v>
      </c>
      <c r="F244" s="0" t="s">
        <v>4740</v>
      </c>
      <c r="G244" s="0" t="s">
        <v>5391</v>
      </c>
    </row>
    <row customHeight="1" ht="11.25">
      <c r="A245" s="0" t="s">
        <v>14</v>
      </c>
      <c r="B245" s="0" t="s">
        <v>5378</v>
      </c>
      <c r="C245" s="0" t="s">
        <v>5379</v>
      </c>
      <c r="D245" s="0" t="s">
        <v>5378</v>
      </c>
      <c r="E245" s="0" t="s">
        <v>5379</v>
      </c>
      <c r="F245" s="0" t="s">
        <v>4731</v>
      </c>
      <c r="G245" s="0" t="s">
        <v>5392</v>
      </c>
    </row>
    <row customHeight="1" ht="11.25">
      <c r="A246" s="0" t="s">
        <v>14</v>
      </c>
      <c r="B246" s="0" t="s">
        <v>5378</v>
      </c>
      <c r="C246" s="0" t="s">
        <v>5379</v>
      </c>
      <c r="D246" s="0" t="s">
        <v>5393</v>
      </c>
      <c r="E246" s="0" t="s">
        <v>5394</v>
      </c>
      <c r="F246" s="0" t="s">
        <v>4734</v>
      </c>
      <c r="G246" s="0" t="s">
        <v>5395</v>
      </c>
    </row>
    <row customHeight="1" ht="11.25">
      <c r="A247" s="0" t="s">
        <v>14</v>
      </c>
      <c r="B247" s="0" t="s">
        <v>5378</v>
      </c>
      <c r="C247" s="0" t="s">
        <v>5379</v>
      </c>
      <c r="D247" s="0" t="s">
        <v>4820</v>
      </c>
      <c r="E247" s="0" t="s">
        <v>5396</v>
      </c>
      <c r="F247" s="0" t="s">
        <v>4740</v>
      </c>
      <c r="G247" s="0" t="s">
        <v>5397</v>
      </c>
    </row>
    <row customHeight="1" ht="11.25">
      <c r="A248" s="0" t="s">
        <v>14</v>
      </c>
      <c r="B248" s="0" t="s">
        <v>5378</v>
      </c>
      <c r="C248" s="0" t="s">
        <v>5379</v>
      </c>
      <c r="D248" s="0" t="s">
        <v>5398</v>
      </c>
      <c r="E248" s="0" t="s">
        <v>5399</v>
      </c>
      <c r="F248" s="0" t="s">
        <v>4740</v>
      </c>
      <c r="G248" s="0" t="s">
        <v>5400</v>
      </c>
    </row>
    <row customHeight="1" ht="11.25">
      <c r="A249" s="0" t="s">
        <v>14</v>
      </c>
      <c r="B249" s="0" t="s">
        <v>5378</v>
      </c>
      <c r="C249" s="0" t="s">
        <v>5379</v>
      </c>
      <c r="D249" s="0" t="s">
        <v>5401</v>
      </c>
      <c r="E249" s="0" t="s">
        <v>5402</v>
      </c>
      <c r="F249" s="0" t="s">
        <v>4740</v>
      </c>
      <c r="G249" s="0" t="s">
        <v>5403</v>
      </c>
    </row>
    <row customHeight="1" ht="11.25">
      <c r="A250" s="0" t="s">
        <v>14</v>
      </c>
      <c r="B250" s="0" t="s">
        <v>5378</v>
      </c>
      <c r="C250" s="0" t="s">
        <v>5379</v>
      </c>
      <c r="D250" s="0" t="s">
        <v>5404</v>
      </c>
      <c r="E250" s="0" t="s">
        <v>5405</v>
      </c>
      <c r="F250" s="0" t="s">
        <v>4740</v>
      </c>
      <c r="G250" s="0" t="s">
        <v>5406</v>
      </c>
    </row>
    <row customHeight="1" ht="11.25">
      <c r="A251" s="0" t="s">
        <v>14</v>
      </c>
      <c r="B251" s="0" t="s">
        <v>5407</v>
      </c>
      <c r="C251" s="0" t="s">
        <v>5408</v>
      </c>
      <c r="D251" s="0" t="s">
        <v>5409</v>
      </c>
      <c r="E251" s="0" t="s">
        <v>5410</v>
      </c>
      <c r="F251" s="0" t="s">
        <v>4740</v>
      </c>
      <c r="G251" s="0" t="s">
        <v>5411</v>
      </c>
    </row>
    <row customHeight="1" ht="11.25">
      <c r="A252" s="0" t="s">
        <v>14</v>
      </c>
      <c r="B252" s="0" t="s">
        <v>5407</v>
      </c>
      <c r="C252" s="0" t="s">
        <v>5408</v>
      </c>
      <c r="D252" s="0" t="s">
        <v>5223</v>
      </c>
      <c r="E252" s="0" t="s">
        <v>5412</v>
      </c>
      <c r="F252" s="0" t="s">
        <v>4740</v>
      </c>
      <c r="G252" s="0" t="s">
        <v>5413</v>
      </c>
    </row>
    <row customHeight="1" ht="11.25">
      <c r="A253" s="0" t="s">
        <v>14</v>
      </c>
      <c r="B253" s="0" t="s">
        <v>5407</v>
      </c>
      <c r="C253" s="0" t="s">
        <v>5408</v>
      </c>
      <c r="D253" s="0" t="s">
        <v>5414</v>
      </c>
      <c r="E253" s="0" t="s">
        <v>5415</v>
      </c>
      <c r="F253" s="0" t="s">
        <v>4740</v>
      </c>
      <c r="G253" s="0" t="s">
        <v>5416</v>
      </c>
    </row>
    <row customHeight="1" ht="11.25">
      <c r="A254" s="0" t="s">
        <v>14</v>
      </c>
      <c r="B254" s="0" t="s">
        <v>5407</v>
      </c>
      <c r="C254" s="0" t="s">
        <v>5408</v>
      </c>
      <c r="D254" s="0" t="s">
        <v>4757</v>
      </c>
      <c r="E254" s="0" t="s">
        <v>5417</v>
      </c>
      <c r="F254" s="0" t="s">
        <v>4740</v>
      </c>
      <c r="G254" s="0" t="s">
        <v>5418</v>
      </c>
    </row>
    <row customHeight="1" ht="11.25">
      <c r="A255" s="0" t="s">
        <v>14</v>
      </c>
      <c r="B255" s="0" t="s">
        <v>5407</v>
      </c>
      <c r="C255" s="0" t="s">
        <v>5408</v>
      </c>
      <c r="D255" s="0" t="s">
        <v>5419</v>
      </c>
      <c r="E255" s="0" t="s">
        <v>5420</v>
      </c>
      <c r="F255" s="0" t="s">
        <v>4740</v>
      </c>
      <c r="G255" s="0" t="s">
        <v>5421</v>
      </c>
    </row>
    <row customHeight="1" ht="11.25">
      <c r="A256" s="0" t="s">
        <v>14</v>
      </c>
      <c r="B256" s="0" t="s">
        <v>5407</v>
      </c>
      <c r="C256" s="0" t="s">
        <v>5408</v>
      </c>
      <c r="D256" s="0" t="s">
        <v>5422</v>
      </c>
      <c r="E256" s="0" t="s">
        <v>5423</v>
      </c>
      <c r="F256" s="0" t="s">
        <v>4740</v>
      </c>
      <c r="G256" s="0" t="s">
        <v>5424</v>
      </c>
    </row>
    <row customHeight="1" ht="11.25">
      <c r="A257" s="0" t="s">
        <v>14</v>
      </c>
      <c r="B257" s="0" t="s">
        <v>5407</v>
      </c>
      <c r="C257" s="0" t="s">
        <v>5408</v>
      </c>
      <c r="D257" s="0" t="s">
        <v>5407</v>
      </c>
      <c r="E257" s="0" t="s">
        <v>5408</v>
      </c>
      <c r="F257" s="0" t="s">
        <v>4731</v>
      </c>
      <c r="G257" s="0" t="s">
        <v>5425</v>
      </c>
    </row>
    <row customHeight="1" ht="11.25">
      <c r="A258" s="0" t="s">
        <v>14</v>
      </c>
      <c r="B258" s="0" t="s">
        <v>5407</v>
      </c>
      <c r="C258" s="0" t="s">
        <v>5408</v>
      </c>
      <c r="D258" s="0" t="s">
        <v>5426</v>
      </c>
      <c r="E258" s="0" t="s">
        <v>5427</v>
      </c>
      <c r="F258" s="0" t="s">
        <v>4740</v>
      </c>
      <c r="G258" s="0" t="s">
        <v>5428</v>
      </c>
    </row>
    <row customHeight="1" ht="11.25">
      <c r="A259" s="0" t="s">
        <v>14</v>
      </c>
      <c r="B259" s="0" t="s">
        <v>5407</v>
      </c>
      <c r="C259" s="0" t="s">
        <v>5408</v>
      </c>
      <c r="D259" s="0" t="s">
        <v>5429</v>
      </c>
      <c r="E259" s="0" t="s">
        <v>5430</v>
      </c>
      <c r="F259" s="0" t="s">
        <v>4740</v>
      </c>
      <c r="G259" s="0" t="s">
        <v>5431</v>
      </c>
    </row>
    <row customHeight="1" ht="11.25">
      <c r="A260" s="0" t="s">
        <v>14</v>
      </c>
      <c r="B260" s="0" t="s">
        <v>5432</v>
      </c>
      <c r="C260" s="0" t="s">
        <v>5433</v>
      </c>
      <c r="D260" s="0" t="s">
        <v>5434</v>
      </c>
      <c r="E260" s="0" t="s">
        <v>5435</v>
      </c>
      <c r="F260" s="0" t="s">
        <v>4740</v>
      </c>
      <c r="G260" s="0" t="s">
        <v>5436</v>
      </c>
    </row>
    <row customHeight="1" ht="11.25">
      <c r="A261" s="0" t="s">
        <v>14</v>
      </c>
      <c r="B261" s="0" t="s">
        <v>5432</v>
      </c>
      <c r="C261" s="0" t="s">
        <v>5433</v>
      </c>
      <c r="D261" s="0" t="s">
        <v>5437</v>
      </c>
      <c r="E261" s="0" t="s">
        <v>5438</v>
      </c>
      <c r="F261" s="0" t="s">
        <v>4740</v>
      </c>
      <c r="G261" s="0" t="s">
        <v>5439</v>
      </c>
    </row>
    <row customHeight="1" ht="11.25">
      <c r="A262" s="0" t="s">
        <v>14</v>
      </c>
      <c r="B262" s="0" t="s">
        <v>5432</v>
      </c>
      <c r="C262" s="0" t="s">
        <v>5433</v>
      </c>
      <c r="D262" s="0" t="s">
        <v>5041</v>
      </c>
      <c r="E262" s="0" t="s">
        <v>5440</v>
      </c>
      <c r="F262" s="0" t="s">
        <v>4740</v>
      </c>
      <c r="G262" s="0" t="s">
        <v>5441</v>
      </c>
    </row>
    <row customHeight="1" ht="11.25">
      <c r="A263" s="0" t="s">
        <v>14</v>
      </c>
      <c r="B263" s="0" t="s">
        <v>5432</v>
      </c>
      <c r="C263" s="0" t="s">
        <v>5433</v>
      </c>
      <c r="D263" s="0" t="s">
        <v>5442</v>
      </c>
      <c r="E263" s="0" t="s">
        <v>5443</v>
      </c>
      <c r="F263" s="0" t="s">
        <v>4740</v>
      </c>
      <c r="G263" s="0" t="s">
        <v>5444</v>
      </c>
    </row>
    <row customHeight="1" ht="11.25">
      <c r="A264" s="0" t="s">
        <v>14</v>
      </c>
      <c r="B264" s="0" t="s">
        <v>5432</v>
      </c>
      <c r="C264" s="0" t="s">
        <v>5433</v>
      </c>
      <c r="D264" s="0" t="s">
        <v>5445</v>
      </c>
      <c r="E264" s="0" t="s">
        <v>5446</v>
      </c>
      <c r="F264" s="0" t="s">
        <v>4740</v>
      </c>
      <c r="G264" s="0" t="s">
        <v>5447</v>
      </c>
    </row>
    <row customHeight="1" ht="11.25">
      <c r="A265" s="0" t="s">
        <v>14</v>
      </c>
      <c r="B265" s="0" t="s">
        <v>5432</v>
      </c>
      <c r="C265" s="0" t="s">
        <v>5433</v>
      </c>
      <c r="D265" s="0" t="s">
        <v>5448</v>
      </c>
      <c r="E265" s="0" t="s">
        <v>5449</v>
      </c>
      <c r="F265" s="0" t="s">
        <v>4740</v>
      </c>
      <c r="G265" s="0" t="s">
        <v>5450</v>
      </c>
    </row>
    <row customHeight="1" ht="11.25">
      <c r="A266" s="0" t="s">
        <v>14</v>
      </c>
      <c r="B266" s="0" t="s">
        <v>5432</v>
      </c>
      <c r="C266" s="0" t="s">
        <v>5433</v>
      </c>
      <c r="D266" s="0" t="s">
        <v>5432</v>
      </c>
      <c r="E266" s="0" t="s">
        <v>5433</v>
      </c>
      <c r="F266" s="0" t="s">
        <v>4731</v>
      </c>
      <c r="G266" s="0" t="s">
        <v>5451</v>
      </c>
    </row>
    <row customHeight="1" ht="11.25">
      <c r="A267" s="0" t="s">
        <v>14</v>
      </c>
      <c r="B267" s="0" t="s">
        <v>5432</v>
      </c>
      <c r="C267" s="0" t="s">
        <v>5433</v>
      </c>
      <c r="D267" s="0" t="s">
        <v>5452</v>
      </c>
      <c r="E267" s="0" t="s">
        <v>5453</v>
      </c>
      <c r="F267" s="0" t="s">
        <v>4740</v>
      </c>
      <c r="G267" s="0" t="s">
        <v>5454</v>
      </c>
    </row>
    <row customHeight="1" ht="11.25">
      <c r="A268" s="0" t="s">
        <v>14</v>
      </c>
      <c r="B268" s="0" t="s">
        <v>5432</v>
      </c>
      <c r="C268" s="0" t="s">
        <v>5433</v>
      </c>
      <c r="D268" s="0" t="s">
        <v>5455</v>
      </c>
      <c r="E268" s="0" t="s">
        <v>5456</v>
      </c>
      <c r="F268" s="0" t="s">
        <v>4740</v>
      </c>
      <c r="G268" s="0" t="s">
        <v>5457</v>
      </c>
    </row>
    <row customHeight="1" ht="11.25">
      <c r="A269" s="0" t="s">
        <v>14</v>
      </c>
      <c r="B269" s="0" t="s">
        <v>5432</v>
      </c>
      <c r="C269" s="0" t="s">
        <v>5433</v>
      </c>
      <c r="D269" s="0" t="s">
        <v>5458</v>
      </c>
      <c r="E269" s="0" t="s">
        <v>5459</v>
      </c>
      <c r="F269" s="0" t="s">
        <v>4740</v>
      </c>
      <c r="G269" s="0" t="s">
        <v>5460</v>
      </c>
    </row>
    <row customHeight="1" ht="11.25">
      <c r="A270" s="0" t="s">
        <v>14</v>
      </c>
      <c r="B270" s="0" t="s">
        <v>5432</v>
      </c>
      <c r="C270" s="0" t="s">
        <v>5433</v>
      </c>
      <c r="D270" s="0" t="s">
        <v>5461</v>
      </c>
      <c r="E270" s="0" t="s">
        <v>5462</v>
      </c>
      <c r="F270" s="0" t="s">
        <v>4740</v>
      </c>
      <c r="G270" s="0" t="s">
        <v>5463</v>
      </c>
    </row>
    <row customHeight="1" ht="11.25">
      <c r="A271" s="0" t="s">
        <v>14</v>
      </c>
      <c r="B271" s="0" t="s">
        <v>5432</v>
      </c>
      <c r="C271" s="0" t="s">
        <v>5433</v>
      </c>
      <c r="D271" s="0" t="s">
        <v>5464</v>
      </c>
      <c r="E271" s="0" t="s">
        <v>5465</v>
      </c>
      <c r="F271" s="0" t="s">
        <v>4740</v>
      </c>
      <c r="G271" s="0" t="s">
        <v>5466</v>
      </c>
    </row>
    <row customHeight="1" ht="11.25">
      <c r="A272" s="0" t="s">
        <v>14</v>
      </c>
      <c r="B272" s="0" t="s">
        <v>5432</v>
      </c>
      <c r="C272" s="0" t="s">
        <v>5433</v>
      </c>
      <c r="D272" s="0" t="s">
        <v>5467</v>
      </c>
      <c r="E272" s="0" t="s">
        <v>5468</v>
      </c>
      <c r="F272" s="0" t="s">
        <v>4740</v>
      </c>
      <c r="G272" s="0" t="s">
        <v>5469</v>
      </c>
    </row>
    <row customHeight="1" ht="11.25">
      <c r="A273" s="0" t="s">
        <v>14</v>
      </c>
      <c r="B273" s="0" t="s">
        <v>5432</v>
      </c>
      <c r="C273" s="0" t="s">
        <v>5433</v>
      </c>
      <c r="D273" s="0" t="s">
        <v>5470</v>
      </c>
      <c r="E273" s="0" t="s">
        <v>5471</v>
      </c>
      <c r="F273" s="0" t="s">
        <v>4740</v>
      </c>
      <c r="G273" s="0" t="s">
        <v>5472</v>
      </c>
    </row>
    <row customHeight="1" ht="11.25">
      <c r="A274" s="0" t="s">
        <v>14</v>
      </c>
      <c r="B274" s="0" t="s">
        <v>5432</v>
      </c>
      <c r="C274" s="0" t="s">
        <v>5433</v>
      </c>
      <c r="D274" s="0" t="s">
        <v>5473</v>
      </c>
      <c r="E274" s="0" t="s">
        <v>5474</v>
      </c>
      <c r="F274" s="0" t="s">
        <v>4740</v>
      </c>
      <c r="G274" s="0" t="s">
        <v>5475</v>
      </c>
    </row>
    <row customHeight="1" ht="11.25">
      <c r="A275" s="0" t="s">
        <v>14</v>
      </c>
      <c r="B275" s="0" t="s">
        <v>5476</v>
      </c>
      <c r="C275" s="0" t="s">
        <v>5477</v>
      </c>
      <c r="D275" s="0" t="s">
        <v>5478</v>
      </c>
      <c r="E275" s="0" t="s">
        <v>5479</v>
      </c>
      <c r="F275" s="0" t="s">
        <v>4740</v>
      </c>
      <c r="G275" s="0" t="s">
        <v>5480</v>
      </c>
    </row>
    <row customHeight="1" ht="11.25">
      <c r="A276" s="0" t="s">
        <v>14</v>
      </c>
      <c r="B276" s="0" t="s">
        <v>5476</v>
      </c>
      <c r="C276" s="0" t="s">
        <v>5477</v>
      </c>
      <c r="D276" s="0" t="s">
        <v>5481</v>
      </c>
      <c r="E276" s="0" t="s">
        <v>5482</v>
      </c>
      <c r="F276" s="0" t="s">
        <v>4740</v>
      </c>
      <c r="G276" s="0" t="s">
        <v>5483</v>
      </c>
    </row>
    <row customHeight="1" ht="11.25">
      <c r="A277" s="0" t="s">
        <v>14</v>
      </c>
      <c r="B277" s="0" t="s">
        <v>5476</v>
      </c>
      <c r="C277" s="0" t="s">
        <v>5477</v>
      </c>
      <c r="D277" s="0" t="s">
        <v>5419</v>
      </c>
      <c r="E277" s="0" t="s">
        <v>5484</v>
      </c>
      <c r="F277" s="0" t="s">
        <v>4740</v>
      </c>
      <c r="G277" s="0" t="s">
        <v>5485</v>
      </c>
    </row>
    <row customHeight="1" ht="11.25">
      <c r="A278" s="0" t="s">
        <v>14</v>
      </c>
      <c r="B278" s="0" t="s">
        <v>5476</v>
      </c>
      <c r="C278" s="0" t="s">
        <v>5477</v>
      </c>
      <c r="D278" s="0" t="s">
        <v>5486</v>
      </c>
      <c r="E278" s="0" t="s">
        <v>5487</v>
      </c>
      <c r="F278" s="0" t="s">
        <v>4740</v>
      </c>
      <c r="G278" s="0" t="s">
        <v>5488</v>
      </c>
    </row>
    <row customHeight="1" ht="11.25">
      <c r="A279" s="0" t="s">
        <v>14</v>
      </c>
      <c r="B279" s="0" t="s">
        <v>5476</v>
      </c>
      <c r="C279" s="0" t="s">
        <v>5477</v>
      </c>
      <c r="D279" s="0" t="s">
        <v>5489</v>
      </c>
      <c r="E279" s="0" t="s">
        <v>5490</v>
      </c>
      <c r="F279" s="0" t="s">
        <v>4740</v>
      </c>
      <c r="G279" s="0" t="s">
        <v>5491</v>
      </c>
    </row>
    <row customHeight="1" ht="11.25">
      <c r="A280" s="0" t="s">
        <v>14</v>
      </c>
      <c r="B280" s="0" t="s">
        <v>5476</v>
      </c>
      <c r="C280" s="0" t="s">
        <v>5477</v>
      </c>
      <c r="D280" s="0" t="s">
        <v>5492</v>
      </c>
      <c r="E280" s="0" t="s">
        <v>5493</v>
      </c>
      <c r="F280" s="0" t="s">
        <v>4740</v>
      </c>
      <c r="G280" s="0" t="s">
        <v>5494</v>
      </c>
    </row>
    <row customHeight="1" ht="11.25">
      <c r="A281" s="0" t="s">
        <v>14</v>
      </c>
      <c r="B281" s="0" t="s">
        <v>5476</v>
      </c>
      <c r="C281" s="0" t="s">
        <v>5477</v>
      </c>
      <c r="D281" s="0" t="s">
        <v>5476</v>
      </c>
      <c r="E281" s="0" t="s">
        <v>5477</v>
      </c>
      <c r="F281" s="0" t="s">
        <v>4731</v>
      </c>
      <c r="G281" s="0" t="s">
        <v>5495</v>
      </c>
    </row>
    <row customHeight="1" ht="11.25">
      <c r="A282" s="0" t="s">
        <v>14</v>
      </c>
      <c r="B282" s="0" t="s">
        <v>5476</v>
      </c>
      <c r="C282" s="0" t="s">
        <v>5477</v>
      </c>
      <c r="D282" s="0" t="s">
        <v>5496</v>
      </c>
      <c r="E282" s="0" t="s">
        <v>5497</v>
      </c>
      <c r="F282" s="0" t="s">
        <v>4740</v>
      </c>
      <c r="G282" s="0" t="s">
        <v>5498</v>
      </c>
    </row>
    <row customHeight="1" ht="11.25">
      <c r="A283" s="0" t="s">
        <v>14</v>
      </c>
      <c r="B283" s="0" t="s">
        <v>5476</v>
      </c>
      <c r="C283" s="0" t="s">
        <v>5477</v>
      </c>
      <c r="D283" s="0" t="s">
        <v>5499</v>
      </c>
      <c r="E283" s="0" t="s">
        <v>5500</v>
      </c>
      <c r="F283" s="0" t="s">
        <v>4740</v>
      </c>
      <c r="G283" s="0" t="s">
        <v>5501</v>
      </c>
    </row>
    <row customHeight="1" ht="11.25">
      <c r="A284" s="0" t="s">
        <v>14</v>
      </c>
      <c r="B284" s="0" t="s">
        <v>5476</v>
      </c>
      <c r="C284" s="0" t="s">
        <v>5477</v>
      </c>
      <c r="D284" s="0" t="s">
        <v>5502</v>
      </c>
      <c r="E284" s="0" t="s">
        <v>5503</v>
      </c>
      <c r="F284" s="0" t="s">
        <v>4740</v>
      </c>
      <c r="G284" s="0" t="s">
        <v>5504</v>
      </c>
    </row>
    <row customHeight="1" ht="11.25">
      <c r="A285" s="0" t="s">
        <v>14</v>
      </c>
      <c r="B285" s="0" t="s">
        <v>5476</v>
      </c>
      <c r="C285" s="0" t="s">
        <v>5477</v>
      </c>
      <c r="D285" s="0" t="s">
        <v>5505</v>
      </c>
      <c r="E285" s="0" t="s">
        <v>5506</v>
      </c>
      <c r="F285" s="0" t="s">
        <v>4740</v>
      </c>
      <c r="G285" s="0" t="s">
        <v>5507</v>
      </c>
    </row>
    <row customHeight="1" ht="11.25">
      <c r="A286" s="0" t="s">
        <v>14</v>
      </c>
      <c r="B286" s="0" t="s">
        <v>5476</v>
      </c>
      <c r="C286" s="0" t="s">
        <v>5477</v>
      </c>
      <c r="D286" s="0" t="s">
        <v>5287</v>
      </c>
      <c r="E286" s="0" t="s">
        <v>5508</v>
      </c>
      <c r="F286" s="0" t="s">
        <v>4740</v>
      </c>
      <c r="G286" s="0" t="s">
        <v>5509</v>
      </c>
    </row>
    <row customHeight="1" ht="11.25">
      <c r="A287" s="0" t="s">
        <v>14</v>
      </c>
      <c r="B287" s="0" t="s">
        <v>5510</v>
      </c>
      <c r="C287" s="0" t="s">
        <v>5511</v>
      </c>
      <c r="D287" s="0" t="s">
        <v>5512</v>
      </c>
      <c r="E287" s="0" t="s">
        <v>5513</v>
      </c>
      <c r="F287" s="0" t="s">
        <v>4740</v>
      </c>
      <c r="G287" s="0" t="s">
        <v>5514</v>
      </c>
    </row>
    <row customHeight="1" ht="11.25">
      <c r="A288" s="0" t="s">
        <v>14</v>
      </c>
      <c r="B288" s="0" t="s">
        <v>5510</v>
      </c>
      <c r="C288" s="0" t="s">
        <v>5511</v>
      </c>
      <c r="D288" s="0" t="s">
        <v>5515</v>
      </c>
      <c r="E288" s="0" t="s">
        <v>5516</v>
      </c>
      <c r="F288" s="0" t="s">
        <v>4740</v>
      </c>
      <c r="G288" s="0" t="s">
        <v>5517</v>
      </c>
    </row>
    <row customHeight="1" ht="11.25">
      <c r="A289" s="0" t="s">
        <v>14</v>
      </c>
      <c r="B289" s="0" t="s">
        <v>5510</v>
      </c>
      <c r="C289" s="0" t="s">
        <v>5511</v>
      </c>
      <c r="D289" s="0" t="s">
        <v>5518</v>
      </c>
      <c r="E289" s="0" t="s">
        <v>5519</v>
      </c>
      <c r="F289" s="0" t="s">
        <v>4740</v>
      </c>
      <c r="G289" s="0" t="s">
        <v>5520</v>
      </c>
    </row>
    <row customHeight="1" ht="11.25">
      <c r="A290" s="0" t="s">
        <v>14</v>
      </c>
      <c r="B290" s="0" t="s">
        <v>5510</v>
      </c>
      <c r="C290" s="0" t="s">
        <v>5511</v>
      </c>
      <c r="D290" s="0" t="s">
        <v>5426</v>
      </c>
      <c r="E290" s="0" t="s">
        <v>5521</v>
      </c>
      <c r="F290" s="0" t="s">
        <v>4740</v>
      </c>
      <c r="G290" s="0" t="s">
        <v>5522</v>
      </c>
    </row>
    <row customHeight="1" ht="11.25">
      <c r="A291" s="0" t="s">
        <v>14</v>
      </c>
      <c r="B291" s="0" t="s">
        <v>5510</v>
      </c>
      <c r="C291" s="0" t="s">
        <v>5511</v>
      </c>
      <c r="D291" s="0" t="s">
        <v>4743</v>
      </c>
      <c r="E291" s="0" t="s">
        <v>5523</v>
      </c>
      <c r="F291" s="0" t="s">
        <v>4740</v>
      </c>
      <c r="G291" s="0" t="s">
        <v>5524</v>
      </c>
    </row>
    <row customHeight="1" ht="11.25">
      <c r="A292" s="0" t="s">
        <v>14</v>
      </c>
      <c r="B292" s="0" t="s">
        <v>5510</v>
      </c>
      <c r="C292" s="0" t="s">
        <v>5511</v>
      </c>
      <c r="D292" s="0" t="s">
        <v>5525</v>
      </c>
      <c r="E292" s="0" t="s">
        <v>5526</v>
      </c>
      <c r="F292" s="0" t="s">
        <v>4740</v>
      </c>
      <c r="G292" s="0" t="s">
        <v>5527</v>
      </c>
    </row>
    <row customHeight="1" ht="11.25">
      <c r="A293" s="0" t="s">
        <v>14</v>
      </c>
      <c r="B293" s="0" t="s">
        <v>5510</v>
      </c>
      <c r="C293" s="0" t="s">
        <v>5511</v>
      </c>
      <c r="D293" s="0" t="s">
        <v>5510</v>
      </c>
      <c r="E293" s="0" t="s">
        <v>5511</v>
      </c>
      <c r="F293" s="0" t="s">
        <v>4731</v>
      </c>
      <c r="G293" s="0" t="s">
        <v>5528</v>
      </c>
    </row>
    <row customHeight="1" ht="11.25">
      <c r="A294" s="0" t="s">
        <v>14</v>
      </c>
      <c r="B294" s="0" t="s">
        <v>5510</v>
      </c>
      <c r="C294" s="0" t="s">
        <v>5511</v>
      </c>
      <c r="D294" s="0" t="s">
        <v>5529</v>
      </c>
      <c r="E294" s="0" t="s">
        <v>5530</v>
      </c>
      <c r="F294" s="0" t="s">
        <v>4734</v>
      </c>
      <c r="G294" s="0" t="s">
        <v>5531</v>
      </c>
    </row>
    <row customHeight="1" ht="11.25">
      <c r="A295" s="0" t="s">
        <v>14</v>
      </c>
      <c r="B295" s="0" t="s">
        <v>5510</v>
      </c>
      <c r="C295" s="0" t="s">
        <v>5511</v>
      </c>
      <c r="D295" s="0" t="s">
        <v>5532</v>
      </c>
      <c r="E295" s="0" t="s">
        <v>5533</v>
      </c>
      <c r="F295" s="0" t="s">
        <v>4740</v>
      </c>
      <c r="G295" s="0" t="s">
        <v>5534</v>
      </c>
    </row>
    <row customHeight="1" ht="11.25">
      <c r="A296" s="0" t="s">
        <v>14</v>
      </c>
      <c r="B296" s="0" t="s">
        <v>5510</v>
      </c>
      <c r="C296" s="0" t="s">
        <v>5511</v>
      </c>
      <c r="D296" s="0" t="s">
        <v>5535</v>
      </c>
      <c r="E296" s="0" t="s">
        <v>5536</v>
      </c>
      <c r="F296" s="0" t="s">
        <v>4740</v>
      </c>
      <c r="G296" s="0" t="s">
        <v>5537</v>
      </c>
    </row>
    <row customHeight="1" ht="11.25">
      <c r="A297" s="0" t="s">
        <v>14</v>
      </c>
      <c r="B297" s="0" t="s">
        <v>5538</v>
      </c>
      <c r="C297" s="0" t="s">
        <v>5539</v>
      </c>
      <c r="D297" s="0" t="s">
        <v>5540</v>
      </c>
      <c r="E297" s="0" t="s">
        <v>5541</v>
      </c>
      <c r="F297" s="0" t="s">
        <v>4740</v>
      </c>
      <c r="G297" s="0" t="s">
        <v>5542</v>
      </c>
    </row>
    <row customHeight="1" ht="11.25">
      <c r="A298" s="0" t="s">
        <v>14</v>
      </c>
      <c r="B298" s="0" t="s">
        <v>5538</v>
      </c>
      <c r="C298" s="0" t="s">
        <v>5539</v>
      </c>
      <c r="D298" s="0" t="s">
        <v>5543</v>
      </c>
      <c r="E298" s="0" t="s">
        <v>5544</v>
      </c>
      <c r="F298" s="0" t="s">
        <v>4737</v>
      </c>
      <c r="G298" s="0" t="s">
        <v>5545</v>
      </c>
    </row>
    <row customHeight="1" ht="11.25">
      <c r="A299" s="0" t="s">
        <v>14</v>
      </c>
      <c r="B299" s="0" t="s">
        <v>5538</v>
      </c>
      <c r="C299" s="0" t="s">
        <v>5539</v>
      </c>
      <c r="D299" s="0" t="s">
        <v>5546</v>
      </c>
      <c r="E299" s="0" t="s">
        <v>5547</v>
      </c>
      <c r="F299" s="0" t="s">
        <v>4740</v>
      </c>
      <c r="G299" s="0" t="s">
        <v>5548</v>
      </c>
    </row>
    <row customHeight="1" ht="11.25">
      <c r="A300" s="0" t="s">
        <v>14</v>
      </c>
      <c r="B300" s="0" t="s">
        <v>5538</v>
      </c>
      <c r="C300" s="0" t="s">
        <v>5539</v>
      </c>
      <c r="D300" s="0" t="s">
        <v>5549</v>
      </c>
      <c r="E300" s="0" t="s">
        <v>5550</v>
      </c>
      <c r="F300" s="0" t="s">
        <v>4737</v>
      </c>
      <c r="G300" s="0" t="s">
        <v>5551</v>
      </c>
    </row>
    <row customHeight="1" ht="11.25">
      <c r="A301" s="0" t="s">
        <v>14</v>
      </c>
      <c r="B301" s="0" t="s">
        <v>5538</v>
      </c>
      <c r="C301" s="0" t="s">
        <v>5539</v>
      </c>
      <c r="D301" s="0" t="s">
        <v>5552</v>
      </c>
      <c r="E301" s="0" t="s">
        <v>5553</v>
      </c>
      <c r="F301" s="0" t="s">
        <v>4740</v>
      </c>
      <c r="G301" s="0" t="s">
        <v>5554</v>
      </c>
    </row>
    <row customHeight="1" ht="11.25">
      <c r="A302" s="0" t="s">
        <v>14</v>
      </c>
      <c r="B302" s="0" t="s">
        <v>5538</v>
      </c>
      <c r="C302" s="0" t="s">
        <v>5539</v>
      </c>
      <c r="D302" s="0" t="s">
        <v>5555</v>
      </c>
      <c r="E302" s="0" t="s">
        <v>5556</v>
      </c>
      <c r="F302" s="0" t="s">
        <v>4740</v>
      </c>
      <c r="G302" s="0" t="s">
        <v>5557</v>
      </c>
    </row>
    <row customHeight="1" ht="11.25">
      <c r="A303" s="0" t="s">
        <v>14</v>
      </c>
      <c r="B303" s="0" t="s">
        <v>5538</v>
      </c>
      <c r="C303" s="0" t="s">
        <v>5539</v>
      </c>
      <c r="D303" s="0" t="s">
        <v>5202</v>
      </c>
      <c r="E303" s="0" t="s">
        <v>5558</v>
      </c>
      <c r="F303" s="0" t="s">
        <v>4740</v>
      </c>
      <c r="G303" s="0" t="s">
        <v>5559</v>
      </c>
    </row>
    <row customHeight="1" ht="11.25">
      <c r="A304" s="0" t="s">
        <v>14</v>
      </c>
      <c r="B304" s="0" t="s">
        <v>5538</v>
      </c>
      <c r="C304" s="0" t="s">
        <v>5539</v>
      </c>
      <c r="D304" s="0" t="s">
        <v>5560</v>
      </c>
      <c r="E304" s="0" t="s">
        <v>5561</v>
      </c>
      <c r="F304" s="0" t="s">
        <v>4740</v>
      </c>
      <c r="G304" s="0" t="s">
        <v>5562</v>
      </c>
    </row>
    <row customHeight="1" ht="11.25">
      <c r="A305" s="0" t="s">
        <v>14</v>
      </c>
      <c r="B305" s="0" t="s">
        <v>5538</v>
      </c>
      <c r="C305" s="0" t="s">
        <v>5539</v>
      </c>
      <c r="D305" s="0" t="s">
        <v>5538</v>
      </c>
      <c r="E305" s="0" t="s">
        <v>5539</v>
      </c>
      <c r="F305" s="0" t="s">
        <v>4731</v>
      </c>
      <c r="G305" s="0" t="s">
        <v>5563</v>
      </c>
    </row>
    <row customHeight="1" ht="11.25">
      <c r="A306" s="0" t="s">
        <v>14</v>
      </c>
      <c r="B306" s="0" t="s">
        <v>5538</v>
      </c>
      <c r="C306" s="0" t="s">
        <v>5539</v>
      </c>
      <c r="D306" s="0" t="s">
        <v>5564</v>
      </c>
      <c r="E306" s="0" t="s">
        <v>5565</v>
      </c>
      <c r="F306" s="0" t="s">
        <v>4740</v>
      </c>
      <c r="G306" s="0" t="s">
        <v>5566</v>
      </c>
    </row>
    <row customHeight="1" ht="11.25">
      <c r="A307" s="0" t="s">
        <v>14</v>
      </c>
      <c r="B307" s="0" t="s">
        <v>5538</v>
      </c>
      <c r="C307" s="0" t="s">
        <v>5539</v>
      </c>
      <c r="D307" s="0" t="s">
        <v>5567</v>
      </c>
      <c r="E307" s="0" t="s">
        <v>5568</v>
      </c>
      <c r="F307" s="0" t="s">
        <v>4740</v>
      </c>
      <c r="G307" s="0" t="s">
        <v>5569</v>
      </c>
    </row>
    <row customHeight="1" ht="11.25">
      <c r="A308" s="0" t="s">
        <v>14</v>
      </c>
      <c r="B308" s="0" t="s">
        <v>5538</v>
      </c>
      <c r="C308" s="0" t="s">
        <v>5539</v>
      </c>
      <c r="D308" s="0" t="s">
        <v>5570</v>
      </c>
      <c r="E308" s="0" t="s">
        <v>5571</v>
      </c>
      <c r="F308" s="0" t="s">
        <v>4737</v>
      </c>
      <c r="G308" s="0" t="s">
        <v>5572</v>
      </c>
    </row>
    <row customHeight="1" ht="11.25">
      <c r="A309" s="0" t="s">
        <v>14</v>
      </c>
      <c r="B309" s="0" t="s">
        <v>5538</v>
      </c>
      <c r="C309" s="0" t="s">
        <v>5539</v>
      </c>
      <c r="D309" s="0" t="s">
        <v>5573</v>
      </c>
      <c r="E309" s="0" t="s">
        <v>5574</v>
      </c>
      <c r="F309" s="0" t="s">
        <v>4740</v>
      </c>
      <c r="G309" s="0" t="s">
        <v>5575</v>
      </c>
    </row>
    <row customHeight="1" ht="11.25">
      <c r="A310" s="0" t="s">
        <v>14</v>
      </c>
      <c r="B310" s="0" t="s">
        <v>5576</v>
      </c>
      <c r="C310" s="0" t="s">
        <v>5577</v>
      </c>
      <c r="D310" s="0" t="s">
        <v>5576</v>
      </c>
      <c r="E310" s="0" t="s">
        <v>5577</v>
      </c>
      <c r="F310" s="0" t="s">
        <v>4852</v>
      </c>
      <c r="G310" s="0" t="s">
        <v>5578</v>
      </c>
    </row>
    <row customHeight="1" ht="11.25">
      <c r="A311" s="0" t="s">
        <v>14</v>
      </c>
      <c r="B311" s="0" t="s">
        <v>5579</v>
      </c>
      <c r="C311" s="0" t="s">
        <v>5580</v>
      </c>
      <c r="D311" s="0" t="s">
        <v>5581</v>
      </c>
      <c r="E311" s="0" t="s">
        <v>5582</v>
      </c>
      <c r="F311" s="0" t="s">
        <v>4740</v>
      </c>
      <c r="G311" s="0" t="s">
        <v>5583</v>
      </c>
    </row>
    <row customHeight="1" ht="11.25">
      <c r="A312" s="0" t="s">
        <v>14</v>
      </c>
      <c r="B312" s="0" t="s">
        <v>5579</v>
      </c>
      <c r="C312" s="0" t="s">
        <v>5580</v>
      </c>
      <c r="D312" s="0" t="s">
        <v>5584</v>
      </c>
      <c r="E312" s="0" t="s">
        <v>5585</v>
      </c>
      <c r="F312" s="0" t="s">
        <v>4740</v>
      </c>
      <c r="G312" s="0" t="s">
        <v>5586</v>
      </c>
    </row>
    <row customHeight="1" ht="11.25">
      <c r="A313" s="0" t="s">
        <v>14</v>
      </c>
      <c r="B313" s="0" t="s">
        <v>5579</v>
      </c>
      <c r="C313" s="0" t="s">
        <v>5580</v>
      </c>
      <c r="D313" s="0" t="s">
        <v>5587</v>
      </c>
      <c r="E313" s="0" t="s">
        <v>5588</v>
      </c>
      <c r="F313" s="0" t="s">
        <v>4740</v>
      </c>
      <c r="G313" s="0" t="s">
        <v>5589</v>
      </c>
    </row>
    <row customHeight="1" ht="11.25">
      <c r="A314" s="0" t="s">
        <v>14</v>
      </c>
      <c r="B314" s="0" t="s">
        <v>5579</v>
      </c>
      <c r="C314" s="0" t="s">
        <v>5580</v>
      </c>
      <c r="D314" s="0" t="s">
        <v>5590</v>
      </c>
      <c r="E314" s="0" t="s">
        <v>5591</v>
      </c>
      <c r="F314" s="0" t="s">
        <v>4740</v>
      </c>
      <c r="G314" s="0" t="s">
        <v>5592</v>
      </c>
    </row>
    <row customHeight="1" ht="11.25">
      <c r="A315" s="0" t="s">
        <v>14</v>
      </c>
      <c r="B315" s="0" t="s">
        <v>5579</v>
      </c>
      <c r="C315" s="0" t="s">
        <v>5580</v>
      </c>
      <c r="D315" s="0" t="s">
        <v>5593</v>
      </c>
      <c r="E315" s="0" t="s">
        <v>5594</v>
      </c>
      <c r="F315" s="0" t="s">
        <v>4740</v>
      </c>
      <c r="G315" s="0" t="s">
        <v>5595</v>
      </c>
    </row>
    <row customHeight="1" ht="11.25">
      <c r="A316" s="0" t="s">
        <v>14</v>
      </c>
      <c r="B316" s="0" t="s">
        <v>5579</v>
      </c>
      <c r="C316" s="0" t="s">
        <v>5580</v>
      </c>
      <c r="D316" s="0" t="s">
        <v>5596</v>
      </c>
      <c r="E316" s="0" t="s">
        <v>5597</v>
      </c>
      <c r="F316" s="0" t="s">
        <v>4740</v>
      </c>
      <c r="G316" s="0" t="s">
        <v>5598</v>
      </c>
    </row>
    <row customHeight="1" ht="11.25">
      <c r="A317" s="0" t="s">
        <v>14</v>
      </c>
      <c r="B317" s="0" t="s">
        <v>5579</v>
      </c>
      <c r="C317" s="0" t="s">
        <v>5580</v>
      </c>
      <c r="D317" s="0" t="s">
        <v>5599</v>
      </c>
      <c r="E317" s="0" t="s">
        <v>5600</v>
      </c>
      <c r="F317" s="0" t="s">
        <v>4740</v>
      </c>
      <c r="G317" s="0" t="s">
        <v>5601</v>
      </c>
    </row>
    <row customHeight="1" ht="11.25">
      <c r="A318" s="0" t="s">
        <v>14</v>
      </c>
      <c r="B318" s="0" t="s">
        <v>5579</v>
      </c>
      <c r="C318" s="0" t="s">
        <v>5580</v>
      </c>
      <c r="D318" s="0" t="s">
        <v>5602</v>
      </c>
      <c r="E318" s="0" t="s">
        <v>5603</v>
      </c>
      <c r="F318" s="0" t="s">
        <v>4740</v>
      </c>
      <c r="G318" s="0" t="s">
        <v>5604</v>
      </c>
    </row>
    <row customHeight="1" ht="11.25">
      <c r="A319" s="0" t="s">
        <v>14</v>
      </c>
      <c r="B319" s="0" t="s">
        <v>5579</v>
      </c>
      <c r="C319" s="0" t="s">
        <v>5580</v>
      </c>
      <c r="D319" s="0" t="s">
        <v>5605</v>
      </c>
      <c r="E319" s="0" t="s">
        <v>5606</v>
      </c>
      <c r="F319" s="0" t="s">
        <v>4740</v>
      </c>
      <c r="G319" s="0" t="s">
        <v>5607</v>
      </c>
    </row>
    <row customHeight="1" ht="11.25">
      <c r="A320" s="0" t="s">
        <v>14</v>
      </c>
      <c r="B320" s="0" t="s">
        <v>5579</v>
      </c>
      <c r="C320" s="0" t="s">
        <v>5580</v>
      </c>
      <c r="D320" s="0" t="s">
        <v>5398</v>
      </c>
      <c r="E320" s="0" t="s">
        <v>5608</v>
      </c>
      <c r="F320" s="0" t="s">
        <v>4740</v>
      </c>
      <c r="G320" s="0" t="s">
        <v>5609</v>
      </c>
    </row>
    <row customHeight="1" ht="11.25">
      <c r="A321" s="0" t="s">
        <v>14</v>
      </c>
      <c r="B321" s="0" t="s">
        <v>5579</v>
      </c>
      <c r="C321" s="0" t="s">
        <v>5580</v>
      </c>
      <c r="D321" s="0" t="s">
        <v>5610</v>
      </c>
      <c r="E321" s="0" t="s">
        <v>5611</v>
      </c>
      <c r="F321" s="0" t="s">
        <v>4740</v>
      </c>
      <c r="G321" s="0" t="s">
        <v>5612</v>
      </c>
    </row>
    <row customHeight="1" ht="11.25">
      <c r="A322" s="0" t="s">
        <v>14</v>
      </c>
      <c r="B322" s="0" t="s">
        <v>5579</v>
      </c>
      <c r="C322" s="0" t="s">
        <v>5580</v>
      </c>
      <c r="D322" s="0" t="s">
        <v>5613</v>
      </c>
      <c r="E322" s="0" t="s">
        <v>5614</v>
      </c>
      <c r="F322" s="0" t="s">
        <v>4740</v>
      </c>
      <c r="G322" s="0" t="s">
        <v>5615</v>
      </c>
    </row>
    <row customHeight="1" ht="11.25">
      <c r="A323" s="0" t="s">
        <v>14</v>
      </c>
      <c r="B323" s="0" t="s">
        <v>5579</v>
      </c>
      <c r="C323" s="0" t="s">
        <v>5580</v>
      </c>
      <c r="D323" s="0" t="s">
        <v>5579</v>
      </c>
      <c r="E323" s="0" t="s">
        <v>5580</v>
      </c>
      <c r="F323" s="0" t="s">
        <v>4731</v>
      </c>
      <c r="G323" s="0" t="s">
        <v>5616</v>
      </c>
    </row>
    <row customHeight="1" ht="11.25">
      <c r="A324" s="0" t="s">
        <v>14</v>
      </c>
      <c r="B324" s="0" t="s">
        <v>5579</v>
      </c>
      <c r="C324" s="0" t="s">
        <v>5580</v>
      </c>
      <c r="D324" s="0" t="s">
        <v>5617</v>
      </c>
      <c r="E324" s="0" t="s">
        <v>5618</v>
      </c>
      <c r="F324" s="0" t="s">
        <v>4734</v>
      </c>
      <c r="G324" s="0" t="s">
        <v>5619</v>
      </c>
    </row>
    <row customHeight="1" ht="11.25">
      <c r="A325" s="0" t="s">
        <v>14</v>
      </c>
      <c r="B325" s="0" t="s">
        <v>5579</v>
      </c>
      <c r="C325" s="0" t="s">
        <v>5580</v>
      </c>
      <c r="D325" s="0" t="s">
        <v>5620</v>
      </c>
      <c r="E325" s="0" t="s">
        <v>5621</v>
      </c>
      <c r="F325" s="0" t="s">
        <v>4740</v>
      </c>
      <c r="G325" s="0" t="s">
        <v>5622</v>
      </c>
    </row>
    <row customHeight="1" ht="11.25">
      <c r="A326" s="0" t="s">
        <v>14</v>
      </c>
      <c r="B326" s="0" t="s">
        <v>5579</v>
      </c>
      <c r="C326" s="0" t="s">
        <v>5580</v>
      </c>
      <c r="D326" s="0" t="s">
        <v>5623</v>
      </c>
      <c r="E326" s="0" t="s">
        <v>5624</v>
      </c>
      <c r="F326" s="0" t="s">
        <v>4740</v>
      </c>
      <c r="G326" s="0" t="s">
        <v>5625</v>
      </c>
    </row>
    <row customHeight="1" ht="11.25">
      <c r="A327" s="0" t="s">
        <v>14</v>
      </c>
      <c r="B327" s="0" t="s">
        <v>5626</v>
      </c>
      <c r="C327" s="0" t="s">
        <v>5627</v>
      </c>
      <c r="D327" s="0" t="s">
        <v>5628</v>
      </c>
      <c r="E327" s="0" t="s">
        <v>5629</v>
      </c>
      <c r="F327" s="0" t="s">
        <v>4740</v>
      </c>
      <c r="G327" s="0" t="s">
        <v>5630</v>
      </c>
    </row>
    <row customHeight="1" ht="11.25">
      <c r="A328" s="0" t="s">
        <v>14</v>
      </c>
      <c r="B328" s="0" t="s">
        <v>5626</v>
      </c>
      <c r="C328" s="0" t="s">
        <v>5627</v>
      </c>
      <c r="D328" s="0" t="s">
        <v>5026</v>
      </c>
      <c r="E328" s="0" t="s">
        <v>5631</v>
      </c>
      <c r="F328" s="0" t="s">
        <v>4740</v>
      </c>
      <c r="G328" s="0" t="s">
        <v>5632</v>
      </c>
    </row>
    <row customHeight="1" ht="11.25">
      <c r="A329" s="0" t="s">
        <v>14</v>
      </c>
      <c r="B329" s="0" t="s">
        <v>5626</v>
      </c>
      <c r="C329" s="0" t="s">
        <v>5627</v>
      </c>
      <c r="D329" s="0" t="s">
        <v>5633</v>
      </c>
      <c r="E329" s="0" t="s">
        <v>5634</v>
      </c>
      <c r="F329" s="0" t="s">
        <v>4740</v>
      </c>
      <c r="G329" s="0" t="s">
        <v>5635</v>
      </c>
    </row>
    <row customHeight="1" ht="11.25">
      <c r="A330" s="0" t="s">
        <v>14</v>
      </c>
      <c r="B330" s="0" t="s">
        <v>5626</v>
      </c>
      <c r="C330" s="0" t="s">
        <v>5627</v>
      </c>
      <c r="D330" s="0" t="s">
        <v>5636</v>
      </c>
      <c r="E330" s="0" t="s">
        <v>5637</v>
      </c>
      <c r="F330" s="0" t="s">
        <v>4740</v>
      </c>
      <c r="G330" s="0" t="s">
        <v>5638</v>
      </c>
    </row>
    <row customHeight="1" ht="11.25">
      <c r="A331" s="0" t="s">
        <v>14</v>
      </c>
      <c r="B331" s="0" t="s">
        <v>5626</v>
      </c>
      <c r="C331" s="0" t="s">
        <v>5627</v>
      </c>
      <c r="D331" s="0" t="s">
        <v>5626</v>
      </c>
      <c r="E331" s="0" t="s">
        <v>5627</v>
      </c>
      <c r="F331" s="0" t="s">
        <v>4731</v>
      </c>
      <c r="G331" s="0" t="s">
        <v>5639</v>
      </c>
    </row>
    <row customHeight="1" ht="11.25">
      <c r="A332" s="0" t="s">
        <v>14</v>
      </c>
      <c r="B332" s="0" t="s">
        <v>5626</v>
      </c>
      <c r="C332" s="0" t="s">
        <v>5627</v>
      </c>
      <c r="D332" s="0" t="s">
        <v>5640</v>
      </c>
      <c r="E332" s="0" t="s">
        <v>5641</v>
      </c>
      <c r="F332" s="0" t="s">
        <v>4740</v>
      </c>
      <c r="G332" s="0" t="s">
        <v>5642</v>
      </c>
    </row>
    <row customHeight="1" ht="11.25">
      <c r="A333" s="0" t="s">
        <v>14</v>
      </c>
      <c r="B333" s="0" t="s">
        <v>5643</v>
      </c>
      <c r="C333" s="0" t="s">
        <v>5644</v>
      </c>
      <c r="D333" s="0" t="s">
        <v>5645</v>
      </c>
      <c r="E333" s="0" t="s">
        <v>5646</v>
      </c>
      <c r="F333" s="0" t="s">
        <v>4740</v>
      </c>
      <c r="G333" s="0" t="s">
        <v>5647</v>
      </c>
    </row>
    <row customHeight="1" ht="11.25">
      <c r="A334" s="0" t="s">
        <v>14</v>
      </c>
      <c r="B334" s="0" t="s">
        <v>5643</v>
      </c>
      <c r="C334" s="0" t="s">
        <v>5644</v>
      </c>
      <c r="D334" s="0" t="s">
        <v>5648</v>
      </c>
      <c r="E334" s="0" t="s">
        <v>5649</v>
      </c>
      <c r="F334" s="0" t="s">
        <v>4740</v>
      </c>
      <c r="G334" s="0" t="s">
        <v>5650</v>
      </c>
    </row>
    <row customHeight="1" ht="11.25">
      <c r="A335" s="0" t="s">
        <v>14</v>
      </c>
      <c r="B335" s="0" t="s">
        <v>5643</v>
      </c>
      <c r="C335" s="0" t="s">
        <v>5644</v>
      </c>
      <c r="D335" s="0" t="s">
        <v>5651</v>
      </c>
      <c r="E335" s="0" t="s">
        <v>5652</v>
      </c>
      <c r="F335" s="0" t="s">
        <v>4740</v>
      </c>
      <c r="G335" s="0" t="s">
        <v>5653</v>
      </c>
    </row>
    <row customHeight="1" ht="11.25">
      <c r="A336" s="0" t="s">
        <v>14</v>
      </c>
      <c r="B336" s="0" t="s">
        <v>5643</v>
      </c>
      <c r="C336" s="0" t="s">
        <v>5644</v>
      </c>
      <c r="D336" s="0" t="s">
        <v>5654</v>
      </c>
      <c r="E336" s="0" t="s">
        <v>5655</v>
      </c>
      <c r="F336" s="0" t="s">
        <v>4740</v>
      </c>
      <c r="G336" s="0" t="s">
        <v>5656</v>
      </c>
    </row>
    <row customHeight="1" ht="11.25">
      <c r="A337" s="0" t="s">
        <v>14</v>
      </c>
      <c r="B337" s="0" t="s">
        <v>5643</v>
      </c>
      <c r="C337" s="0" t="s">
        <v>5644</v>
      </c>
      <c r="D337" s="0" t="s">
        <v>5657</v>
      </c>
      <c r="E337" s="0" t="s">
        <v>5658</v>
      </c>
      <c r="F337" s="0" t="s">
        <v>4740</v>
      </c>
      <c r="G337" s="0" t="s">
        <v>5659</v>
      </c>
    </row>
    <row customHeight="1" ht="11.25">
      <c r="A338" s="0" t="s">
        <v>14</v>
      </c>
      <c r="B338" s="0" t="s">
        <v>5643</v>
      </c>
      <c r="C338" s="0" t="s">
        <v>5644</v>
      </c>
      <c r="D338" s="0" t="s">
        <v>5660</v>
      </c>
      <c r="E338" s="0" t="s">
        <v>5661</v>
      </c>
      <c r="F338" s="0" t="s">
        <v>4740</v>
      </c>
      <c r="G338" s="0" t="s">
        <v>5662</v>
      </c>
    </row>
    <row customHeight="1" ht="11.25">
      <c r="A339" s="0" t="s">
        <v>14</v>
      </c>
      <c r="B339" s="0" t="s">
        <v>5643</v>
      </c>
      <c r="C339" s="0" t="s">
        <v>5644</v>
      </c>
      <c r="D339" s="0" t="s">
        <v>5663</v>
      </c>
      <c r="E339" s="0" t="s">
        <v>5664</v>
      </c>
      <c r="F339" s="0" t="s">
        <v>4740</v>
      </c>
      <c r="G339" s="0" t="s">
        <v>5665</v>
      </c>
    </row>
    <row customHeight="1" ht="11.25">
      <c r="A340" s="0" t="s">
        <v>14</v>
      </c>
      <c r="B340" s="0" t="s">
        <v>5643</v>
      </c>
      <c r="C340" s="0" t="s">
        <v>5644</v>
      </c>
      <c r="D340" s="0" t="s">
        <v>5643</v>
      </c>
      <c r="E340" s="0" t="s">
        <v>5644</v>
      </c>
      <c r="F340" s="0" t="s">
        <v>4731</v>
      </c>
      <c r="G340" s="0" t="s">
        <v>5666</v>
      </c>
    </row>
    <row customHeight="1" ht="11.25">
      <c r="A341" s="0" t="s">
        <v>14</v>
      </c>
      <c r="B341" s="0" t="s">
        <v>5643</v>
      </c>
      <c r="C341" s="0" t="s">
        <v>5644</v>
      </c>
      <c r="D341" s="0" t="s">
        <v>5667</v>
      </c>
      <c r="E341" s="0" t="s">
        <v>5668</v>
      </c>
      <c r="F341" s="0" t="s">
        <v>4740</v>
      </c>
      <c r="G341" s="0" t="s">
        <v>5669</v>
      </c>
    </row>
    <row customHeight="1" ht="11.25">
      <c r="A342" s="0" t="s">
        <v>14</v>
      </c>
      <c r="B342" s="0" t="s">
        <v>5670</v>
      </c>
      <c r="C342" s="0" t="s">
        <v>5671</v>
      </c>
      <c r="D342" s="0" t="s">
        <v>5672</v>
      </c>
      <c r="E342" s="0" t="s">
        <v>5673</v>
      </c>
      <c r="F342" s="0" t="s">
        <v>4740</v>
      </c>
      <c r="G342" s="0" t="s">
        <v>5674</v>
      </c>
    </row>
    <row customHeight="1" ht="11.25">
      <c r="A343" s="0" t="s">
        <v>14</v>
      </c>
      <c r="B343" s="0" t="s">
        <v>5670</v>
      </c>
      <c r="C343" s="0" t="s">
        <v>5671</v>
      </c>
      <c r="D343" s="0" t="s">
        <v>5675</v>
      </c>
      <c r="E343" s="0" t="s">
        <v>5676</v>
      </c>
      <c r="F343" s="0" t="s">
        <v>4740</v>
      </c>
      <c r="G343" s="0" t="s">
        <v>5677</v>
      </c>
    </row>
    <row customHeight="1" ht="11.25">
      <c r="A344" s="0" t="s">
        <v>14</v>
      </c>
      <c r="B344" s="0" t="s">
        <v>5670</v>
      </c>
      <c r="C344" s="0" t="s">
        <v>5671</v>
      </c>
      <c r="D344" s="0" t="s">
        <v>5678</v>
      </c>
      <c r="E344" s="0" t="s">
        <v>5679</v>
      </c>
      <c r="F344" s="0" t="s">
        <v>4740</v>
      </c>
      <c r="G344" s="0" t="s">
        <v>5680</v>
      </c>
    </row>
    <row customHeight="1" ht="11.25">
      <c r="A345" s="0" t="s">
        <v>14</v>
      </c>
      <c r="B345" s="0" t="s">
        <v>5670</v>
      </c>
      <c r="C345" s="0" t="s">
        <v>5671</v>
      </c>
      <c r="D345" s="0" t="s">
        <v>5681</v>
      </c>
      <c r="E345" s="0" t="s">
        <v>5682</v>
      </c>
      <c r="F345" s="0" t="s">
        <v>4740</v>
      </c>
      <c r="G345" s="0" t="s">
        <v>5683</v>
      </c>
    </row>
    <row customHeight="1" ht="11.25">
      <c r="A346" s="0" t="s">
        <v>14</v>
      </c>
      <c r="B346" s="0" t="s">
        <v>5670</v>
      </c>
      <c r="C346" s="0" t="s">
        <v>5671</v>
      </c>
      <c r="D346" s="0" t="s">
        <v>5684</v>
      </c>
      <c r="E346" s="0" t="s">
        <v>5685</v>
      </c>
      <c r="F346" s="0" t="s">
        <v>4740</v>
      </c>
      <c r="G346" s="0" t="s">
        <v>5686</v>
      </c>
    </row>
    <row customHeight="1" ht="11.25">
      <c r="A347" s="0" t="s">
        <v>14</v>
      </c>
      <c r="B347" s="0" t="s">
        <v>5670</v>
      </c>
      <c r="C347" s="0" t="s">
        <v>5671</v>
      </c>
      <c r="D347" s="0" t="s">
        <v>5687</v>
      </c>
      <c r="E347" s="0" t="s">
        <v>5688</v>
      </c>
      <c r="F347" s="0" t="s">
        <v>4740</v>
      </c>
      <c r="G347" s="0" t="s">
        <v>5689</v>
      </c>
    </row>
    <row customHeight="1" ht="11.25">
      <c r="A348" s="0" t="s">
        <v>14</v>
      </c>
      <c r="B348" s="0" t="s">
        <v>5670</v>
      </c>
      <c r="C348" s="0" t="s">
        <v>5671</v>
      </c>
      <c r="D348" s="0" t="s">
        <v>5690</v>
      </c>
      <c r="E348" s="0" t="s">
        <v>5691</v>
      </c>
      <c r="F348" s="0" t="s">
        <v>4740</v>
      </c>
      <c r="G348" s="0" t="s">
        <v>5692</v>
      </c>
    </row>
    <row customHeight="1" ht="11.25">
      <c r="A349" s="0" t="s">
        <v>14</v>
      </c>
      <c r="B349" s="0" t="s">
        <v>5670</v>
      </c>
      <c r="C349" s="0" t="s">
        <v>5671</v>
      </c>
      <c r="D349" s="0" t="s">
        <v>5693</v>
      </c>
      <c r="E349" s="0" t="s">
        <v>5694</v>
      </c>
      <c r="F349" s="0" t="s">
        <v>4740</v>
      </c>
      <c r="G349" s="0" t="s">
        <v>5695</v>
      </c>
    </row>
    <row customHeight="1" ht="11.25">
      <c r="A350" s="0" t="s">
        <v>14</v>
      </c>
      <c r="B350" s="0" t="s">
        <v>5670</v>
      </c>
      <c r="C350" s="0" t="s">
        <v>5671</v>
      </c>
      <c r="D350" s="0" t="s">
        <v>5696</v>
      </c>
      <c r="E350" s="0" t="s">
        <v>5697</v>
      </c>
      <c r="F350" s="0" t="s">
        <v>4740</v>
      </c>
      <c r="G350" s="0" t="s">
        <v>5698</v>
      </c>
    </row>
    <row customHeight="1" ht="11.25">
      <c r="A351" s="0" t="s">
        <v>14</v>
      </c>
      <c r="B351" s="0" t="s">
        <v>5670</v>
      </c>
      <c r="C351" s="0" t="s">
        <v>5671</v>
      </c>
      <c r="D351" s="0" t="s">
        <v>5699</v>
      </c>
      <c r="E351" s="0" t="s">
        <v>5700</v>
      </c>
      <c r="F351" s="0" t="s">
        <v>4740</v>
      </c>
      <c r="G351" s="0" t="s">
        <v>5701</v>
      </c>
    </row>
    <row customHeight="1" ht="11.25">
      <c r="A352" s="0" t="s">
        <v>14</v>
      </c>
      <c r="B352" s="0" t="s">
        <v>5670</v>
      </c>
      <c r="C352" s="0" t="s">
        <v>5671</v>
      </c>
      <c r="D352" s="0" t="s">
        <v>5670</v>
      </c>
      <c r="E352" s="0" t="s">
        <v>5671</v>
      </c>
      <c r="F352" s="0" t="s">
        <v>4731</v>
      </c>
      <c r="G352" s="0" t="s">
        <v>5702</v>
      </c>
    </row>
    <row customHeight="1" ht="11.25">
      <c r="A353" s="0" t="s">
        <v>14</v>
      </c>
      <c r="B353" s="0" t="s">
        <v>5670</v>
      </c>
      <c r="C353" s="0" t="s">
        <v>5671</v>
      </c>
      <c r="D353" s="0" t="s">
        <v>5703</v>
      </c>
      <c r="E353" s="0" t="s">
        <v>5704</v>
      </c>
      <c r="F353" s="0" t="s">
        <v>4734</v>
      </c>
      <c r="G353" s="0" t="s">
        <v>5705</v>
      </c>
    </row>
    <row customHeight="1" ht="11.25">
      <c r="A354" s="0" t="s">
        <v>14</v>
      </c>
      <c r="B354" s="0" t="s">
        <v>5670</v>
      </c>
      <c r="C354" s="0" t="s">
        <v>5671</v>
      </c>
      <c r="D354" s="0" t="s">
        <v>5706</v>
      </c>
      <c r="E354" s="0" t="s">
        <v>5707</v>
      </c>
      <c r="F354" s="0" t="s">
        <v>4740</v>
      </c>
      <c r="G354" s="0" t="s">
        <v>5708</v>
      </c>
    </row>
    <row customHeight="1" ht="11.25">
      <c r="A355" s="0" t="s">
        <v>14</v>
      </c>
      <c r="B355" s="0" t="s">
        <v>5709</v>
      </c>
      <c r="C355" s="0" t="s">
        <v>5710</v>
      </c>
      <c r="D355" s="0" t="s">
        <v>5711</v>
      </c>
      <c r="E355" s="0" t="s">
        <v>5712</v>
      </c>
      <c r="F355" s="0" t="s">
        <v>4740</v>
      </c>
      <c r="G355" s="0" t="s">
        <v>5713</v>
      </c>
    </row>
    <row customHeight="1" ht="11.25">
      <c r="A356" s="0" t="s">
        <v>14</v>
      </c>
      <c r="B356" s="0" t="s">
        <v>5709</v>
      </c>
      <c r="C356" s="0" t="s">
        <v>5710</v>
      </c>
      <c r="D356" s="0" t="s">
        <v>5714</v>
      </c>
      <c r="E356" s="0" t="s">
        <v>5715</v>
      </c>
      <c r="F356" s="0" t="s">
        <v>4740</v>
      </c>
      <c r="G356" s="0" t="s">
        <v>5716</v>
      </c>
    </row>
    <row customHeight="1" ht="11.25">
      <c r="A357" s="0" t="s">
        <v>14</v>
      </c>
      <c r="B357" s="0" t="s">
        <v>5709</v>
      </c>
      <c r="C357" s="0" t="s">
        <v>5710</v>
      </c>
      <c r="D357" s="0" t="s">
        <v>5717</v>
      </c>
      <c r="E357" s="0" t="s">
        <v>5718</v>
      </c>
      <c r="F357" s="0" t="s">
        <v>4740</v>
      </c>
      <c r="G357" s="0" t="s">
        <v>5719</v>
      </c>
    </row>
    <row customHeight="1" ht="11.25">
      <c r="A358" s="0" t="s">
        <v>14</v>
      </c>
      <c r="B358" s="0" t="s">
        <v>5709</v>
      </c>
      <c r="C358" s="0" t="s">
        <v>5710</v>
      </c>
      <c r="D358" s="0" t="s">
        <v>5720</v>
      </c>
      <c r="E358" s="0" t="s">
        <v>5721</v>
      </c>
      <c r="F358" s="0" t="s">
        <v>4740</v>
      </c>
      <c r="G358" s="0" t="s">
        <v>5722</v>
      </c>
    </row>
    <row customHeight="1" ht="11.25">
      <c r="A359" s="0" t="s">
        <v>14</v>
      </c>
      <c r="B359" s="0" t="s">
        <v>5709</v>
      </c>
      <c r="C359" s="0" t="s">
        <v>5710</v>
      </c>
      <c r="D359" s="0" t="s">
        <v>5723</v>
      </c>
      <c r="E359" s="0" t="s">
        <v>5724</v>
      </c>
      <c r="F359" s="0" t="s">
        <v>4740</v>
      </c>
      <c r="G359" s="0" t="s">
        <v>5725</v>
      </c>
    </row>
    <row customHeight="1" ht="11.25">
      <c r="A360" s="0" t="s">
        <v>14</v>
      </c>
      <c r="B360" s="0" t="s">
        <v>5709</v>
      </c>
      <c r="C360" s="0" t="s">
        <v>5710</v>
      </c>
      <c r="D360" s="0" t="s">
        <v>5726</v>
      </c>
      <c r="E360" s="0" t="s">
        <v>5727</v>
      </c>
      <c r="F360" s="0" t="s">
        <v>4740</v>
      </c>
      <c r="G360" s="0" t="s">
        <v>5728</v>
      </c>
    </row>
    <row customHeight="1" ht="11.25">
      <c r="A361" s="0" t="s">
        <v>14</v>
      </c>
      <c r="B361" s="0" t="s">
        <v>5709</v>
      </c>
      <c r="C361" s="0" t="s">
        <v>5710</v>
      </c>
      <c r="D361" s="0" t="s">
        <v>5729</v>
      </c>
      <c r="E361" s="0" t="s">
        <v>5730</v>
      </c>
      <c r="F361" s="0" t="s">
        <v>4740</v>
      </c>
      <c r="G361" s="0" t="s">
        <v>5731</v>
      </c>
    </row>
    <row customHeight="1" ht="11.25">
      <c r="A362" s="0" t="s">
        <v>14</v>
      </c>
      <c r="B362" s="0" t="s">
        <v>5709</v>
      </c>
      <c r="C362" s="0" t="s">
        <v>5710</v>
      </c>
      <c r="D362" s="0" t="s">
        <v>5732</v>
      </c>
      <c r="E362" s="0" t="s">
        <v>5733</v>
      </c>
      <c r="F362" s="0" t="s">
        <v>4740</v>
      </c>
      <c r="G362" s="0" t="s">
        <v>5734</v>
      </c>
    </row>
    <row customHeight="1" ht="11.25">
      <c r="A363" s="0" t="s">
        <v>14</v>
      </c>
      <c r="B363" s="0" t="s">
        <v>5709</v>
      </c>
      <c r="C363" s="0" t="s">
        <v>5710</v>
      </c>
      <c r="D363" s="0" t="s">
        <v>5735</v>
      </c>
      <c r="E363" s="0" t="s">
        <v>5736</v>
      </c>
      <c r="F363" s="0" t="s">
        <v>4740</v>
      </c>
      <c r="G363" s="0" t="s">
        <v>5737</v>
      </c>
    </row>
    <row customHeight="1" ht="11.25">
      <c r="A364" s="0" t="s">
        <v>14</v>
      </c>
      <c r="B364" s="0" t="s">
        <v>5709</v>
      </c>
      <c r="C364" s="0" t="s">
        <v>5710</v>
      </c>
      <c r="D364" s="0" t="s">
        <v>5709</v>
      </c>
      <c r="E364" s="0" t="s">
        <v>5710</v>
      </c>
      <c r="F364" s="0" t="s">
        <v>4731</v>
      </c>
      <c r="G364" s="0" t="s">
        <v>5738</v>
      </c>
    </row>
    <row customHeight="1" ht="11.25">
      <c r="A365" s="0" t="s">
        <v>14</v>
      </c>
      <c r="B365" s="0" t="s">
        <v>5709</v>
      </c>
      <c r="C365" s="0" t="s">
        <v>5710</v>
      </c>
      <c r="D365" s="0" t="s">
        <v>5739</v>
      </c>
      <c r="E365" s="0" t="s">
        <v>5740</v>
      </c>
      <c r="F365" s="0" t="s">
        <v>4734</v>
      </c>
      <c r="G365" s="0" t="s">
        <v>5741</v>
      </c>
    </row>
    <row customHeight="1" ht="11.25">
      <c r="A366" s="0" t="s">
        <v>14</v>
      </c>
      <c r="B366" s="0" t="s">
        <v>5742</v>
      </c>
      <c r="C366" s="0" t="s">
        <v>5743</v>
      </c>
      <c r="D366" s="0" t="s">
        <v>5744</v>
      </c>
      <c r="E366" s="0" t="s">
        <v>5745</v>
      </c>
      <c r="F366" s="0" t="s">
        <v>4740</v>
      </c>
      <c r="G366" s="0" t="s">
        <v>5746</v>
      </c>
    </row>
    <row customHeight="1" ht="11.25">
      <c r="A367" s="0" t="s">
        <v>14</v>
      </c>
      <c r="B367" s="0" t="s">
        <v>5742</v>
      </c>
      <c r="C367" s="0" t="s">
        <v>5743</v>
      </c>
      <c r="D367" s="0" t="s">
        <v>5747</v>
      </c>
      <c r="E367" s="0" t="s">
        <v>5748</v>
      </c>
      <c r="F367" s="0" t="s">
        <v>4740</v>
      </c>
      <c r="G367" s="0" t="s">
        <v>5749</v>
      </c>
    </row>
    <row customHeight="1" ht="11.25">
      <c r="A368" s="0" t="s">
        <v>14</v>
      </c>
      <c r="B368" s="0" t="s">
        <v>5742</v>
      </c>
      <c r="C368" s="0" t="s">
        <v>5743</v>
      </c>
      <c r="D368" s="0" t="s">
        <v>5750</v>
      </c>
      <c r="E368" s="0" t="s">
        <v>5751</v>
      </c>
      <c r="F368" s="0" t="s">
        <v>4740</v>
      </c>
      <c r="G368" s="0" t="s">
        <v>5752</v>
      </c>
    </row>
    <row customHeight="1" ht="11.25">
      <c r="A369" s="0" t="s">
        <v>14</v>
      </c>
      <c r="B369" s="0" t="s">
        <v>5742</v>
      </c>
      <c r="C369" s="0" t="s">
        <v>5743</v>
      </c>
      <c r="D369" s="0" t="s">
        <v>5753</v>
      </c>
      <c r="E369" s="0" t="s">
        <v>5754</v>
      </c>
      <c r="F369" s="0" t="s">
        <v>4740</v>
      </c>
      <c r="G369" s="0" t="s">
        <v>5755</v>
      </c>
    </row>
    <row customHeight="1" ht="11.25">
      <c r="A370" s="0" t="s">
        <v>14</v>
      </c>
      <c r="B370" s="0" t="s">
        <v>5742</v>
      </c>
      <c r="C370" s="0" t="s">
        <v>5743</v>
      </c>
      <c r="D370" s="0" t="s">
        <v>5756</v>
      </c>
      <c r="E370" s="0" t="s">
        <v>5757</v>
      </c>
      <c r="F370" s="0" t="s">
        <v>4740</v>
      </c>
      <c r="G370" s="0" t="s">
        <v>5758</v>
      </c>
    </row>
    <row customHeight="1" ht="11.25">
      <c r="A371" s="0" t="s">
        <v>14</v>
      </c>
      <c r="B371" s="0" t="s">
        <v>5742</v>
      </c>
      <c r="C371" s="0" t="s">
        <v>5743</v>
      </c>
      <c r="D371" s="0" t="s">
        <v>5759</v>
      </c>
      <c r="E371" s="0" t="s">
        <v>5760</v>
      </c>
      <c r="F371" s="0" t="s">
        <v>4740</v>
      </c>
      <c r="G371" s="0" t="s">
        <v>5761</v>
      </c>
    </row>
    <row customHeight="1" ht="11.25">
      <c r="A372" s="0" t="s">
        <v>14</v>
      </c>
      <c r="B372" s="0" t="s">
        <v>5742</v>
      </c>
      <c r="C372" s="0" t="s">
        <v>5743</v>
      </c>
      <c r="D372" s="0" t="s">
        <v>5452</v>
      </c>
      <c r="E372" s="0" t="s">
        <v>5762</v>
      </c>
      <c r="F372" s="0" t="s">
        <v>4740</v>
      </c>
      <c r="G372" s="0" t="s">
        <v>5763</v>
      </c>
    </row>
    <row customHeight="1" ht="11.25">
      <c r="A373" s="0" t="s">
        <v>14</v>
      </c>
      <c r="B373" s="0" t="s">
        <v>5742</v>
      </c>
      <c r="C373" s="0" t="s">
        <v>5743</v>
      </c>
      <c r="D373" s="0" t="s">
        <v>5764</v>
      </c>
      <c r="E373" s="0" t="s">
        <v>5765</v>
      </c>
      <c r="F373" s="0" t="s">
        <v>4740</v>
      </c>
      <c r="G373" s="0" t="s">
        <v>5766</v>
      </c>
    </row>
    <row customHeight="1" ht="11.25">
      <c r="A374" s="0" t="s">
        <v>14</v>
      </c>
      <c r="B374" s="0" t="s">
        <v>5742</v>
      </c>
      <c r="C374" s="0" t="s">
        <v>5743</v>
      </c>
      <c r="D374" s="0" t="s">
        <v>5767</v>
      </c>
      <c r="E374" s="0" t="s">
        <v>5768</v>
      </c>
      <c r="F374" s="0" t="s">
        <v>4740</v>
      </c>
      <c r="G374" s="0" t="s">
        <v>5769</v>
      </c>
    </row>
    <row customHeight="1" ht="11.25">
      <c r="A375" s="0" t="s">
        <v>14</v>
      </c>
      <c r="B375" s="0" t="s">
        <v>5742</v>
      </c>
      <c r="C375" s="0" t="s">
        <v>5743</v>
      </c>
      <c r="D375" s="0" t="s">
        <v>5742</v>
      </c>
      <c r="E375" s="0" t="s">
        <v>5743</v>
      </c>
      <c r="F375" s="0" t="s">
        <v>4731</v>
      </c>
      <c r="G375" s="0" t="s">
        <v>5770</v>
      </c>
    </row>
    <row customHeight="1" ht="11.25">
      <c r="A376" s="0" t="s">
        <v>14</v>
      </c>
      <c r="B376" s="0" t="s">
        <v>5742</v>
      </c>
      <c r="C376" s="0" t="s">
        <v>5743</v>
      </c>
      <c r="D376" s="0" t="s">
        <v>5771</v>
      </c>
      <c r="E376" s="0" t="s">
        <v>5772</v>
      </c>
      <c r="F376" s="0" t="s">
        <v>4734</v>
      </c>
      <c r="G376" s="0" t="s">
        <v>5773</v>
      </c>
    </row>
    <row customHeight="1" ht="11.25">
      <c r="A377" s="0" t="s">
        <v>14</v>
      </c>
      <c r="B377" s="0" t="s">
        <v>5742</v>
      </c>
      <c r="C377" s="0" t="s">
        <v>5743</v>
      </c>
      <c r="D377" s="0" t="s">
        <v>5774</v>
      </c>
      <c r="E377" s="0" t="s">
        <v>5775</v>
      </c>
      <c r="F377" s="0" t="s">
        <v>4740</v>
      </c>
      <c r="G377" s="0" t="s">
        <v>5776</v>
      </c>
    </row>
    <row customHeight="1" ht="11.25">
      <c r="A378" s="0" t="s">
        <v>14</v>
      </c>
      <c r="B378" s="0" t="s">
        <v>5742</v>
      </c>
      <c r="C378" s="0" t="s">
        <v>5743</v>
      </c>
      <c r="D378" s="0" t="s">
        <v>5777</v>
      </c>
      <c r="E378" s="0" t="s">
        <v>5778</v>
      </c>
      <c r="F378" s="0" t="s">
        <v>4740</v>
      </c>
      <c r="G378" s="0" t="s">
        <v>5779</v>
      </c>
    </row>
    <row customHeight="1" ht="11.25">
      <c r="A379" s="0" t="s">
        <v>14</v>
      </c>
      <c r="B379" s="0" t="s">
        <v>5742</v>
      </c>
      <c r="C379" s="0" t="s">
        <v>5743</v>
      </c>
      <c r="D379" s="0" t="s">
        <v>5780</v>
      </c>
      <c r="E379" s="0" t="s">
        <v>5781</v>
      </c>
      <c r="F379" s="0" t="s">
        <v>4740</v>
      </c>
      <c r="G379" s="0" t="s">
        <v>5782</v>
      </c>
    </row>
    <row customHeight="1" ht="11.25">
      <c r="A380" s="0" t="s">
        <v>14</v>
      </c>
      <c r="B380" s="0" t="s">
        <v>5783</v>
      </c>
      <c r="C380" s="0" t="s">
        <v>5784</v>
      </c>
      <c r="D380" s="0" t="s">
        <v>5785</v>
      </c>
      <c r="E380" s="0" t="s">
        <v>5786</v>
      </c>
      <c r="F380" s="0" t="s">
        <v>4740</v>
      </c>
      <c r="G380" s="0" t="s">
        <v>5787</v>
      </c>
    </row>
    <row customHeight="1" ht="11.25">
      <c r="A381" s="0" t="s">
        <v>14</v>
      </c>
      <c r="B381" s="0" t="s">
        <v>5783</v>
      </c>
      <c r="C381" s="0" t="s">
        <v>5784</v>
      </c>
      <c r="D381" s="0" t="s">
        <v>5788</v>
      </c>
      <c r="E381" s="0" t="s">
        <v>5789</v>
      </c>
      <c r="F381" s="0" t="s">
        <v>4740</v>
      </c>
      <c r="G381" s="0" t="s">
        <v>5790</v>
      </c>
    </row>
    <row customHeight="1" ht="11.25">
      <c r="A382" s="0" t="s">
        <v>14</v>
      </c>
      <c r="B382" s="0" t="s">
        <v>5783</v>
      </c>
      <c r="C382" s="0" t="s">
        <v>5784</v>
      </c>
      <c r="D382" s="0" t="s">
        <v>5791</v>
      </c>
      <c r="E382" s="0" t="s">
        <v>5792</v>
      </c>
      <c r="F382" s="0" t="s">
        <v>4737</v>
      </c>
      <c r="G382" s="0" t="s">
        <v>5793</v>
      </c>
    </row>
    <row customHeight="1" ht="11.25">
      <c r="A383" s="0" t="s">
        <v>14</v>
      </c>
      <c r="B383" s="0" t="s">
        <v>5783</v>
      </c>
      <c r="C383" s="0" t="s">
        <v>5784</v>
      </c>
      <c r="D383" s="0" t="s">
        <v>5794</v>
      </c>
      <c r="E383" s="0" t="s">
        <v>5795</v>
      </c>
      <c r="F383" s="0" t="s">
        <v>4740</v>
      </c>
      <c r="G383" s="0" t="s">
        <v>5796</v>
      </c>
    </row>
    <row customHeight="1" ht="11.25">
      <c r="A384" s="0" t="s">
        <v>14</v>
      </c>
      <c r="B384" s="0" t="s">
        <v>5783</v>
      </c>
      <c r="C384" s="0" t="s">
        <v>5784</v>
      </c>
      <c r="D384" s="0" t="s">
        <v>5797</v>
      </c>
      <c r="E384" s="0" t="s">
        <v>5798</v>
      </c>
      <c r="F384" s="0" t="s">
        <v>4737</v>
      </c>
      <c r="G384" s="0" t="s">
        <v>5799</v>
      </c>
    </row>
    <row customHeight="1" ht="11.25">
      <c r="A385" s="0" t="s">
        <v>14</v>
      </c>
      <c r="B385" s="0" t="s">
        <v>5783</v>
      </c>
      <c r="C385" s="0" t="s">
        <v>5784</v>
      </c>
      <c r="D385" s="0" t="s">
        <v>5110</v>
      </c>
      <c r="E385" s="0" t="s">
        <v>5800</v>
      </c>
      <c r="F385" s="0" t="s">
        <v>4740</v>
      </c>
      <c r="G385" s="0" t="s">
        <v>5801</v>
      </c>
    </row>
    <row customHeight="1" ht="11.25">
      <c r="A386" s="0" t="s">
        <v>14</v>
      </c>
      <c r="B386" s="0" t="s">
        <v>5783</v>
      </c>
      <c r="C386" s="0" t="s">
        <v>5784</v>
      </c>
      <c r="D386" s="0" t="s">
        <v>5802</v>
      </c>
      <c r="E386" s="0" t="s">
        <v>5803</v>
      </c>
      <c r="F386" s="0" t="s">
        <v>4740</v>
      </c>
      <c r="G386" s="0" t="s">
        <v>5804</v>
      </c>
    </row>
    <row customHeight="1" ht="11.25">
      <c r="A387" s="0" t="s">
        <v>14</v>
      </c>
      <c r="B387" s="0" t="s">
        <v>5783</v>
      </c>
      <c r="C387" s="0" t="s">
        <v>5784</v>
      </c>
      <c r="D387" s="0" t="s">
        <v>5783</v>
      </c>
      <c r="E387" s="0" t="s">
        <v>5784</v>
      </c>
      <c r="F387" s="0" t="s">
        <v>4731</v>
      </c>
      <c r="G387" s="0" t="s">
        <v>5805</v>
      </c>
    </row>
    <row customHeight="1" ht="11.25">
      <c r="A388" s="0" t="s">
        <v>14</v>
      </c>
      <c r="B388" s="0" t="s">
        <v>5783</v>
      </c>
      <c r="C388" s="0" t="s">
        <v>5784</v>
      </c>
      <c r="D388" s="0" t="s">
        <v>5806</v>
      </c>
      <c r="E388" s="0" t="s">
        <v>5807</v>
      </c>
      <c r="F388" s="0" t="s">
        <v>4734</v>
      </c>
      <c r="G388" s="0" t="s">
        <v>5808</v>
      </c>
    </row>
    <row customHeight="1" ht="11.25">
      <c r="A389" s="0" t="s">
        <v>14</v>
      </c>
      <c r="B389" s="0" t="s">
        <v>5783</v>
      </c>
      <c r="C389" s="0" t="s">
        <v>5784</v>
      </c>
      <c r="D389" s="0" t="s">
        <v>5809</v>
      </c>
      <c r="E389" s="0" t="s">
        <v>5810</v>
      </c>
      <c r="F389" s="0" t="s">
        <v>4740</v>
      </c>
      <c r="G389" s="0" t="s">
        <v>5811</v>
      </c>
    </row>
    <row customHeight="1" ht="11.25">
      <c r="A390" s="0" t="s">
        <v>14</v>
      </c>
      <c r="B390" s="0" t="s">
        <v>5783</v>
      </c>
      <c r="C390" s="0" t="s">
        <v>5784</v>
      </c>
      <c r="D390" s="0" t="s">
        <v>5812</v>
      </c>
      <c r="E390" s="0" t="s">
        <v>5813</v>
      </c>
      <c r="F390" s="0" t="s">
        <v>4740</v>
      </c>
      <c r="G390" s="0" t="s">
        <v>5814</v>
      </c>
    </row>
    <row customHeight="1" ht="11.25">
      <c r="A391" s="0" t="s">
        <v>14</v>
      </c>
      <c r="B391" s="0" t="s">
        <v>5815</v>
      </c>
      <c r="C391" s="0" t="s">
        <v>5816</v>
      </c>
      <c r="D391" s="0" t="s">
        <v>5481</v>
      </c>
      <c r="E391" s="0" t="s">
        <v>5817</v>
      </c>
      <c r="F391" s="0" t="s">
        <v>4740</v>
      </c>
      <c r="G391" s="0" t="s">
        <v>5818</v>
      </c>
    </row>
    <row customHeight="1" ht="11.25">
      <c r="A392" s="0" t="s">
        <v>14</v>
      </c>
      <c r="B392" s="0" t="s">
        <v>5815</v>
      </c>
      <c r="C392" s="0" t="s">
        <v>5816</v>
      </c>
      <c r="D392" s="0" t="s">
        <v>5819</v>
      </c>
      <c r="E392" s="0" t="s">
        <v>5820</v>
      </c>
      <c r="F392" s="0" t="s">
        <v>4740</v>
      </c>
      <c r="G392" s="0" t="s">
        <v>5821</v>
      </c>
    </row>
    <row customHeight="1" ht="11.25">
      <c r="A393" s="0" t="s">
        <v>14</v>
      </c>
      <c r="B393" s="0" t="s">
        <v>5815</v>
      </c>
      <c r="C393" s="0" t="s">
        <v>5816</v>
      </c>
      <c r="D393" s="0" t="s">
        <v>5822</v>
      </c>
      <c r="E393" s="0" t="s">
        <v>5823</v>
      </c>
      <c r="F393" s="0" t="s">
        <v>4740</v>
      </c>
      <c r="G393" s="0" t="s">
        <v>5824</v>
      </c>
    </row>
    <row customHeight="1" ht="11.25">
      <c r="A394" s="0" t="s">
        <v>14</v>
      </c>
      <c r="B394" s="0" t="s">
        <v>5815</v>
      </c>
      <c r="C394" s="0" t="s">
        <v>5816</v>
      </c>
      <c r="D394" s="0" t="s">
        <v>5825</v>
      </c>
      <c r="E394" s="0" t="s">
        <v>5826</v>
      </c>
      <c r="F394" s="0" t="s">
        <v>4740</v>
      </c>
      <c r="G394" s="0" t="s">
        <v>5827</v>
      </c>
    </row>
    <row customHeight="1" ht="11.25">
      <c r="A395" s="0" t="s">
        <v>14</v>
      </c>
      <c r="B395" s="0" t="s">
        <v>5815</v>
      </c>
      <c r="C395" s="0" t="s">
        <v>5816</v>
      </c>
      <c r="D395" s="0" t="s">
        <v>5828</v>
      </c>
      <c r="E395" s="0" t="s">
        <v>5829</v>
      </c>
      <c r="F395" s="0" t="s">
        <v>4740</v>
      </c>
      <c r="G395" s="0" t="s">
        <v>5830</v>
      </c>
    </row>
    <row customHeight="1" ht="11.25">
      <c r="A396" s="0" t="s">
        <v>14</v>
      </c>
      <c r="B396" s="0" t="s">
        <v>5815</v>
      </c>
      <c r="C396" s="0" t="s">
        <v>5816</v>
      </c>
      <c r="D396" s="0" t="s">
        <v>5831</v>
      </c>
      <c r="E396" s="0" t="s">
        <v>5832</v>
      </c>
      <c r="F396" s="0" t="s">
        <v>4740</v>
      </c>
      <c r="G396" s="0" t="s">
        <v>5833</v>
      </c>
    </row>
    <row customHeight="1" ht="11.25">
      <c r="A397" s="0" t="s">
        <v>14</v>
      </c>
      <c r="B397" s="0" t="s">
        <v>5815</v>
      </c>
      <c r="C397" s="0" t="s">
        <v>5816</v>
      </c>
      <c r="D397" s="0" t="s">
        <v>5834</v>
      </c>
      <c r="E397" s="0" t="s">
        <v>5835</v>
      </c>
      <c r="F397" s="0" t="s">
        <v>4740</v>
      </c>
      <c r="G397" s="0" t="s">
        <v>5836</v>
      </c>
    </row>
    <row customHeight="1" ht="11.25">
      <c r="A398" s="0" t="s">
        <v>14</v>
      </c>
      <c r="B398" s="0" t="s">
        <v>5815</v>
      </c>
      <c r="C398" s="0" t="s">
        <v>5816</v>
      </c>
      <c r="D398" s="0" t="s">
        <v>5837</v>
      </c>
      <c r="E398" s="0" t="s">
        <v>5838</v>
      </c>
      <c r="F398" s="0" t="s">
        <v>4740</v>
      </c>
      <c r="G398" s="0" t="s">
        <v>5839</v>
      </c>
    </row>
    <row customHeight="1" ht="11.25">
      <c r="A399" s="0" t="s">
        <v>14</v>
      </c>
      <c r="B399" s="0" t="s">
        <v>5815</v>
      </c>
      <c r="C399" s="0" t="s">
        <v>5816</v>
      </c>
      <c r="D399" s="0" t="s">
        <v>5840</v>
      </c>
      <c r="E399" s="0" t="s">
        <v>5841</v>
      </c>
      <c r="F399" s="0" t="s">
        <v>4740</v>
      </c>
      <c r="G399" s="0" t="s">
        <v>5842</v>
      </c>
    </row>
    <row customHeight="1" ht="11.25">
      <c r="A400" s="0" t="s">
        <v>14</v>
      </c>
      <c r="B400" s="0" t="s">
        <v>5815</v>
      </c>
      <c r="C400" s="0" t="s">
        <v>5816</v>
      </c>
      <c r="D400" s="0" t="s">
        <v>5815</v>
      </c>
      <c r="E400" s="0" t="s">
        <v>5816</v>
      </c>
      <c r="F400" s="0" t="s">
        <v>4731</v>
      </c>
      <c r="G400" s="0" t="s">
        <v>5843</v>
      </c>
    </row>
    <row customHeight="1" ht="11.25">
      <c r="A401" s="0" t="s">
        <v>14</v>
      </c>
      <c r="B401" s="0" t="s">
        <v>5815</v>
      </c>
      <c r="C401" s="0" t="s">
        <v>5816</v>
      </c>
      <c r="D401" s="0" t="s">
        <v>4783</v>
      </c>
      <c r="E401" s="0" t="s">
        <v>5844</v>
      </c>
      <c r="F401" s="0" t="s">
        <v>4740</v>
      </c>
      <c r="G401" s="0" t="s">
        <v>5845</v>
      </c>
    </row>
    <row customHeight="1" ht="11.25">
      <c r="A402" s="0" t="s">
        <v>14</v>
      </c>
      <c r="B402" s="0" t="s">
        <v>5846</v>
      </c>
      <c r="C402" s="0" t="s">
        <v>5847</v>
      </c>
      <c r="D402" s="0" t="s">
        <v>4948</v>
      </c>
      <c r="E402" s="0" t="s">
        <v>5848</v>
      </c>
      <c r="F402" s="0" t="s">
        <v>4740</v>
      </c>
      <c r="G402" s="0" t="s">
        <v>5849</v>
      </c>
    </row>
    <row customHeight="1" ht="11.25">
      <c r="A403" s="0" t="s">
        <v>14</v>
      </c>
      <c r="B403" s="0" t="s">
        <v>5846</v>
      </c>
      <c r="C403" s="0" t="s">
        <v>5847</v>
      </c>
      <c r="D403" s="0" t="s">
        <v>5750</v>
      </c>
      <c r="E403" s="0" t="s">
        <v>5850</v>
      </c>
      <c r="F403" s="0" t="s">
        <v>4740</v>
      </c>
      <c r="G403" s="0" t="s">
        <v>5851</v>
      </c>
    </row>
    <row customHeight="1" ht="11.25">
      <c r="A404" s="0" t="s">
        <v>14</v>
      </c>
      <c r="B404" s="0" t="s">
        <v>5846</v>
      </c>
      <c r="C404" s="0" t="s">
        <v>5847</v>
      </c>
      <c r="D404" s="0" t="s">
        <v>5852</v>
      </c>
      <c r="E404" s="0" t="s">
        <v>5853</v>
      </c>
      <c r="F404" s="0" t="s">
        <v>4740</v>
      </c>
      <c r="G404" s="0" t="s">
        <v>5854</v>
      </c>
    </row>
    <row customHeight="1" ht="11.25">
      <c r="A405" s="0" t="s">
        <v>14</v>
      </c>
      <c r="B405" s="0" t="s">
        <v>5846</v>
      </c>
      <c r="C405" s="0" t="s">
        <v>5847</v>
      </c>
      <c r="D405" s="0" t="s">
        <v>5855</v>
      </c>
      <c r="E405" s="0" t="s">
        <v>5856</v>
      </c>
      <c r="F405" s="0" t="s">
        <v>4740</v>
      </c>
      <c r="G405" s="0" t="s">
        <v>5857</v>
      </c>
    </row>
    <row customHeight="1" ht="11.25">
      <c r="A406" s="0" t="s">
        <v>14</v>
      </c>
      <c r="B406" s="0" t="s">
        <v>5846</v>
      </c>
      <c r="C406" s="0" t="s">
        <v>5847</v>
      </c>
      <c r="D406" s="0" t="s">
        <v>5301</v>
      </c>
      <c r="E406" s="0" t="s">
        <v>5858</v>
      </c>
      <c r="F406" s="0" t="s">
        <v>4740</v>
      </c>
      <c r="G406" s="0" t="s">
        <v>5859</v>
      </c>
    </row>
    <row customHeight="1" ht="11.25">
      <c r="A407" s="0" t="s">
        <v>14</v>
      </c>
      <c r="B407" s="0" t="s">
        <v>5846</v>
      </c>
      <c r="C407" s="0" t="s">
        <v>5847</v>
      </c>
      <c r="D407" s="0" t="s">
        <v>5860</v>
      </c>
      <c r="E407" s="0" t="s">
        <v>5861</v>
      </c>
      <c r="F407" s="0" t="s">
        <v>4740</v>
      </c>
      <c r="G407" s="0" t="s">
        <v>5862</v>
      </c>
    </row>
    <row customHeight="1" ht="11.25">
      <c r="A408" s="0" t="s">
        <v>14</v>
      </c>
      <c r="B408" s="0" t="s">
        <v>5846</v>
      </c>
      <c r="C408" s="0" t="s">
        <v>5847</v>
      </c>
      <c r="D408" s="0" t="s">
        <v>5863</v>
      </c>
      <c r="E408" s="0" t="s">
        <v>5864</v>
      </c>
      <c r="F408" s="0" t="s">
        <v>4740</v>
      </c>
      <c r="G408" s="0" t="s">
        <v>5865</v>
      </c>
    </row>
    <row customHeight="1" ht="11.25">
      <c r="A409" s="0" t="s">
        <v>14</v>
      </c>
      <c r="B409" s="0" t="s">
        <v>5846</v>
      </c>
      <c r="C409" s="0" t="s">
        <v>5847</v>
      </c>
      <c r="D409" s="0" t="s">
        <v>5866</v>
      </c>
      <c r="E409" s="0" t="s">
        <v>5867</v>
      </c>
      <c r="F409" s="0" t="s">
        <v>4740</v>
      </c>
      <c r="G409" s="0" t="s">
        <v>5868</v>
      </c>
    </row>
    <row customHeight="1" ht="11.25">
      <c r="A410" s="0" t="s">
        <v>14</v>
      </c>
      <c r="B410" s="0" t="s">
        <v>5846</v>
      </c>
      <c r="C410" s="0" t="s">
        <v>5847</v>
      </c>
      <c r="D410" s="0" t="s">
        <v>5869</v>
      </c>
      <c r="E410" s="0" t="s">
        <v>5870</v>
      </c>
      <c r="F410" s="0" t="s">
        <v>4740</v>
      </c>
      <c r="G410" s="0" t="s">
        <v>5871</v>
      </c>
    </row>
    <row customHeight="1" ht="11.25">
      <c r="A411" s="0" t="s">
        <v>14</v>
      </c>
      <c r="B411" s="0" t="s">
        <v>5846</v>
      </c>
      <c r="C411" s="0" t="s">
        <v>5847</v>
      </c>
      <c r="D411" s="0" t="s">
        <v>5872</v>
      </c>
      <c r="E411" s="0" t="s">
        <v>5873</v>
      </c>
      <c r="F411" s="0" t="s">
        <v>4740</v>
      </c>
      <c r="G411" s="0" t="s">
        <v>5874</v>
      </c>
    </row>
    <row customHeight="1" ht="11.25">
      <c r="A412" s="0" t="s">
        <v>14</v>
      </c>
      <c r="B412" s="0" t="s">
        <v>5846</v>
      </c>
      <c r="C412" s="0" t="s">
        <v>5847</v>
      </c>
      <c r="D412" s="0" t="s">
        <v>5875</v>
      </c>
      <c r="E412" s="0" t="s">
        <v>5876</v>
      </c>
      <c r="F412" s="0" t="s">
        <v>4740</v>
      </c>
      <c r="G412" s="0" t="s">
        <v>5877</v>
      </c>
    </row>
    <row customHeight="1" ht="11.25">
      <c r="A413" s="0" t="s">
        <v>14</v>
      </c>
      <c r="B413" s="0" t="s">
        <v>5846</v>
      </c>
      <c r="C413" s="0" t="s">
        <v>5847</v>
      </c>
      <c r="D413" s="0" t="s">
        <v>5878</v>
      </c>
      <c r="E413" s="0" t="s">
        <v>5879</v>
      </c>
      <c r="F413" s="0" t="s">
        <v>4740</v>
      </c>
      <c r="G413" s="0" t="s">
        <v>5880</v>
      </c>
    </row>
    <row customHeight="1" ht="11.25">
      <c r="A414" s="0" t="s">
        <v>14</v>
      </c>
      <c r="B414" s="0" t="s">
        <v>5846</v>
      </c>
      <c r="C414" s="0" t="s">
        <v>5847</v>
      </c>
      <c r="D414" s="0" t="s">
        <v>5881</v>
      </c>
      <c r="E414" s="0" t="s">
        <v>5882</v>
      </c>
      <c r="F414" s="0" t="s">
        <v>4740</v>
      </c>
      <c r="G414" s="0" t="s">
        <v>5883</v>
      </c>
    </row>
    <row customHeight="1" ht="11.25">
      <c r="A415" s="0" t="s">
        <v>14</v>
      </c>
      <c r="B415" s="0" t="s">
        <v>5846</v>
      </c>
      <c r="C415" s="0" t="s">
        <v>5847</v>
      </c>
      <c r="D415" s="0" t="s">
        <v>5802</v>
      </c>
      <c r="E415" s="0" t="s">
        <v>5884</v>
      </c>
      <c r="F415" s="0" t="s">
        <v>4740</v>
      </c>
      <c r="G415" s="0" t="s">
        <v>5885</v>
      </c>
    </row>
    <row customHeight="1" ht="11.25">
      <c r="A416" s="0" t="s">
        <v>14</v>
      </c>
      <c r="B416" s="0" t="s">
        <v>5846</v>
      </c>
      <c r="C416" s="0" t="s">
        <v>5847</v>
      </c>
      <c r="D416" s="0" t="s">
        <v>5846</v>
      </c>
      <c r="E416" s="0" t="s">
        <v>5847</v>
      </c>
      <c r="F416" s="0" t="s">
        <v>4731</v>
      </c>
      <c r="G416" s="0" t="s">
        <v>5886</v>
      </c>
    </row>
    <row customHeight="1" ht="11.25">
      <c r="A417" s="0" t="s">
        <v>14</v>
      </c>
      <c r="B417" s="0" t="s">
        <v>5846</v>
      </c>
      <c r="C417" s="0" t="s">
        <v>5847</v>
      </c>
      <c r="D417" s="0" t="s">
        <v>5887</v>
      </c>
      <c r="E417" s="0" t="s">
        <v>5888</v>
      </c>
      <c r="F417" s="0" t="s">
        <v>4734</v>
      </c>
      <c r="G417" s="0" t="s">
        <v>5889</v>
      </c>
    </row>
    <row customHeight="1" ht="11.25">
      <c r="A418" s="0" t="s">
        <v>14</v>
      </c>
      <c r="B418" s="0" t="s">
        <v>5890</v>
      </c>
      <c r="C418" s="0" t="s">
        <v>5891</v>
      </c>
      <c r="D418" s="0" t="s">
        <v>5892</v>
      </c>
      <c r="E418" s="0" t="s">
        <v>5893</v>
      </c>
      <c r="F418" s="0" t="s">
        <v>4740</v>
      </c>
      <c r="G418" s="0" t="s">
        <v>5894</v>
      </c>
    </row>
    <row customHeight="1" ht="11.25">
      <c r="A419" s="0" t="s">
        <v>14</v>
      </c>
      <c r="B419" s="0" t="s">
        <v>5890</v>
      </c>
      <c r="C419" s="0" t="s">
        <v>5891</v>
      </c>
      <c r="D419" s="0" t="s">
        <v>5895</v>
      </c>
      <c r="E419" s="0" t="s">
        <v>5896</v>
      </c>
      <c r="F419" s="0" t="s">
        <v>4740</v>
      </c>
      <c r="G419" s="0" t="s">
        <v>5897</v>
      </c>
    </row>
    <row customHeight="1" ht="11.25">
      <c r="A420" s="0" t="s">
        <v>14</v>
      </c>
      <c r="B420" s="0" t="s">
        <v>5890</v>
      </c>
      <c r="C420" s="0" t="s">
        <v>5891</v>
      </c>
      <c r="D420" s="0" t="s">
        <v>5898</v>
      </c>
      <c r="E420" s="0" t="s">
        <v>5899</v>
      </c>
      <c r="F420" s="0" t="s">
        <v>4740</v>
      </c>
      <c r="G420" s="0" t="s">
        <v>5900</v>
      </c>
    </row>
    <row customHeight="1" ht="11.25">
      <c r="A421" s="0" t="s">
        <v>14</v>
      </c>
      <c r="B421" s="0" t="s">
        <v>5890</v>
      </c>
      <c r="C421" s="0" t="s">
        <v>5891</v>
      </c>
      <c r="D421" s="0" t="s">
        <v>5831</v>
      </c>
      <c r="E421" s="0" t="s">
        <v>5901</v>
      </c>
      <c r="F421" s="0" t="s">
        <v>4740</v>
      </c>
      <c r="G421" s="0" t="s">
        <v>5902</v>
      </c>
    </row>
    <row customHeight="1" ht="11.25">
      <c r="A422" s="0" t="s">
        <v>14</v>
      </c>
      <c r="B422" s="0" t="s">
        <v>5890</v>
      </c>
      <c r="C422" s="0" t="s">
        <v>5891</v>
      </c>
      <c r="D422" s="0" t="s">
        <v>5903</v>
      </c>
      <c r="E422" s="0" t="s">
        <v>5904</v>
      </c>
      <c r="F422" s="0" t="s">
        <v>4740</v>
      </c>
      <c r="G422" s="0" t="s">
        <v>5905</v>
      </c>
    </row>
    <row customHeight="1" ht="11.25">
      <c r="A423" s="0" t="s">
        <v>14</v>
      </c>
      <c r="B423" s="0" t="s">
        <v>5890</v>
      </c>
      <c r="C423" s="0" t="s">
        <v>5891</v>
      </c>
      <c r="D423" s="0" t="s">
        <v>5906</v>
      </c>
      <c r="E423" s="0" t="s">
        <v>5907</v>
      </c>
      <c r="F423" s="0" t="s">
        <v>4740</v>
      </c>
      <c r="G423" s="0" t="s">
        <v>5908</v>
      </c>
    </row>
    <row customHeight="1" ht="11.25">
      <c r="A424" s="0" t="s">
        <v>14</v>
      </c>
      <c r="B424" s="0" t="s">
        <v>5890</v>
      </c>
      <c r="C424" s="0" t="s">
        <v>5891</v>
      </c>
      <c r="D424" s="0" t="s">
        <v>5909</v>
      </c>
      <c r="E424" s="0" t="s">
        <v>5910</v>
      </c>
      <c r="F424" s="0" t="s">
        <v>4740</v>
      </c>
      <c r="G424" s="0" t="s">
        <v>5911</v>
      </c>
    </row>
    <row customHeight="1" ht="11.25">
      <c r="A425" s="0" t="s">
        <v>14</v>
      </c>
      <c r="B425" s="0" t="s">
        <v>5890</v>
      </c>
      <c r="C425" s="0" t="s">
        <v>5891</v>
      </c>
      <c r="D425" s="0" t="s">
        <v>5890</v>
      </c>
      <c r="E425" s="0" t="s">
        <v>5891</v>
      </c>
      <c r="F425" s="0" t="s">
        <v>4731</v>
      </c>
      <c r="G425" s="0" t="s">
        <v>5912</v>
      </c>
    </row>
    <row customHeight="1" ht="11.25">
      <c r="A426" s="0" t="s">
        <v>14</v>
      </c>
      <c r="B426" s="0" t="s">
        <v>5890</v>
      </c>
      <c r="C426" s="0" t="s">
        <v>5891</v>
      </c>
      <c r="D426" s="0" t="s">
        <v>5913</v>
      </c>
      <c r="E426" s="0" t="s">
        <v>5914</v>
      </c>
      <c r="F426" s="0" t="s">
        <v>4740</v>
      </c>
      <c r="G426" s="0" t="s">
        <v>5915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A3CAA6-DEB4-33E2-5C46-D223419825CA}"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7661" width="9.140625"/>
    <col min="2" max="2" style="7661" width="84.28125" customWidth="1"/>
    <col min="3" max="3" style="7661" width="9.140625"/>
  </cols>
  <sheetData>
    <row customHeight="1" ht="11.25">
      <c r="A1" s="1007" t="s">
        <v>5969</v>
      </c>
      <c r="B1" s="1007" t="s">
        <v>5970</v>
      </c>
      <c r="C1" s="1007" t="s">
        <v>735</v>
      </c>
    </row>
    <row customHeight="1" ht="11.25">
      <c r="A2" s="1007">
        <v>4189678</v>
      </c>
      <c r="B2" s="1007" t="s">
        <v>5971</v>
      </c>
      <c r="C2" s="1007" t="s">
        <v>5972</v>
      </c>
    </row>
    <row customHeight="1" ht="11.25">
      <c r="A3" s="1007">
        <v>4190415</v>
      </c>
      <c r="B3" s="1007" t="s">
        <v>5973</v>
      </c>
      <c r="C3" s="1007" t="s">
        <v>5972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A79DCF-8CDD-7EF6-6AB9-92EAAEC1B6E5}"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7664" width="38.421875" customWidth="1"/>
    <col min="2" max="5" style="7664" width="9.140625"/>
  </cols>
  <sheetData>
    <row customHeight="1" ht="15">
      <c r="A1" s="298" t="s">
        <v>5974</v>
      </c>
      <c r="B1" s="298" t="s">
        <v>5975</v>
      </c>
      <c r="C1" s="298"/>
      <c r="D1" s="298"/>
      <c r="E1" s="298"/>
    </row>
    <row customHeight="1" ht="15">
      <c r="A2" s="298"/>
      <c r="B2" s="298"/>
      <c r="C2" s="298"/>
      <c r="D2" s="298"/>
      <c r="E2" s="298"/>
    </row>
    <row customHeight="1" ht="15">
      <c r="A3" s="298"/>
      <c r="B3" s="298"/>
      <c r="C3" s="298"/>
      <c r="D3" s="298"/>
      <c r="E3" s="298"/>
    </row>
    <row customHeight="1" ht="15">
      <c r="A4" s="298"/>
      <c r="B4" s="298"/>
      <c r="C4" s="298"/>
      <c r="D4" s="298"/>
      <c r="E4" s="298"/>
    </row>
    <row customHeight="1" ht="15">
      <c r="A5" s="298"/>
      <c r="B5" s="298"/>
      <c r="C5" s="298"/>
      <c r="D5" s="298"/>
      <c r="E5" s="298"/>
    </row>
    <row customHeight="1" ht="15">
      <c r="A6" s="298"/>
      <c r="B6" s="298"/>
      <c r="C6" s="298"/>
      <c r="D6" s="298"/>
      <c r="E6" s="298"/>
    </row>
    <row customHeight="1" ht="15">
      <c r="A7" s="298"/>
      <c r="B7" s="298"/>
      <c r="C7" s="298"/>
      <c r="D7" s="298"/>
      <c r="E7" s="298"/>
    </row>
    <row customHeight="1" ht="15">
      <c r="A8" s="298"/>
      <c r="B8" s="298"/>
      <c r="C8" s="298"/>
      <c r="D8" s="298"/>
      <c r="E8" s="298"/>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3B982F-91D1-0921-9969-97174717D649}"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5976</v>
      </c>
      <c r="B1" s="0" t="b">
        <v>1</v>
      </c>
    </row>
    <row customHeight="1" ht="11.25">
      <c r="A2" s="0" t="s">
        <v>5977</v>
      </c>
      <c r="B2" s="0" t="b">
        <v>0</v>
      </c>
    </row>
    <row customHeight="1" ht="11.25">
      <c r="A3" s="0" t="s">
        <v>5978</v>
      </c>
      <c r="B3" s="0" t="b">
        <v>0</v>
      </c>
    </row>
    <row customHeight="1" ht="11.25">
      <c r="A4" s="0" t="s">
        <v>5979</v>
      </c>
      <c r="B4" s="0" t="b">
        <v>0</v>
      </c>
    </row>
    <row customHeight="1" ht="11.25">
      <c r="A5" s="0" t="s">
        <v>5980</v>
      </c>
      <c r="B5" s="0" t="b">
        <v>1</v>
      </c>
    </row>
    <row customHeight="1" ht="11.25">
      <c r="A6" s="0" t="s">
        <v>5981</v>
      </c>
      <c r="B6" s="0" t="b">
        <v>0</v>
      </c>
    </row>
    <row customHeight="1" ht="11.25">
      <c r="A7" s="0" t="s">
        <v>5982</v>
      </c>
      <c r="B7" s="0" t="b">
        <v>0</v>
      </c>
    </row>
    <row customHeight="1" ht="11.25">
      <c r="A8" s="0" t="s">
        <v>5983</v>
      </c>
      <c r="B8" s="0" t="b">
        <v>0</v>
      </c>
    </row>
    <row customHeight="1" ht="11.25">
      <c r="A9" s="0" t="s">
        <v>5984</v>
      </c>
      <c r="B9" s="0" t="b">
        <v>0</v>
      </c>
    </row>
    <row customHeight="1" ht="11.25">
      <c r="A10" s="0" t="s">
        <v>5985</v>
      </c>
      <c r="B10" s="0" t="b">
        <v>0</v>
      </c>
    </row>
    <row customHeight="1" ht="11.25">
      <c r="A11" s="0" t="s">
        <v>5986</v>
      </c>
      <c r="B11" s="0" t="b">
        <v>1</v>
      </c>
    </row>
    <row customHeight="1" ht="11.25">
      <c r="A12" s="0" t="s">
        <v>5987</v>
      </c>
      <c r="B12" s="0" t="b">
        <v>0</v>
      </c>
    </row>
    <row customHeight="1" ht="11.25">
      <c r="A13" s="0" t="s">
        <v>5988</v>
      </c>
      <c r="B13" s="0" t="b">
        <v>0</v>
      </c>
    </row>
    <row customHeight="1" ht="11.25">
      <c r="A14" s="0" t="s">
        <v>5989</v>
      </c>
      <c r="B14" s="0" t="b">
        <v>0</v>
      </c>
    </row>
    <row customHeight="1" ht="11.25">
      <c r="A15" s="0" t="s">
        <v>5990</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1DA989-AFA3-49CC-0DF3-8FF6E672524B}"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7666" width="9.140625"/>
  </cols>
  <sheetData>
    <row customHeight="1" ht="12.75">
      <c r="A1" s="225"/>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C2D037-E3BD-19E4-24A9-C4DA42CABC13}"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7668" width="36.28125" customWidth="1"/>
    <col min="2" max="2" style="7668" width="21.140625" customWidth="1"/>
  </cols>
  <sheetData>
    <row customHeight="1" ht="11.25">
      <c r="A1" s="195" t="s">
        <v>5991</v>
      </c>
      <c r="B1" s="195" t="s">
        <v>5992</v>
      </c>
    </row>
    <row customHeight="1" ht="11.25">
      <c r="A2" s="182" t="s">
        <v>5993</v>
      </c>
      <c r="B2" s="182" t="s">
        <v>5994</v>
      </c>
    </row>
    <row customHeight="1" ht="11.25">
      <c r="A3" s="182" t="s">
        <v>5995</v>
      </c>
      <c r="B3" s="182" t="s">
        <v>5996</v>
      </c>
    </row>
    <row customHeight="1" ht="11.25">
      <c r="A4" s="182" t="s">
        <v>5997</v>
      </c>
      <c r="B4" s="182" t="s">
        <v>5998</v>
      </c>
    </row>
    <row customHeight="1" ht="11.25">
      <c r="A5" s="182" t="s">
        <v>5999</v>
      </c>
      <c r="B5" s="182" t="s">
        <v>6000</v>
      </c>
    </row>
    <row customHeight="1" ht="11.25">
      <c r="A6" s="182" t="s">
        <v>6001</v>
      </c>
      <c r="B6" s="182" t="s">
        <v>6002</v>
      </c>
    </row>
    <row customHeight="1" ht="11.25">
      <c r="A7" s="182" t="s">
        <v>6003</v>
      </c>
      <c r="B7" s="182" t="s">
        <v>6004</v>
      </c>
    </row>
    <row customHeight="1" ht="11.25">
      <c r="A8" s="182" t="s">
        <v>6005</v>
      </c>
      <c r="B8" s="182" t="s">
        <v>6006</v>
      </c>
    </row>
    <row customHeight="1" ht="11.25">
      <c r="A9" s="182" t="s">
        <v>6007</v>
      </c>
      <c r="B9" s="182" t="s">
        <v>6008</v>
      </c>
    </row>
    <row customHeight="1" ht="11.25">
      <c r="A10" s="182" t="s">
        <v>6009</v>
      </c>
      <c r="B10" s="182" t="s">
        <v>6010</v>
      </c>
    </row>
    <row customHeight="1" ht="11.25">
      <c r="A11" s="182" t="s">
        <v>6011</v>
      </c>
      <c r="B11" s="182" t="s">
        <v>6012</v>
      </c>
    </row>
    <row customHeight="1" ht="11.25">
      <c r="A12" s="182" t="s">
        <v>6013</v>
      </c>
      <c r="B12" s="182" t="s">
        <v>6014</v>
      </c>
    </row>
    <row customHeight="1" ht="11.25">
      <c r="A13" s="182" t="s">
        <v>6015</v>
      </c>
      <c r="B13" s="182" t="s">
        <v>6016</v>
      </c>
    </row>
    <row customHeight="1" ht="11.25">
      <c r="A14" s="182" t="s">
        <v>6017</v>
      </c>
      <c r="B14" s="182" t="s">
        <v>6018</v>
      </c>
    </row>
    <row customHeight="1" ht="11.25">
      <c r="A15" s="182" t="s">
        <v>6019</v>
      </c>
      <c r="B15" s="182" t="s">
        <v>6020</v>
      </c>
    </row>
    <row customHeight="1" ht="11.25">
      <c r="A16" s="182" t="s">
        <v>6021</v>
      </c>
      <c r="B16" s="182" t="s">
        <v>6022</v>
      </c>
    </row>
    <row customHeight="1" ht="11.25">
      <c r="A17" s="182" t="s">
        <v>6023</v>
      </c>
      <c r="B17" s="182" t="s">
        <v>6024</v>
      </c>
    </row>
    <row customHeight="1" ht="11.25">
      <c r="A18" s="182" t="s">
        <v>6025</v>
      </c>
      <c r="B18" s="182" t="s">
        <v>6026</v>
      </c>
    </row>
    <row customHeight="1" ht="11.25">
      <c r="A19" s="182" t="s">
        <v>6027</v>
      </c>
      <c r="B19" s="182" t="s">
        <v>6028</v>
      </c>
    </row>
    <row customHeight="1" ht="11.25">
      <c r="A20" s="182" t="s">
        <v>6029</v>
      </c>
      <c r="B20" s="182" t="s">
        <v>6030</v>
      </c>
    </row>
    <row customHeight="1" ht="11.25">
      <c r="A21" s="182" t="s">
        <v>6031</v>
      </c>
      <c r="B21" s="182" t="s">
        <v>6032</v>
      </c>
    </row>
    <row customHeight="1" ht="11.25">
      <c r="A22" s="182" t="s">
        <v>6033</v>
      </c>
      <c r="B22" s="182" t="s">
        <v>6034</v>
      </c>
    </row>
    <row customHeight="1" ht="11.25">
      <c r="A23" s="182" t="s">
        <v>6035</v>
      </c>
      <c r="B23" s="182" t="s">
        <v>6036</v>
      </c>
    </row>
    <row customHeight="1" ht="11.25">
      <c r="A24" s="182" t="s">
        <v>6037</v>
      </c>
      <c r="B24" s="182" t="s">
        <v>6038</v>
      </c>
    </row>
    <row customHeight="1" ht="11.25">
      <c r="A25" s="182" t="s">
        <v>6039</v>
      </c>
      <c r="B25" s="182" t="s">
        <v>6040</v>
      </c>
    </row>
    <row customHeight="1" ht="11.25">
      <c r="A26" s="182" t="s">
        <v>6041</v>
      </c>
      <c r="B26" s="182" t="s">
        <v>6042</v>
      </c>
    </row>
    <row customHeight="1" ht="11.25">
      <c r="A27" s="182" t="s">
        <v>6043</v>
      </c>
      <c r="B27" s="182" t="s">
        <v>6044</v>
      </c>
    </row>
    <row customHeight="1" ht="11.25">
      <c r="A28" s="182" t="s">
        <v>6045</v>
      </c>
      <c r="B28" s="182" t="s">
        <v>6046</v>
      </c>
    </row>
    <row customHeight="1" ht="11.25">
      <c r="A29" s="182" t="s">
        <v>6047</v>
      </c>
      <c r="B29" s="182" t="s">
        <v>6048</v>
      </c>
    </row>
    <row customHeight="1" ht="11.25">
      <c r="A30" s="182" t="s">
        <v>6049</v>
      </c>
      <c r="B30" s="182" t="s">
        <v>6050</v>
      </c>
    </row>
    <row customHeight="1" ht="11.25">
      <c r="A31" s="182" t="s">
        <v>6051</v>
      </c>
      <c r="B31" s="182" t="s">
        <v>6052</v>
      </c>
    </row>
    <row customHeight="1" ht="11.25">
      <c r="A32" s="182" t="s">
        <v>6053</v>
      </c>
      <c r="B32" s="182" t="s">
        <v>6054</v>
      </c>
    </row>
    <row customHeight="1" ht="11.25">
      <c r="A33" s="182" t="s">
        <v>6055</v>
      </c>
      <c r="B33" s="182" t="s">
        <v>6056</v>
      </c>
    </row>
    <row customHeight="1" ht="11.25">
      <c r="A34" s="182" t="s">
        <v>6057</v>
      </c>
      <c r="B34" s="182" t="s">
        <v>6058</v>
      </c>
    </row>
    <row customHeight="1" ht="11.25">
      <c r="A35" s="182" t="s">
        <v>6059</v>
      </c>
      <c r="B35" s="182" t="s">
        <v>6060</v>
      </c>
    </row>
    <row customHeight="1" ht="11.25">
      <c r="A36" s="182" t="s">
        <v>6061</v>
      </c>
      <c r="B36" s="182" t="s">
        <v>6062</v>
      </c>
    </row>
    <row customHeight="1" ht="11.25">
      <c r="A37" s="182" t="s">
        <v>6063</v>
      </c>
      <c r="B37" s="182" t="s">
        <v>6064</v>
      </c>
    </row>
    <row customHeight="1" ht="11.25">
      <c r="A38" s="182" t="s">
        <v>6065</v>
      </c>
      <c r="B38" s="182" t="s">
        <v>6066</v>
      </c>
    </row>
    <row customHeight="1" ht="11.25">
      <c r="A39" s="182" t="s">
        <v>6067</v>
      </c>
      <c r="B39" s="182" t="s">
        <v>6068</v>
      </c>
    </row>
    <row customHeight="1" ht="11.25">
      <c r="A40" s="182" t="s">
        <v>6069</v>
      </c>
      <c r="B40" s="182" t="s">
        <v>6070</v>
      </c>
    </row>
    <row customHeight="1" ht="11.25">
      <c r="A41" s="182" t="s">
        <v>6071</v>
      </c>
      <c r="B41" s="182" t="s">
        <v>6072</v>
      </c>
    </row>
    <row customHeight="1" ht="11.25">
      <c r="A42" s="182" t="s">
        <v>6073</v>
      </c>
      <c r="B42" s="182" t="s">
        <v>6074</v>
      </c>
    </row>
    <row customHeight="1" ht="11.25">
      <c r="A43" s="182" t="s">
        <v>6075</v>
      </c>
      <c r="B43" s="182" t="s">
        <v>6076</v>
      </c>
    </row>
    <row customHeight="1" ht="11.25">
      <c r="A44" s="182" t="s">
        <v>6077</v>
      </c>
      <c r="B44" s="182" t="s">
        <v>6078</v>
      </c>
    </row>
    <row customHeight="1" ht="11.25">
      <c r="A45" s="182" t="s">
        <v>6079</v>
      </c>
      <c r="B45" s="182" t="s">
        <v>6080</v>
      </c>
    </row>
    <row customHeight="1" ht="11.25">
      <c r="A46" s="182" t="s">
        <v>6081</v>
      </c>
      <c r="B46" s="182" t="s">
        <v>6082</v>
      </c>
    </row>
    <row customHeight="1" ht="11.25">
      <c r="A47" s="182" t="s">
        <v>6083</v>
      </c>
      <c r="B47" s="182" t="s">
        <v>6084</v>
      </c>
    </row>
    <row customHeight="1" ht="11.25">
      <c r="A48" s="182" t="s">
        <v>6085</v>
      </c>
      <c r="B48" s="182" t="s">
        <v>6086</v>
      </c>
    </row>
    <row customHeight="1" ht="11.25">
      <c r="A49" s="182" t="s">
        <v>6087</v>
      </c>
      <c r="B49" s="182" t="s">
        <v>6088</v>
      </c>
    </row>
    <row customHeight="1" ht="11.25">
      <c r="A50" s="182" t="s">
        <v>6089</v>
      </c>
      <c r="B50" s="182" t="s">
        <v>6090</v>
      </c>
    </row>
    <row customHeight="1" ht="11.25">
      <c r="A51" s="182" t="s">
        <v>6091</v>
      </c>
      <c r="B51" s="182" t="s">
        <v>6092</v>
      </c>
    </row>
    <row customHeight="1" ht="11.25">
      <c r="A52" s="182" t="s">
        <v>6093</v>
      </c>
      <c r="B52" s="182" t="s">
        <v>6094</v>
      </c>
    </row>
    <row customHeight="1" ht="11.25">
      <c r="A53" s="182" t="s">
        <v>6095</v>
      </c>
      <c r="B53" s="182" t="s">
        <v>6096</v>
      </c>
    </row>
    <row customHeight="1" ht="11.25">
      <c r="A54" s="182" t="s">
        <v>6097</v>
      </c>
      <c r="B54" s="182" t="s">
        <v>6098</v>
      </c>
    </row>
    <row customHeight="1" ht="11.25">
      <c r="A55" s="182" t="s">
        <v>6099</v>
      </c>
      <c r="B55" s="182" t="s">
        <v>6100</v>
      </c>
    </row>
    <row customHeight="1" ht="11.25">
      <c r="A56" s="182" t="s">
        <v>6101</v>
      </c>
      <c r="B56" s="182" t="s">
        <v>6102</v>
      </c>
    </row>
    <row customHeight="1" ht="11.25">
      <c r="A57" s="182" t="s">
        <v>6103</v>
      </c>
      <c r="B57" s="182" t="s">
        <v>6104</v>
      </c>
    </row>
    <row customHeight="1" ht="11.25">
      <c r="A58" s="182" t="s">
        <v>6105</v>
      </c>
      <c r="B58" s="182" t="s">
        <v>6106</v>
      </c>
    </row>
    <row customHeight="1" ht="11.25">
      <c r="A59" s="182" t="s">
        <v>6107</v>
      </c>
      <c r="B59" s="182" t="s">
        <v>6108</v>
      </c>
    </row>
    <row customHeight="1" ht="11.25">
      <c r="A60" s="182" t="s">
        <v>6109</v>
      </c>
      <c r="B60" s="182" t="s">
        <v>6110</v>
      </c>
    </row>
    <row customHeight="1" ht="11.25">
      <c r="A61" s="182"/>
      <c r="B61" s="182" t="s">
        <v>6111</v>
      </c>
    </row>
    <row customHeight="1" ht="11.25">
      <c r="A62" s="182"/>
      <c r="B62" s="182" t="s">
        <v>6112</v>
      </c>
    </row>
    <row customHeight="1" ht="11.25">
      <c r="A63" s="182"/>
      <c r="B63" s="182" t="s">
        <v>6113</v>
      </c>
    </row>
    <row customHeight="1" ht="11.25">
      <c r="A64" s="182"/>
      <c r="B64" s="182" t="s">
        <v>6114</v>
      </c>
    </row>
    <row customHeight="1" ht="11.25">
      <c r="A65" s="182"/>
      <c r="B65" s="182" t="s">
        <v>6115</v>
      </c>
    </row>
    <row customHeight="1" ht="11.25">
      <c r="A66" s="182"/>
      <c r="B66" s="182" t="s">
        <v>6116</v>
      </c>
    </row>
    <row customHeight="1" ht="11.25">
      <c r="A67" s="182"/>
      <c r="B67" s="182" t="s">
        <v>6117</v>
      </c>
    </row>
    <row customHeight="1" ht="11.25">
      <c r="A68" s="182"/>
      <c r="B68" s="182" t="s">
        <v>6118</v>
      </c>
    </row>
    <row customHeight="1" ht="11.25">
      <c r="A69" s="182"/>
      <c r="B69" s="182" t="s">
        <v>6119</v>
      </c>
    </row>
    <row customHeight="1" ht="11.25">
      <c r="A70" s="182"/>
      <c r="B70" s="182" t="s">
        <v>6120</v>
      </c>
    </row>
    <row customHeight="1" ht="11.25">
      <c r="A71" s="182"/>
      <c r="B71" s="182"/>
    </row>
    <row customHeight="1" ht="11.25">
      <c r="A72" s="182"/>
      <c r="B72" s="182"/>
    </row>
    <row customHeight="1" ht="11.25">
      <c r="A73" s="182"/>
      <c r="B73" s="182"/>
    </row>
    <row customHeight="1" ht="11.25">
      <c r="A74" s="182"/>
      <c r="B74" s="182"/>
    </row>
    <row customHeight="1" ht="11.25">
      <c r="A75" s="182"/>
      <c r="B75" s="182"/>
    </row>
    <row customHeight="1" ht="11.25">
      <c r="A76" s="182"/>
      <c r="B76" s="182"/>
    </row>
    <row customHeight="1" ht="11.25">
      <c r="A77" s="182"/>
      <c r="B77" s="182"/>
    </row>
    <row customHeight="1" ht="11.25">
      <c r="A78" s="182"/>
      <c r="B78" s="182"/>
    </row>
    <row customHeight="1" ht="11.25">
      <c r="A79" s="182"/>
      <c r="B79" s="182"/>
    </row>
    <row customHeight="1" ht="11.25">
      <c r="A80" s="182"/>
      <c r="B80" s="182"/>
    </row>
    <row customHeight="1" ht="11.25">
      <c r="A81" s="182"/>
      <c r="B81" s="182"/>
    </row>
    <row customHeight="1" ht="11.25">
      <c r="A82" s="182"/>
      <c r="B82" s="182"/>
    </row>
    <row customHeight="1" ht="11.25">
      <c r="A83" s="182"/>
      <c r="B83" s="182"/>
    </row>
    <row customHeight="1" ht="11.25">
      <c r="A84" s="182"/>
      <c r="B84" s="182"/>
    </row>
    <row customHeight="1" ht="11.25">
      <c r="A85" s="182"/>
      <c r="B85" s="182"/>
    </row>
    <row customHeight="1" ht="11.25">
      <c r="A86" s="182"/>
      <c r="B86" s="182"/>
    </row>
    <row customHeight="1" ht="11.25">
      <c r="A87" s="182"/>
      <c r="B87" s="182"/>
    </row>
    <row customHeight="1" ht="11.25">
      <c r="A88" s="182"/>
      <c r="B88" s="182"/>
    </row>
    <row customHeight="1" ht="11.25">
      <c r="A89" s="182"/>
      <c r="B89" s="182"/>
    </row>
    <row customHeight="1" ht="11.25">
      <c r="A90" s="182"/>
      <c r="B90" s="182"/>
    </row>
    <row customHeight="1" ht="11.25">
      <c r="A91" s="182"/>
      <c r="B91" s="182"/>
    </row>
    <row customHeight="1" ht="11.25">
      <c r="A92" s="182"/>
      <c r="B92" s="182"/>
    </row>
    <row customHeight="1" ht="11.25">
      <c r="A93" s="182"/>
      <c r="B93" s="182"/>
    </row>
    <row customHeight="1" ht="11.25">
      <c r="A94" s="182"/>
      <c r="B94" s="182"/>
    </row>
    <row customHeight="1" ht="11.25">
      <c r="A95" s="182"/>
      <c r="B95" s="182"/>
    </row>
    <row customHeight="1" ht="11.25">
      <c r="A96" s="182"/>
      <c r="B96" s="182"/>
    </row>
    <row customHeight="1" ht="11.25">
      <c r="A97" s="182"/>
      <c r="B97" s="182"/>
    </row>
    <row customHeight="1" ht="11.25">
      <c r="A98" s="182"/>
      <c r="B98" s="182"/>
    </row>
    <row customHeight="1" ht="11.25">
      <c r="A99" s="182"/>
      <c r="B99" s="182"/>
    </row>
    <row customHeight="1" ht="11.25">
      <c r="A100" s="182"/>
      <c r="B100" s="182"/>
    </row>
    <row customHeight="1" ht="11.25">
      <c r="A101" s="182"/>
      <c r="B101" s="182"/>
    </row>
    <row customHeight="1" ht="11.25">
      <c r="A102" s="182"/>
      <c r="B102" s="182"/>
    </row>
    <row customHeight="1" ht="11.25">
      <c r="A103" s="182"/>
      <c r="B103" s="182"/>
    </row>
    <row customHeight="1" ht="11.25">
      <c r="A104" s="182"/>
      <c r="B104" s="182"/>
    </row>
    <row customHeight="1" ht="11.25">
      <c r="A105" s="182"/>
      <c r="B105" s="182"/>
    </row>
    <row customHeight="1" ht="11.25">
      <c r="A106" s="182"/>
      <c r="B106" s="182"/>
    </row>
    <row customHeight="1" ht="11.25">
      <c r="A107" s="182"/>
      <c r="B107" s="182"/>
    </row>
    <row customHeight="1" ht="11.25">
      <c r="A108" s="182"/>
      <c r="B108" s="182"/>
    </row>
    <row customHeight="1" ht="11.25">
      <c r="A109" s="182"/>
      <c r="B109" s="182"/>
    </row>
    <row customHeight="1" ht="11.25">
      <c r="A110" s="182"/>
      <c r="B110" s="182"/>
    </row>
    <row customHeight="1" ht="11.25">
      <c r="A111" s="182"/>
      <c r="B111" s="182"/>
    </row>
    <row customHeight="1" ht="11.25">
      <c r="A112" s="182"/>
      <c r="B112" s="182"/>
    </row>
    <row customHeight="1" ht="11.25">
      <c r="A113" s="182"/>
      <c r="B113" s="182"/>
    </row>
    <row customHeight="1" ht="11.25">
      <c r="A114" s="182"/>
      <c r="B114" s="182"/>
    </row>
    <row customHeight="1" ht="11.25">
      <c r="A115" s="182"/>
      <c r="B115" s="182"/>
    </row>
    <row customHeight="1" ht="11.25">
      <c r="A116" s="182"/>
      <c r="B116" s="182"/>
    </row>
    <row customHeight="1" ht="11.25">
      <c r="A117" s="182"/>
      <c r="B117" s="182"/>
    </row>
    <row customHeight="1" ht="11.25">
      <c r="A118" s="182"/>
      <c r="B118" s="182"/>
    </row>
    <row customHeight="1" ht="11.25">
      <c r="A119" s="182"/>
      <c r="B119" s="182"/>
    </row>
    <row customHeight="1" ht="11.25">
      <c r="A120" s="182"/>
      <c r="B120" s="182"/>
    </row>
    <row customHeight="1" ht="11.25">
      <c r="A121" s="182"/>
      <c r="B121" s="182"/>
    </row>
    <row customHeight="1" ht="11.25">
      <c r="A122" s="182"/>
      <c r="B122" s="182"/>
    </row>
    <row customHeight="1" ht="11.25">
      <c r="A123" s="182"/>
      <c r="B123" s="182"/>
    </row>
    <row customHeight="1" ht="11.25">
      <c r="A124" s="182"/>
      <c r="B124" s="182"/>
    </row>
    <row customHeight="1" ht="11.25">
      <c r="A125" s="182"/>
      <c r="B125" s="182"/>
    </row>
    <row customHeight="1" ht="11.25">
      <c r="A126" s="182"/>
      <c r="B126" s="182"/>
    </row>
    <row customHeight="1" ht="11.25">
      <c r="A127" s="182"/>
      <c r="B127" s="182"/>
    </row>
    <row customHeight="1" ht="11.25">
      <c r="A128" s="182"/>
      <c r="B128" s="182"/>
    </row>
    <row customHeight="1" ht="11.25">
      <c r="A129" s="182"/>
      <c r="B129" s="182"/>
    </row>
    <row customHeight="1" ht="11.25">
      <c r="A130" s="182"/>
      <c r="B130" s="182"/>
    </row>
    <row customHeight="1" ht="11.25">
      <c r="A131" s="182"/>
      <c r="B131" s="182"/>
    </row>
    <row customHeight="1" ht="11.25">
      <c r="A132" s="182"/>
      <c r="B132" s="182"/>
    </row>
    <row customHeight="1" ht="11.25">
      <c r="A133" s="182"/>
      <c r="B133" s="182"/>
    </row>
    <row customHeight="1" ht="11.25">
      <c r="A134" s="182"/>
      <c r="B134" s="182"/>
    </row>
    <row customHeight="1" ht="11.25">
      <c r="A135" s="182"/>
      <c r="B135" s="182"/>
    </row>
    <row customHeight="1" ht="11.25">
      <c r="A136" s="182"/>
      <c r="B136" s="182"/>
    </row>
    <row customHeight="1" ht="11.25">
      <c r="A137" s="182"/>
      <c r="B137" s="182"/>
    </row>
    <row customHeight="1" ht="11.25">
      <c r="A138" s="182"/>
      <c r="B138" s="182"/>
    </row>
    <row customHeight="1" ht="11.25">
      <c r="A139" s="182"/>
      <c r="B139" s="182"/>
    </row>
    <row customHeight="1" ht="11.25">
      <c r="A140" s="182"/>
      <c r="B140" s="182"/>
    </row>
    <row customHeight="1" ht="11.25">
      <c r="A141" s="182"/>
      <c r="B141" s="182"/>
    </row>
    <row customHeight="1" ht="11.25">
      <c r="A142" s="182"/>
      <c r="B142" s="182"/>
    </row>
    <row customHeight="1" ht="11.25">
      <c r="A143" s="182"/>
      <c r="B143" s="182"/>
    </row>
    <row customHeight="1" ht="11.25">
      <c r="A144" s="182"/>
      <c r="B144" s="182"/>
    </row>
    <row customHeight="1" ht="11.25">
      <c r="A145" s="182"/>
      <c r="B145" s="182"/>
    </row>
    <row customHeight="1" ht="11.25">
      <c r="A146" s="182"/>
      <c r="B146" s="182"/>
    </row>
    <row customHeight="1" ht="11.25">
      <c r="A147" s="182"/>
      <c r="B147" s="182"/>
    </row>
    <row customHeight="1" ht="11.25">
      <c r="A148" s="182"/>
      <c r="B148" s="182"/>
    </row>
    <row customHeight="1" ht="11.25">
      <c r="A149" s="182"/>
      <c r="B149" s="182"/>
    </row>
    <row customHeight="1" ht="11.25">
      <c r="A150" s="182"/>
      <c r="B150" s="182"/>
    </row>
    <row customHeight="1" ht="11.25">
      <c r="A151" s="182"/>
      <c r="B151" s="182"/>
    </row>
    <row customHeight="1" ht="11.25">
      <c r="A152" s="182"/>
      <c r="B152" s="182"/>
    </row>
    <row customHeight="1" ht="11.25">
      <c r="A153" s="182"/>
      <c r="B153" s="182"/>
    </row>
    <row customHeight="1" ht="11.25">
      <c r="A154" s="182"/>
      <c r="B154" s="182"/>
    </row>
    <row customHeight="1" ht="11.25">
      <c r="A155" s="182"/>
      <c r="B155" s="182"/>
    </row>
    <row customHeight="1" ht="11.25">
      <c r="A156" s="182"/>
      <c r="B156" s="182"/>
    </row>
    <row customHeight="1" ht="11.25">
      <c r="A157" s="182"/>
      <c r="B157" s="182"/>
    </row>
    <row customHeight="1" ht="11.25">
      <c r="A158" s="182"/>
      <c r="B158" s="182"/>
    </row>
    <row customHeight="1" ht="11.25">
      <c r="A159" s="182"/>
      <c r="B159" s="182"/>
    </row>
    <row customHeight="1" ht="11.25">
      <c r="A160" s="182"/>
      <c r="B160" s="182"/>
    </row>
    <row customHeight="1" ht="11.25">
      <c r="A161" s="182"/>
      <c r="B161" s="182"/>
    </row>
    <row customHeight="1" ht="11.25">
      <c r="A162" s="182"/>
      <c r="B162" s="182"/>
    </row>
    <row customHeight="1" ht="11.25">
      <c r="A163" s="182"/>
      <c r="B163" s="182"/>
    </row>
    <row customHeight="1" ht="11.25">
      <c r="A164" s="182"/>
      <c r="B164" s="182"/>
    </row>
    <row customHeight="1" ht="11.25">
      <c r="A165" s="182"/>
      <c r="B165" s="182"/>
    </row>
    <row customHeight="1" ht="11.25">
      <c r="A166" s="182"/>
      <c r="B166" s="182"/>
    </row>
    <row customHeight="1" ht="11.25">
      <c r="A167" s="182"/>
      <c r="B167" s="182"/>
    </row>
    <row customHeight="1" ht="11.25">
      <c r="A168" s="182"/>
      <c r="B168" s="182"/>
    </row>
    <row customHeight="1" ht="11.25">
      <c r="A169" s="182"/>
      <c r="B169" s="182"/>
    </row>
    <row customHeight="1" ht="11.25">
      <c r="A170" s="182"/>
      <c r="B170" s="182"/>
    </row>
    <row customHeight="1" ht="11.25">
      <c r="A171" s="182"/>
      <c r="B171" s="182"/>
    </row>
    <row customHeight="1" ht="11.25">
      <c r="A172" s="182"/>
      <c r="B172" s="182"/>
    </row>
    <row customHeight="1" ht="11.25">
      <c r="A173" s="182"/>
      <c r="B173" s="182"/>
    </row>
    <row customHeight="1" ht="11.25">
      <c r="A174" s="182"/>
      <c r="B174" s="182"/>
    </row>
    <row customHeight="1" ht="11.25">
      <c r="A175" s="182"/>
      <c r="B175" s="182"/>
    </row>
    <row customHeight="1" ht="11.25">
      <c r="A176" s="182"/>
      <c r="B176" s="182"/>
    </row>
    <row customHeight="1" ht="11.25">
      <c r="A177" s="182"/>
      <c r="B177" s="182"/>
    </row>
    <row customHeight="1" ht="11.25">
      <c r="A178" s="182"/>
      <c r="B178" s="182"/>
    </row>
    <row customHeight="1" ht="11.25">
      <c r="A179" s="182"/>
      <c r="B179" s="182"/>
    </row>
    <row customHeight="1" ht="11.25">
      <c r="A180" s="182"/>
      <c r="B180" s="182"/>
    </row>
    <row customHeight="1" ht="11.25">
      <c r="A181" s="182"/>
      <c r="B181" s="182"/>
    </row>
    <row customHeight="1" ht="11.25">
      <c r="A182" s="182"/>
      <c r="B182" s="182"/>
    </row>
    <row customHeight="1" ht="11.25">
      <c r="A183" s="182"/>
      <c r="B183" s="182"/>
    </row>
    <row customHeight="1" ht="11.25">
      <c r="A184" s="182"/>
      <c r="B184" s="182"/>
    </row>
    <row customHeight="1" ht="11.25">
      <c r="A185" s="182"/>
      <c r="B185" s="182"/>
    </row>
    <row customHeight="1" ht="11.25">
      <c r="A186" s="182"/>
      <c r="B186" s="182"/>
    </row>
    <row customHeight="1" ht="11.25">
      <c r="A187" s="182"/>
      <c r="B187" s="182"/>
    </row>
    <row customHeight="1" ht="11.25">
      <c r="A188" s="182"/>
      <c r="B188" s="182"/>
    </row>
    <row customHeight="1" ht="11.25">
      <c r="A189" s="182"/>
      <c r="B189" s="182"/>
    </row>
    <row customHeight="1" ht="11.25">
      <c r="A190" s="182"/>
      <c r="B190" s="182"/>
    </row>
    <row customHeight="1" ht="11.25">
      <c r="A191" s="182"/>
      <c r="B191" s="182"/>
    </row>
    <row customHeight="1" ht="11.25">
      <c r="A192" s="182"/>
      <c r="B192" s="182"/>
    </row>
    <row customHeight="1" ht="11.25">
      <c r="A193" s="182"/>
      <c r="B193" s="182"/>
    </row>
    <row customHeight="1" ht="11.25">
      <c r="A194" s="182"/>
      <c r="B194" s="182"/>
    </row>
    <row customHeight="1" ht="11.25">
      <c r="A195" s="182"/>
      <c r="B195" s="182"/>
    </row>
    <row customHeight="1" ht="11.25">
      <c r="A196" s="182"/>
      <c r="B196" s="182"/>
    </row>
    <row customHeight="1" ht="11.25">
      <c r="A197" s="182"/>
      <c r="B197" s="182"/>
    </row>
    <row customHeight="1" ht="11.25">
      <c r="A198" s="182"/>
      <c r="B198" s="182"/>
    </row>
    <row customHeight="1" ht="11.25">
      <c r="A199" s="182"/>
      <c r="B199" s="182"/>
    </row>
    <row customHeight="1" ht="11.25">
      <c r="A200" s="182"/>
      <c r="B200" s="182"/>
    </row>
    <row customHeight="1" ht="11.25">
      <c r="A201" s="182"/>
      <c r="B201" s="182"/>
    </row>
    <row customHeight="1" ht="11.25">
      <c r="A202" s="182"/>
      <c r="B202" s="182"/>
    </row>
    <row customHeight="1" ht="11.25">
      <c r="A203" s="182"/>
      <c r="B203" s="182"/>
    </row>
    <row customHeight="1" ht="11.25">
      <c r="A204" s="182"/>
      <c r="B204" s="182"/>
    </row>
    <row customHeight="1" ht="11.25">
      <c r="A205" s="182"/>
      <c r="B205" s="182"/>
    </row>
    <row customHeight="1" ht="11.25">
      <c r="A206" s="182"/>
      <c r="B206" s="182"/>
    </row>
    <row customHeight="1" ht="11.25">
      <c r="A207" s="182"/>
      <c r="B207" s="182"/>
    </row>
    <row customHeight="1" ht="11.25">
      <c r="A208" s="182"/>
      <c r="B208" s="182"/>
    </row>
    <row customHeight="1" ht="11.25">
      <c r="A209" s="182"/>
      <c r="B209" s="182"/>
    </row>
    <row customHeight="1" ht="11.25">
      <c r="A210" s="182"/>
      <c r="B210" s="182"/>
    </row>
    <row customHeight="1" ht="11.25">
      <c r="A211" s="182"/>
      <c r="B211" s="182"/>
    </row>
    <row customHeight="1" ht="11.25">
      <c r="A212" s="182"/>
      <c r="B212" s="182"/>
    </row>
    <row customHeight="1" ht="11.25">
      <c r="A213" s="182"/>
      <c r="B213" s="182"/>
    </row>
    <row customHeight="1" ht="11.25">
      <c r="A214" s="182"/>
      <c r="B214" s="182"/>
    </row>
    <row customHeight="1" ht="11.25">
      <c r="A215" s="182"/>
      <c r="B215" s="182"/>
    </row>
    <row customHeight="1" ht="11.25">
      <c r="A216" s="182"/>
      <c r="B216" s="182"/>
    </row>
    <row customHeight="1" ht="11.25">
      <c r="A217" s="182"/>
      <c r="B217" s="182"/>
    </row>
    <row customHeight="1" ht="11.25">
      <c r="A218" s="182"/>
      <c r="B218" s="182"/>
    </row>
    <row customHeight="1" ht="11.25">
      <c r="A219" s="182"/>
      <c r="B219" s="182"/>
    </row>
    <row customHeight="1" ht="11.25">
      <c r="A220" s="182"/>
      <c r="B220" s="182"/>
    </row>
    <row customHeight="1" ht="11.25">
      <c r="A221" s="182"/>
      <c r="B221" s="182"/>
    </row>
    <row customHeight="1" ht="11.25">
      <c r="A222" s="182"/>
      <c r="B222" s="182"/>
    </row>
    <row customHeight="1" ht="11.25">
      <c r="A223" s="182"/>
      <c r="B223" s="182"/>
    </row>
    <row customHeight="1" ht="11.25">
      <c r="A224" s="182"/>
      <c r="B224" s="182"/>
    </row>
    <row customHeight="1" ht="11.25">
      <c r="A225" s="182"/>
      <c r="B225" s="182"/>
    </row>
    <row customHeight="1" ht="11.25">
      <c r="A226" s="182"/>
      <c r="B226" s="182"/>
    </row>
    <row customHeight="1" ht="11.25">
      <c r="A227" s="182"/>
      <c r="B227" s="182"/>
    </row>
    <row customHeight="1" ht="11.25">
      <c r="A228" s="182"/>
      <c r="B228" s="182"/>
    </row>
    <row customHeight="1" ht="11.25">
      <c r="A229" s="182"/>
      <c r="B229" s="182"/>
    </row>
    <row customHeight="1" ht="11.25">
      <c r="A230" s="182"/>
      <c r="B230" s="182"/>
    </row>
    <row customHeight="1" ht="11.25">
      <c r="A231" s="182"/>
      <c r="B231" s="182"/>
    </row>
    <row customHeight="1" ht="11.25">
      <c r="A232" s="182"/>
      <c r="B232" s="182"/>
    </row>
    <row customHeight="1" ht="11.25">
      <c r="A233" s="182"/>
      <c r="B233" s="182"/>
    </row>
    <row customHeight="1" ht="11.25">
      <c r="A234" s="182"/>
      <c r="B234" s="182"/>
    </row>
    <row customHeight="1" ht="11.25">
      <c r="A235" s="182"/>
      <c r="B235" s="182"/>
    </row>
    <row customHeight="1" ht="11.25">
      <c r="A236" s="182"/>
      <c r="B236" s="182"/>
    </row>
    <row customHeight="1" ht="11.25">
      <c r="A237" s="182"/>
      <c r="B237" s="182"/>
    </row>
    <row customHeight="1" ht="11.25">
      <c r="A238" s="182"/>
      <c r="B238" s="182"/>
    </row>
    <row customHeight="1" ht="11.25">
      <c r="A239" s="182"/>
      <c r="B239" s="182"/>
    </row>
    <row customHeight="1" ht="11.25">
      <c r="A240" s="182"/>
      <c r="B240" s="182"/>
    </row>
    <row customHeight="1" ht="11.25">
      <c r="A241" s="182"/>
      <c r="B241" s="182"/>
    </row>
    <row customHeight="1" ht="11.25">
      <c r="A242" s="182"/>
      <c r="B242" s="182"/>
    </row>
    <row customHeight="1" ht="11.25">
      <c r="A243" s="182"/>
      <c r="B243" s="182"/>
    </row>
    <row customHeight="1" ht="11.25">
      <c r="A244" s="182"/>
      <c r="B244" s="182"/>
    </row>
    <row customHeight="1" ht="11.25">
      <c r="A245" s="182"/>
      <c r="B245" s="182"/>
    </row>
    <row customHeight="1" ht="11.25">
      <c r="A246" s="182"/>
      <c r="B246" s="182"/>
    </row>
    <row customHeight="1" ht="11.25">
      <c r="A247" s="182"/>
      <c r="B247" s="182"/>
    </row>
    <row customHeight="1" ht="11.25">
      <c r="A248" s="182"/>
      <c r="B248" s="182"/>
    </row>
    <row customHeight="1" ht="11.25">
      <c r="A249" s="182"/>
      <c r="B249" s="182"/>
    </row>
    <row customHeight="1" ht="11.25">
      <c r="A250" s="182"/>
      <c r="B250" s="182"/>
    </row>
    <row customHeight="1" ht="11.25">
      <c r="A251" s="182"/>
      <c r="B251" s="182"/>
    </row>
    <row customHeight="1" ht="11.25">
      <c r="A252" s="182"/>
      <c r="B252" s="182"/>
    </row>
    <row customHeight="1" ht="11.25">
      <c r="A253" s="182"/>
      <c r="B253" s="182"/>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6FFD4B-D267-4677-C0AD-593C9F6386D1}"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7680" width="3.7109375" customWidth="1"/>
    <col min="2" max="2" style="7680" width="90.7109375" customWidth="1"/>
    <col min="3" max="4" style="7680" width="9.140625"/>
  </cols>
  <sheetData>
    <row customHeight="1" ht="11.25">
      <c r="B1" s="223" t="s">
        <v>6121</v>
      </c>
    </row>
    <row customHeight="1" ht="90">
      <c r="B2" s="224" t="s">
        <v>6122</v>
      </c>
    </row>
    <row customHeight="1" ht="67.5">
      <c r="B3" s="224" t="s">
        <v>6123</v>
      </c>
    </row>
    <row customHeight="1" ht="33.75">
      <c r="B4" s="224" t="s">
        <v>6124</v>
      </c>
    </row>
    <row customHeight="1" ht="11.25">
      <c r="B5" s="224" t="s">
        <v>6125</v>
      </c>
    </row>
    <row customHeight="1" ht="22.5">
      <c r="B6" s="224" t="s">
        <v>6126</v>
      </c>
    </row>
    <row customHeight="1" ht="22.5">
      <c r="B7" s="224" t="s">
        <v>6127</v>
      </c>
    </row>
    <row customHeight="1" ht="22.5">
      <c r="B8" s="224" t="s">
        <v>6128</v>
      </c>
    </row>
    <row customHeight="1" ht="22.5">
      <c r="B9" s="224" t="s">
        <v>6129</v>
      </c>
    </row>
    <row customHeight="1" ht="56.25">
      <c r="B10" s="224" t="s">
        <v>6130</v>
      </c>
    </row>
    <row customHeight="1" ht="12.75">
      <c r="B11" s="294" t="s">
        <v>6131</v>
      </c>
    </row>
    <row customHeight="1" ht="11.25">
      <c r="B12" s="223" t="s">
        <v>6132</v>
      </c>
    </row>
    <row customHeight="1" ht="22.5">
      <c r="B13" s="224" t="s">
        <v>6133</v>
      </c>
    </row>
    <row customHeight="1" ht="67.5">
      <c r="B14" s="224" t="s">
        <v>6134</v>
      </c>
    </row>
    <row customHeight="1" ht="22.5">
      <c r="B15" s="224" t="s">
        <v>6135</v>
      </c>
    </row>
    <row customHeight="1" ht="11.25">
      <c r="B16" s="223" t="s">
        <v>6136</v>
      </c>
      <c r="D16" s="231"/>
    </row>
    <row customHeight="1" ht="33.75">
      <c r="B17" s="224" t="s">
        <v>6137</v>
      </c>
    </row>
    <row customHeight="1" ht="33.75">
      <c r="B18" s="224" t="s">
        <v>6138</v>
      </c>
    </row>
    <row customHeight="1" ht="11.25">
      <c r="B19" s="224" t="s">
        <v>6139</v>
      </c>
    </row>
    <row customHeight="1" ht="33.75">
      <c r="B20" s="224" t="s">
        <v>6140</v>
      </c>
    </row>
    <row customHeight="1" ht="11.25">
      <c r="B21" s="223" t="s">
        <v>6141</v>
      </c>
    </row>
    <row customHeight="1" ht="11.25">
      <c r="B22" s="224" t="s">
        <v>6142</v>
      </c>
    </row>
    <row r="24" customHeight="1" ht="22.5">
      <c r="B24" s="296" t="s">
        <v>6143</v>
      </c>
    </row>
    <row r="26" customHeight="1" ht="11.25">
      <c r="B26" s="223" t="s">
        <v>6144</v>
      </c>
    </row>
    <row customHeight="1" ht="22.5">
      <c r="B27" s="295" t="s">
        <v>1468</v>
      </c>
    </row>
    <row customHeight="1" ht="56.25">
      <c r="B28" s="295" t="s">
        <v>6145</v>
      </c>
    </row>
    <row customHeight="1" ht="11.25">
      <c r="B29" s="345" t="s">
        <v>6146</v>
      </c>
    </row>
    <row customHeight="1" ht="22.5">
      <c r="B30" s="295" t="s">
        <v>6147</v>
      </c>
    </row>
    <row r="32" customHeight="1" ht="11.25">
      <c r="A32" s="322"/>
      <c r="B32" s="323" t="s">
        <v>6148</v>
      </c>
    </row>
    <row customHeight="1" ht="14.25">
      <c r="A33" s="324">
        <v>1</v>
      </c>
      <c r="B33" s="325" t="s">
        <v>6149</v>
      </c>
    </row>
    <row customHeight="1" ht="14.25">
      <c r="A34" s="324">
        <v>2</v>
      </c>
      <c r="B34" s="325" t="s">
        <v>6150</v>
      </c>
    </row>
    <row customHeight="1" ht="11.25">
      <c r="B35" s="323" t="s">
        <v>6151</v>
      </c>
    </row>
    <row customHeight="1" ht="11.25">
      <c r="B36" s="325" t="s">
        <v>6152</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1703</vt:i4>
      </vt:variant>
    </vt:vector>
  </HeadingPairs>
  <TitlesOfParts>
    <vt:vector size="1704"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2023-08-31T08:43:37Z</dcterms:modified>
</cp:coreProperties>
</file>

<file path=docProps/custom.xml><?xml version="1.0" encoding="utf-8"?>
<Properties xmlns="http://schemas.openxmlformats.org/officeDocument/2006/custom-properties" xmlns:vt="http://schemas.openxmlformats.org/officeDocument/2006/docPropsVTypes"/>
</file>